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hasan/Documents/comm/"/>
    </mc:Choice>
  </mc:AlternateContent>
  <xr:revisionPtr revIDLastSave="0" documentId="13_ncr:1_{A9E53B9F-F0E7-4541-A348-854CE538C57A}" xr6:coauthVersionLast="47" xr6:coauthVersionMax="47" xr10:uidLastSave="{00000000-0000-0000-0000-000000000000}"/>
  <bookViews>
    <workbookView xWindow="0" yWindow="500" windowWidth="28800" windowHeight="17500" xr2:uid="{749AF9DF-6568-4F5E-A131-B0759383A18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58" i="1" l="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J3030"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J2786" i="1"/>
  <c r="A2786" i="1"/>
  <c r="A2785" i="1"/>
  <c r="J2784" i="1"/>
  <c r="A2784" i="1"/>
  <c r="J2783" i="1"/>
  <c r="A2783" i="1"/>
  <c r="A2782" i="1"/>
  <c r="A2781" i="1"/>
  <c r="A2780" i="1"/>
  <c r="A2779" i="1"/>
  <c r="A2778" i="1"/>
  <c r="A2777" i="1"/>
  <c r="A2776" i="1"/>
  <c r="A2775" i="1"/>
  <c r="A2774" i="1"/>
  <c r="A2773" i="1"/>
  <c r="A2772" i="1"/>
  <c r="A2771" i="1"/>
  <c r="A2770" i="1"/>
  <c r="J2769" i="1"/>
  <c r="A2769" i="1"/>
  <c r="A2768" i="1"/>
  <c r="A2767" i="1"/>
  <c r="A2766" i="1"/>
  <c r="A2765" i="1"/>
  <c r="A2764" i="1"/>
  <c r="J2763" i="1"/>
  <c r="A2763" i="1"/>
  <c r="A2762" i="1"/>
  <c r="A2761" i="1"/>
  <c r="A2760" i="1"/>
  <c r="A2759" i="1"/>
  <c r="A2758" i="1"/>
  <c r="A2757" i="1"/>
  <c r="A2756" i="1"/>
  <c r="A2755" i="1"/>
  <c r="A2754" i="1"/>
  <c r="A2753" i="1"/>
  <c r="A2752" i="1"/>
  <c r="A2751" i="1"/>
  <c r="A2750" i="1"/>
  <c r="A2749" i="1"/>
  <c r="A2748" i="1"/>
  <c r="A2747" i="1"/>
  <c r="A2746" i="1"/>
  <c r="J2745" i="1"/>
  <c r="A2745" i="1"/>
  <c r="A2744" i="1"/>
  <c r="A2743" i="1"/>
  <c r="A2742" i="1"/>
  <c r="J2741" i="1"/>
  <c r="A2741" i="1"/>
  <c r="A2740" i="1"/>
  <c r="J2739" i="1"/>
  <c r="A2739" i="1"/>
  <c r="A2738" i="1"/>
  <c r="J2737" i="1"/>
  <c r="A2737" i="1"/>
  <c r="A2736" i="1"/>
  <c r="J2735" i="1"/>
  <c r="A2735" i="1"/>
  <c r="A2734" i="1"/>
  <c r="A2733" i="1"/>
  <c r="A2732" i="1"/>
  <c r="A2731" i="1"/>
  <c r="A2730" i="1"/>
  <c r="J2729"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J2691" i="1"/>
  <c r="A2691" i="1"/>
  <c r="A2690" i="1"/>
  <c r="J2689" i="1"/>
  <c r="A2689" i="1"/>
  <c r="A2688" i="1"/>
  <c r="A2687" i="1"/>
  <c r="J2686" i="1"/>
  <c r="A2686" i="1"/>
  <c r="A2685" i="1"/>
  <c r="A2684" i="1"/>
  <c r="A2683" i="1"/>
  <c r="A2682" i="1"/>
  <c r="A2681" i="1"/>
  <c r="A2680" i="1"/>
  <c r="A2679" i="1"/>
  <c r="A2678" i="1"/>
  <c r="A2677" i="1"/>
  <c r="A2676" i="1"/>
  <c r="A2675" i="1"/>
  <c r="A2674" i="1"/>
  <c r="A2673" i="1"/>
  <c r="A2672" i="1"/>
  <c r="A2671" i="1"/>
  <c r="A2670" i="1"/>
  <c r="A2669" i="1"/>
  <c r="J2668"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J2644" i="1"/>
  <c r="A2644" i="1"/>
  <c r="A2643" i="1"/>
  <c r="J2642" i="1"/>
  <c r="A2642" i="1"/>
  <c r="A2641" i="1"/>
  <c r="A2640" i="1"/>
  <c r="A2639" i="1"/>
  <c r="A2638" i="1"/>
  <c r="J2637" i="1"/>
  <c r="A2637" i="1"/>
  <c r="A2636" i="1"/>
  <c r="A2635" i="1"/>
  <c r="A2634" i="1"/>
  <c r="A2633" i="1"/>
  <c r="A2632" i="1"/>
  <c r="A2631" i="1"/>
  <c r="A2630" i="1"/>
  <c r="A2629" i="1"/>
  <c r="A2628" i="1"/>
  <c r="A2627" i="1"/>
  <c r="A2626" i="1"/>
  <c r="J2625" i="1"/>
  <c r="A2625" i="1"/>
  <c r="A2624" i="1"/>
  <c r="A2623" i="1"/>
  <c r="A2622" i="1"/>
  <c r="A2621" i="1"/>
  <c r="A2620" i="1"/>
  <c r="J2619" i="1"/>
  <c r="A2619" i="1"/>
  <c r="J2618" i="1"/>
  <c r="A2618" i="1"/>
  <c r="A2617" i="1"/>
  <c r="J2616" i="1"/>
  <c r="A2616" i="1"/>
  <c r="A2615" i="1"/>
  <c r="J2614" i="1"/>
  <c r="A2614" i="1"/>
  <c r="A2613" i="1"/>
  <c r="A2612" i="1"/>
  <c r="A2611" i="1"/>
  <c r="A2610" i="1"/>
  <c r="J2609" i="1"/>
  <c r="A2609" i="1"/>
  <c r="A2608" i="1"/>
  <c r="J2607" i="1"/>
  <c r="A2607" i="1"/>
  <c r="A2606" i="1"/>
  <c r="A2605" i="1"/>
  <c r="A2604" i="1"/>
  <c r="A2603" i="1"/>
  <c r="J2602" i="1"/>
  <c r="A2602" i="1"/>
  <c r="J2601" i="1"/>
  <c r="A2601" i="1"/>
  <c r="A2600" i="1"/>
  <c r="A2599" i="1"/>
  <c r="A2598" i="1"/>
  <c r="A2597" i="1"/>
  <c r="J2596" i="1"/>
  <c r="A2596" i="1"/>
  <c r="J2595" i="1"/>
  <c r="A2595" i="1"/>
  <c r="A2594" i="1"/>
  <c r="A2593" i="1"/>
  <c r="A2592" i="1"/>
  <c r="A2591" i="1"/>
  <c r="A2590" i="1"/>
  <c r="A2589" i="1"/>
  <c r="A2588" i="1"/>
  <c r="J2587" i="1"/>
  <c r="A2587" i="1"/>
  <c r="J2586" i="1"/>
  <c r="A2586" i="1"/>
  <c r="A2585" i="1"/>
  <c r="J2584" i="1"/>
  <c r="A2584" i="1"/>
  <c r="J2583" i="1"/>
  <c r="A2583" i="1"/>
  <c r="J2582" i="1"/>
  <c r="A2582" i="1"/>
  <c r="A2581" i="1"/>
  <c r="J2580" i="1"/>
  <c r="A2580" i="1"/>
  <c r="J2579" i="1"/>
  <c r="A2579" i="1"/>
  <c r="A2578" i="1"/>
  <c r="J2577" i="1"/>
  <c r="A2577" i="1"/>
  <c r="J2576" i="1"/>
  <c r="A2576" i="1"/>
  <c r="J2575" i="1"/>
  <c r="A2575" i="1"/>
  <c r="A2574" i="1"/>
  <c r="J2573" i="1"/>
  <c r="A2573" i="1"/>
  <c r="A2572" i="1"/>
  <c r="A2571" i="1"/>
  <c r="J2570" i="1"/>
  <c r="A2570" i="1"/>
  <c r="J2569" i="1"/>
  <c r="A2569" i="1"/>
  <c r="A2568" i="1"/>
  <c r="A2567" i="1"/>
  <c r="J2566" i="1"/>
  <c r="A2566" i="1"/>
  <c r="A2565" i="1"/>
  <c r="J2564" i="1"/>
  <c r="A2564" i="1"/>
  <c r="A2563" i="1"/>
  <c r="J2562" i="1"/>
  <c r="A2562" i="1"/>
  <c r="A2561" i="1"/>
  <c r="A2560" i="1"/>
  <c r="J2559" i="1"/>
  <c r="A2559" i="1"/>
  <c r="A2558" i="1"/>
  <c r="J2557" i="1"/>
  <c r="A2557" i="1"/>
  <c r="A2556" i="1"/>
  <c r="A2555" i="1"/>
  <c r="J2554" i="1"/>
  <c r="A2554" i="1"/>
  <c r="A2553" i="1"/>
  <c r="J2552" i="1"/>
  <c r="A2552" i="1"/>
  <c r="A2551" i="1"/>
  <c r="J2550" i="1"/>
  <c r="A2550" i="1"/>
  <c r="A2549" i="1"/>
  <c r="J2548" i="1"/>
  <c r="A2548" i="1"/>
  <c r="A2547" i="1"/>
  <c r="A2546" i="1"/>
  <c r="J2545" i="1"/>
  <c r="A2545" i="1"/>
  <c r="A2544" i="1"/>
  <c r="A2543" i="1"/>
  <c r="A2542" i="1"/>
  <c r="A2541" i="1"/>
  <c r="A2540" i="1"/>
  <c r="J2539" i="1"/>
  <c r="A2539" i="1"/>
  <c r="J2538" i="1"/>
  <c r="A2538" i="1"/>
  <c r="J2537" i="1"/>
  <c r="A2537" i="1"/>
  <c r="A2536" i="1"/>
  <c r="J2535" i="1"/>
  <c r="A2535" i="1"/>
  <c r="A2534" i="1"/>
  <c r="J2533" i="1"/>
  <c r="A2533" i="1"/>
  <c r="J2532" i="1"/>
  <c r="A2532" i="1"/>
  <c r="A2531" i="1"/>
  <c r="J2530" i="1"/>
  <c r="A2530" i="1"/>
  <c r="A2529" i="1"/>
  <c r="J2528" i="1"/>
  <c r="A2528" i="1"/>
  <c r="A2527" i="1"/>
  <c r="J2526" i="1"/>
  <c r="A2526" i="1"/>
  <c r="J2525" i="1"/>
  <c r="A2525" i="1"/>
  <c r="J2524" i="1"/>
  <c r="A2524" i="1"/>
  <c r="J2523" i="1"/>
  <c r="A2523" i="1"/>
  <c r="A2522" i="1"/>
  <c r="J2521" i="1"/>
  <c r="A2521" i="1"/>
  <c r="A2520" i="1"/>
  <c r="A2519" i="1"/>
  <c r="J2518" i="1"/>
  <c r="A2518" i="1"/>
  <c r="A2517" i="1"/>
  <c r="J2516" i="1"/>
  <c r="A2516" i="1"/>
  <c r="A2515" i="1"/>
  <c r="A2514" i="1"/>
  <c r="A2513" i="1"/>
  <c r="J2512" i="1"/>
  <c r="A2512" i="1"/>
  <c r="J2511" i="1"/>
  <c r="A2511" i="1"/>
  <c r="A2510" i="1"/>
  <c r="A2509" i="1"/>
  <c r="A2508" i="1"/>
  <c r="A2507" i="1"/>
  <c r="A2506" i="1"/>
  <c r="J2505" i="1"/>
  <c r="A2505" i="1"/>
  <c r="A2504" i="1"/>
  <c r="A2503" i="1"/>
  <c r="J2502" i="1"/>
  <c r="A2502" i="1"/>
  <c r="J2501" i="1"/>
  <c r="A2501" i="1"/>
  <c r="J2500" i="1"/>
  <c r="A2500" i="1"/>
  <c r="J2499" i="1"/>
  <c r="A2499" i="1"/>
  <c r="J2498" i="1"/>
  <c r="A2498" i="1"/>
  <c r="A2497" i="1"/>
  <c r="A2496" i="1"/>
  <c r="A2495" i="1"/>
  <c r="J2494" i="1"/>
  <c r="A2494" i="1"/>
  <c r="A2493" i="1"/>
  <c r="J2492" i="1"/>
  <c r="A2492" i="1"/>
  <c r="A2491" i="1"/>
  <c r="J2490" i="1"/>
  <c r="A2490" i="1"/>
  <c r="J2489" i="1"/>
  <c r="A2489" i="1"/>
  <c r="J2488" i="1"/>
  <c r="A2488" i="1"/>
  <c r="J2487" i="1"/>
  <c r="A2487" i="1"/>
  <c r="K2486" i="1"/>
  <c r="J2486" i="1"/>
  <c r="A2486" i="1"/>
  <c r="K2485" i="1"/>
  <c r="J2485" i="1"/>
  <c r="A2485" i="1"/>
  <c r="J2484" i="1"/>
  <c r="A2484" i="1"/>
  <c r="A2483" i="1"/>
  <c r="A2482" i="1"/>
  <c r="M2481" i="1"/>
  <c r="L2481" i="1"/>
  <c r="K2481" i="1"/>
  <c r="J2481" i="1"/>
  <c r="A2481" i="1"/>
  <c r="J2480" i="1"/>
  <c r="A2480" i="1"/>
  <c r="J2479" i="1"/>
  <c r="A2479" i="1"/>
  <c r="J2478" i="1"/>
  <c r="A2478" i="1"/>
  <c r="J2477" i="1"/>
  <c r="A2477" i="1"/>
  <c r="A2476" i="1"/>
  <c r="J2475" i="1"/>
  <c r="A2475" i="1"/>
  <c r="L2474" i="1"/>
  <c r="K2474" i="1"/>
  <c r="J2474" i="1"/>
  <c r="A2474" i="1"/>
  <c r="A2473" i="1"/>
  <c r="A2472" i="1"/>
  <c r="K2471" i="1"/>
  <c r="J2471" i="1"/>
  <c r="A2471" i="1"/>
  <c r="A2470" i="1"/>
  <c r="A2469" i="1"/>
  <c r="A2468" i="1"/>
  <c r="J2467" i="1"/>
  <c r="A2467" i="1"/>
  <c r="A2466" i="1"/>
  <c r="J2465" i="1"/>
  <c r="A2465" i="1"/>
  <c r="A2464" i="1"/>
  <c r="A2463" i="1"/>
  <c r="J2462" i="1"/>
  <c r="A2462" i="1"/>
  <c r="A2461" i="1"/>
  <c r="J2460" i="1"/>
  <c r="A2460" i="1"/>
  <c r="A2459" i="1"/>
  <c r="A2458" i="1"/>
  <c r="A2457" i="1"/>
  <c r="J2456" i="1"/>
  <c r="A2456" i="1"/>
  <c r="A2455" i="1"/>
  <c r="A2454" i="1"/>
  <c r="A2453" i="1"/>
  <c r="J2452" i="1"/>
  <c r="A2452" i="1"/>
  <c r="A2451" i="1"/>
  <c r="J2450" i="1"/>
  <c r="A2450" i="1"/>
  <c r="A2449" i="1"/>
  <c r="A2448" i="1"/>
  <c r="J2447" i="1"/>
  <c r="A2447" i="1"/>
  <c r="A2446" i="1"/>
  <c r="A2445" i="1"/>
  <c r="A2444" i="1"/>
  <c r="A2443" i="1"/>
  <c r="J2442" i="1"/>
  <c r="A2442" i="1"/>
  <c r="J2441" i="1"/>
  <c r="A2441" i="1"/>
  <c r="J2440" i="1"/>
  <c r="A2440" i="1"/>
  <c r="A2439" i="1"/>
  <c r="J2438" i="1"/>
  <c r="A2438" i="1"/>
  <c r="J2437" i="1"/>
  <c r="A2437" i="1"/>
  <c r="J2436" i="1"/>
  <c r="A2436" i="1"/>
  <c r="A2435" i="1"/>
  <c r="A2434" i="1"/>
  <c r="J2433" i="1"/>
  <c r="A2433" i="1"/>
  <c r="A2432" i="1"/>
  <c r="A2431" i="1"/>
  <c r="A2430" i="1"/>
  <c r="J2429" i="1"/>
  <c r="A2429" i="1"/>
  <c r="A2428" i="1"/>
  <c r="A2427" i="1"/>
  <c r="A2426" i="1"/>
  <c r="A2425" i="1"/>
  <c r="J2424" i="1"/>
  <c r="A2424" i="1"/>
  <c r="A2423" i="1"/>
  <c r="J2422" i="1"/>
  <c r="A2422" i="1"/>
  <c r="J2421" i="1"/>
  <c r="A2421" i="1"/>
  <c r="J2420" i="1"/>
  <c r="A2420" i="1"/>
  <c r="A2419" i="1"/>
  <c r="A2418" i="1"/>
  <c r="J2417" i="1"/>
  <c r="A2417" i="1"/>
  <c r="A2416" i="1"/>
  <c r="A2415" i="1"/>
  <c r="A2414" i="1"/>
  <c r="J2413" i="1"/>
  <c r="A2413" i="1"/>
  <c r="K2412" i="1"/>
  <c r="J2412" i="1"/>
  <c r="A2412" i="1"/>
  <c r="A2411" i="1"/>
  <c r="J2410" i="1"/>
  <c r="A2410" i="1"/>
  <c r="J2409" i="1"/>
  <c r="A2409" i="1"/>
  <c r="J2408" i="1"/>
  <c r="A2408" i="1"/>
  <c r="J2407" i="1"/>
  <c r="A2407" i="1"/>
  <c r="J2406" i="1"/>
  <c r="A2406" i="1"/>
  <c r="A2405" i="1"/>
  <c r="A2404" i="1"/>
  <c r="J2403" i="1"/>
  <c r="A2403" i="1"/>
  <c r="J2402" i="1"/>
  <c r="A2402" i="1"/>
  <c r="A2401" i="1"/>
  <c r="J2400" i="1"/>
  <c r="A2400" i="1"/>
  <c r="A2399" i="1"/>
  <c r="J2398" i="1"/>
  <c r="A2398" i="1"/>
  <c r="A2397" i="1"/>
  <c r="A2396" i="1"/>
  <c r="A2395" i="1"/>
  <c r="J2394" i="1"/>
  <c r="A2394" i="1"/>
  <c r="A2393" i="1"/>
  <c r="K2392" i="1"/>
  <c r="J2392" i="1"/>
  <c r="A2392" i="1"/>
  <c r="J2391" i="1"/>
  <c r="A2391" i="1"/>
  <c r="J2390" i="1"/>
  <c r="A2390" i="1"/>
  <c r="J2389" i="1"/>
  <c r="A2389" i="1"/>
  <c r="M2388" i="1"/>
  <c r="L2388" i="1"/>
  <c r="K2388" i="1"/>
  <c r="J2388" i="1"/>
  <c r="A2388" i="1"/>
  <c r="J2387" i="1"/>
  <c r="A2387" i="1"/>
  <c r="A2386" i="1"/>
  <c r="J2385" i="1"/>
  <c r="A2385" i="1"/>
  <c r="J2384" i="1"/>
  <c r="A2384" i="1"/>
  <c r="L2383" i="1"/>
  <c r="K2383" i="1"/>
  <c r="J2383" i="1"/>
  <c r="A2383" i="1"/>
  <c r="J2382" i="1"/>
  <c r="A2382" i="1"/>
  <c r="J2381" i="1"/>
  <c r="A2381" i="1"/>
  <c r="J2380" i="1"/>
  <c r="A2380" i="1"/>
  <c r="A2379" i="1"/>
  <c r="A2378" i="1"/>
  <c r="A2377" i="1"/>
  <c r="J2376" i="1"/>
  <c r="A2376" i="1"/>
  <c r="A2375" i="1"/>
  <c r="J2374" i="1"/>
  <c r="A2374" i="1"/>
  <c r="J2373" i="1"/>
  <c r="A2373" i="1"/>
  <c r="A2372" i="1"/>
  <c r="A2371" i="1"/>
  <c r="A2370" i="1"/>
  <c r="A2369" i="1"/>
  <c r="A2368" i="1"/>
  <c r="J2367" i="1"/>
  <c r="A2367" i="1"/>
  <c r="J2366" i="1"/>
  <c r="A2366" i="1"/>
  <c r="J2365" i="1"/>
  <c r="A2365" i="1"/>
  <c r="J2364" i="1"/>
  <c r="A2364" i="1"/>
  <c r="A2363" i="1"/>
  <c r="A2362" i="1"/>
  <c r="A2361" i="1"/>
  <c r="K2360" i="1"/>
  <c r="J2360" i="1"/>
  <c r="A2360" i="1"/>
  <c r="A2359" i="1"/>
  <c r="A2358" i="1"/>
  <c r="J2357" i="1"/>
  <c r="A2357" i="1"/>
  <c r="A2356" i="1"/>
  <c r="A2355" i="1"/>
  <c r="A2354" i="1"/>
  <c r="A2353" i="1"/>
  <c r="A2352" i="1"/>
  <c r="A2351" i="1"/>
  <c r="J2350" i="1"/>
  <c r="A2350" i="1"/>
  <c r="J2349" i="1"/>
  <c r="A2349" i="1"/>
  <c r="J2348" i="1"/>
  <c r="A2348" i="1"/>
  <c r="A2347" i="1"/>
  <c r="J2346" i="1"/>
  <c r="A2346" i="1"/>
  <c r="A2345" i="1"/>
  <c r="J2344" i="1"/>
  <c r="A2344" i="1"/>
  <c r="A2343" i="1"/>
  <c r="J2342" i="1"/>
  <c r="A2342" i="1"/>
  <c r="A2341" i="1"/>
  <c r="K2340" i="1"/>
  <c r="J2340" i="1"/>
  <c r="A2340" i="1"/>
  <c r="J2339" i="1"/>
  <c r="A2339" i="1"/>
  <c r="J2338" i="1"/>
  <c r="A2338" i="1"/>
  <c r="J2337" i="1"/>
  <c r="A2337" i="1"/>
  <c r="A2336" i="1"/>
  <c r="A2335" i="1"/>
  <c r="A2334" i="1"/>
  <c r="A2333" i="1"/>
  <c r="A2332" i="1"/>
  <c r="J2331" i="1"/>
  <c r="A2331" i="1"/>
  <c r="J2330" i="1"/>
  <c r="A2330" i="1"/>
  <c r="J2329" i="1"/>
  <c r="A2329" i="1"/>
  <c r="A2328" i="1"/>
  <c r="J2327" i="1"/>
  <c r="A2327" i="1"/>
  <c r="J2326" i="1"/>
  <c r="A2326" i="1"/>
  <c r="J2325" i="1"/>
  <c r="A2325" i="1"/>
  <c r="J2324" i="1"/>
  <c r="A2324" i="1"/>
  <c r="J2323" i="1"/>
  <c r="A2323" i="1"/>
  <c r="A2322" i="1"/>
  <c r="J2321" i="1"/>
  <c r="A2321" i="1"/>
  <c r="J2320" i="1"/>
  <c r="A2320" i="1"/>
  <c r="J2319" i="1"/>
  <c r="A2319" i="1"/>
  <c r="J2318" i="1"/>
  <c r="A2318" i="1"/>
  <c r="A2317" i="1"/>
  <c r="A2316" i="1"/>
  <c r="A2315" i="1"/>
  <c r="A2314" i="1"/>
  <c r="A2313" i="1"/>
  <c r="K2312" i="1"/>
  <c r="J2312" i="1"/>
  <c r="A2312" i="1"/>
  <c r="A2311" i="1"/>
  <c r="J2310" i="1"/>
  <c r="A2310" i="1"/>
  <c r="J2309" i="1"/>
  <c r="A2309" i="1"/>
  <c r="A2308" i="1"/>
  <c r="J2307" i="1"/>
  <c r="A2307" i="1"/>
  <c r="J2306" i="1"/>
  <c r="A2306" i="1"/>
  <c r="A2305" i="1"/>
  <c r="A2304" i="1"/>
  <c r="A2303" i="1"/>
  <c r="J2302" i="1"/>
  <c r="A2302" i="1"/>
  <c r="A2301" i="1"/>
  <c r="J2300" i="1"/>
  <c r="A2300" i="1"/>
  <c r="A2299" i="1"/>
  <c r="A2298" i="1"/>
  <c r="A2297" i="1"/>
  <c r="A2296" i="1"/>
  <c r="J2295" i="1"/>
  <c r="A2295" i="1"/>
  <c r="J2294" i="1"/>
  <c r="A2294" i="1"/>
  <c r="A2293" i="1"/>
  <c r="J2292" i="1"/>
  <c r="A2292" i="1"/>
  <c r="K2291" i="1"/>
  <c r="J2291" i="1"/>
  <c r="A2291" i="1"/>
  <c r="A2290" i="1"/>
  <c r="A2289" i="1"/>
  <c r="A2288" i="1"/>
  <c r="J2287" i="1"/>
  <c r="A2287" i="1"/>
  <c r="A2286" i="1"/>
  <c r="J2285" i="1"/>
  <c r="A2285" i="1"/>
  <c r="A2284" i="1"/>
  <c r="A2283" i="1"/>
  <c r="A2282" i="1"/>
  <c r="A2281" i="1"/>
  <c r="A2280" i="1"/>
  <c r="A2279" i="1"/>
  <c r="A2278" i="1"/>
  <c r="K2277" i="1"/>
  <c r="J2277" i="1"/>
  <c r="A2277" i="1"/>
  <c r="J2276" i="1"/>
  <c r="A2276" i="1"/>
  <c r="J2275" i="1"/>
  <c r="A2275" i="1"/>
  <c r="J2274" i="1"/>
  <c r="A2274" i="1"/>
  <c r="A2273" i="1"/>
  <c r="J2272" i="1"/>
  <c r="A2272" i="1"/>
  <c r="J2271" i="1"/>
  <c r="A2271" i="1"/>
  <c r="J2270" i="1"/>
  <c r="A2270" i="1"/>
  <c r="J2269" i="1"/>
  <c r="A2269" i="1"/>
  <c r="J2268" i="1"/>
  <c r="A2268" i="1"/>
  <c r="J2267" i="1"/>
  <c r="A2267" i="1"/>
  <c r="J2266" i="1"/>
  <c r="A2266" i="1"/>
  <c r="A2265" i="1"/>
  <c r="J2264" i="1"/>
  <c r="A2264" i="1"/>
  <c r="A2263" i="1"/>
  <c r="A2262" i="1"/>
  <c r="A2261" i="1"/>
  <c r="A2260" i="1"/>
  <c r="J2259" i="1"/>
  <c r="A2259" i="1"/>
  <c r="J2258" i="1"/>
  <c r="A2258" i="1"/>
  <c r="J2257" i="1"/>
  <c r="A2257" i="1"/>
  <c r="J2256" i="1"/>
  <c r="A2256" i="1"/>
  <c r="A2255" i="1"/>
  <c r="A2254" i="1"/>
  <c r="J2253" i="1"/>
  <c r="A2253" i="1"/>
  <c r="J2252" i="1"/>
  <c r="A2252" i="1"/>
  <c r="J2251" i="1"/>
  <c r="A2251" i="1"/>
  <c r="J2250" i="1"/>
  <c r="A2250" i="1"/>
  <c r="A2249" i="1"/>
  <c r="J2248" i="1"/>
  <c r="A2248" i="1"/>
  <c r="J2247" i="1"/>
  <c r="A2247" i="1"/>
  <c r="A2246" i="1"/>
  <c r="J2245" i="1"/>
  <c r="A2245" i="1"/>
  <c r="J2244" i="1"/>
  <c r="A2244" i="1"/>
  <c r="J2243" i="1"/>
  <c r="A2243" i="1"/>
  <c r="J2242" i="1"/>
  <c r="A2242" i="1"/>
  <c r="J2241" i="1"/>
  <c r="A2241" i="1"/>
  <c r="J2240" i="1"/>
  <c r="A2240" i="1"/>
  <c r="A2239" i="1"/>
  <c r="A2238" i="1"/>
  <c r="J2237" i="1"/>
  <c r="A2237" i="1"/>
  <c r="J2236" i="1"/>
  <c r="A2236" i="1"/>
  <c r="J2235" i="1"/>
  <c r="A2235" i="1"/>
  <c r="A2234" i="1"/>
  <c r="J2233" i="1"/>
  <c r="A2233" i="1"/>
  <c r="J2232" i="1"/>
  <c r="A2232" i="1"/>
  <c r="J2231" i="1"/>
  <c r="A2231" i="1"/>
  <c r="J2230" i="1"/>
  <c r="A2230" i="1"/>
  <c r="J2229" i="1"/>
  <c r="A2229" i="1"/>
  <c r="K2228" i="1"/>
  <c r="J2228" i="1"/>
  <c r="A2228" i="1"/>
  <c r="J2227" i="1"/>
  <c r="A2227" i="1"/>
  <c r="K2226" i="1"/>
  <c r="J2226" i="1"/>
  <c r="A2226" i="1"/>
  <c r="A2225" i="1"/>
  <c r="J2224" i="1"/>
  <c r="A2224" i="1"/>
  <c r="J2223" i="1"/>
  <c r="A2223" i="1"/>
  <c r="J2222" i="1"/>
  <c r="A2222" i="1"/>
  <c r="J2221" i="1"/>
  <c r="A2221" i="1"/>
  <c r="J2220" i="1"/>
  <c r="A2220" i="1"/>
  <c r="K2219" i="1"/>
  <c r="J2219" i="1"/>
  <c r="A2219" i="1"/>
  <c r="A2218" i="1"/>
  <c r="J2217" i="1"/>
  <c r="A2217" i="1"/>
  <c r="J2216" i="1"/>
  <c r="A2216" i="1"/>
  <c r="J2215" i="1"/>
  <c r="A2215" i="1"/>
  <c r="J2214" i="1"/>
  <c r="A2214" i="1"/>
  <c r="J2213" i="1"/>
  <c r="A2213" i="1"/>
  <c r="J2212" i="1"/>
  <c r="A2212" i="1"/>
  <c r="A2211" i="1"/>
  <c r="J2210" i="1"/>
  <c r="A2210" i="1"/>
  <c r="J2209" i="1"/>
  <c r="A2209" i="1"/>
  <c r="J2208" i="1"/>
  <c r="A2208" i="1"/>
  <c r="J2207" i="1"/>
  <c r="A2207" i="1"/>
  <c r="A2206" i="1"/>
  <c r="L2205" i="1"/>
  <c r="K2205" i="1"/>
  <c r="J2205" i="1"/>
  <c r="A2205" i="1"/>
  <c r="J2204" i="1"/>
  <c r="A2204" i="1"/>
  <c r="J2203" i="1"/>
  <c r="A2203" i="1"/>
  <c r="A2202" i="1"/>
  <c r="J2201" i="1"/>
  <c r="A2201" i="1"/>
  <c r="J2200" i="1"/>
  <c r="A2200" i="1"/>
  <c r="J2199" i="1"/>
  <c r="A2199" i="1"/>
  <c r="A2198" i="1"/>
  <c r="J2197" i="1"/>
  <c r="A2197" i="1"/>
  <c r="A2196" i="1"/>
  <c r="J2195" i="1"/>
  <c r="A2195" i="1"/>
  <c r="J2194" i="1"/>
  <c r="A2194" i="1"/>
  <c r="K2193" i="1"/>
  <c r="J2193" i="1"/>
  <c r="A2193" i="1"/>
  <c r="J2192" i="1"/>
  <c r="A2192" i="1"/>
  <c r="J2191" i="1"/>
  <c r="A2191" i="1"/>
  <c r="M2190" i="1"/>
  <c r="L2190" i="1"/>
  <c r="K2190" i="1"/>
  <c r="J2190" i="1"/>
  <c r="A2190" i="1"/>
  <c r="J2189" i="1"/>
  <c r="A2189" i="1"/>
  <c r="M2188" i="1"/>
  <c r="L2188" i="1"/>
  <c r="K2188" i="1"/>
  <c r="J2188" i="1"/>
  <c r="A2188" i="1"/>
  <c r="K2187" i="1"/>
  <c r="J2187" i="1"/>
  <c r="A2187" i="1"/>
  <c r="A2186" i="1"/>
  <c r="J2185" i="1"/>
  <c r="A2185" i="1"/>
  <c r="J2184" i="1"/>
  <c r="A2184" i="1"/>
  <c r="J2183" i="1"/>
  <c r="A2183" i="1"/>
  <c r="A2182" i="1"/>
  <c r="A2181" i="1"/>
  <c r="J2180" i="1"/>
  <c r="A2180" i="1"/>
  <c r="J2179" i="1"/>
  <c r="A2179" i="1"/>
  <c r="J2178" i="1"/>
  <c r="A2178" i="1"/>
  <c r="J2177" i="1"/>
  <c r="A2177" i="1"/>
  <c r="A2176" i="1"/>
  <c r="J2175" i="1"/>
  <c r="A2175" i="1"/>
  <c r="J2174" i="1"/>
  <c r="A2174" i="1"/>
  <c r="A2173" i="1"/>
  <c r="J2172" i="1"/>
  <c r="A2172" i="1"/>
  <c r="J2171" i="1"/>
  <c r="A2171" i="1"/>
  <c r="J2170" i="1"/>
  <c r="A2170" i="1"/>
  <c r="J2169" i="1"/>
  <c r="A2169" i="1"/>
  <c r="K2168" i="1"/>
  <c r="J2168" i="1"/>
  <c r="A2168" i="1"/>
  <c r="A2167" i="1"/>
  <c r="J2166" i="1"/>
  <c r="A2166" i="1"/>
  <c r="A2165" i="1"/>
  <c r="J2164" i="1"/>
  <c r="A2164" i="1"/>
  <c r="J2163" i="1"/>
  <c r="A2163" i="1"/>
  <c r="J2162" i="1"/>
  <c r="A2162" i="1"/>
  <c r="J2161" i="1"/>
  <c r="A2161" i="1"/>
  <c r="A2160" i="1"/>
  <c r="J2159" i="1"/>
  <c r="A2159" i="1"/>
  <c r="A2158" i="1"/>
  <c r="J2157" i="1"/>
  <c r="A2157" i="1"/>
  <c r="J2156" i="1"/>
  <c r="A2156" i="1"/>
  <c r="J2155" i="1"/>
  <c r="A2155" i="1"/>
  <c r="J2154" i="1"/>
  <c r="A2154" i="1"/>
  <c r="J2153" i="1"/>
  <c r="A2153" i="1"/>
  <c r="J2152" i="1"/>
  <c r="A2152" i="1"/>
  <c r="A2151" i="1"/>
  <c r="J2150" i="1"/>
  <c r="A2150" i="1"/>
  <c r="J2149" i="1"/>
  <c r="A2149" i="1"/>
  <c r="A2148" i="1"/>
  <c r="J2147" i="1"/>
  <c r="A2147" i="1"/>
  <c r="A2146" i="1"/>
  <c r="A2145" i="1"/>
  <c r="J2144" i="1"/>
  <c r="A2144" i="1"/>
  <c r="J2143" i="1"/>
  <c r="A2143" i="1"/>
  <c r="J2142" i="1"/>
  <c r="A2142" i="1"/>
  <c r="J2141" i="1"/>
  <c r="A2141" i="1"/>
  <c r="J2140" i="1"/>
  <c r="A2140" i="1"/>
  <c r="J2139" i="1"/>
  <c r="A2139" i="1"/>
  <c r="K2138" i="1"/>
  <c r="J2138" i="1"/>
  <c r="A2138" i="1"/>
  <c r="J2137" i="1"/>
  <c r="A2137" i="1"/>
  <c r="J2136" i="1"/>
  <c r="A2136" i="1"/>
  <c r="A2135" i="1"/>
  <c r="J2134" i="1"/>
  <c r="A2134" i="1"/>
  <c r="J2133" i="1"/>
  <c r="A2133" i="1"/>
  <c r="J2132" i="1"/>
  <c r="A2132" i="1"/>
  <c r="A2131" i="1"/>
  <c r="J2130" i="1"/>
  <c r="A2130" i="1"/>
  <c r="J2129" i="1"/>
  <c r="A2129" i="1"/>
  <c r="K2128" i="1"/>
  <c r="J2128" i="1"/>
  <c r="A2128" i="1"/>
  <c r="A2127" i="1"/>
  <c r="J2126" i="1"/>
  <c r="A2126" i="1"/>
  <c r="J2125" i="1"/>
  <c r="A2125" i="1"/>
  <c r="A2124" i="1"/>
  <c r="A2123" i="1"/>
  <c r="J2122" i="1"/>
  <c r="A2122" i="1"/>
  <c r="J2121" i="1"/>
  <c r="A2121" i="1"/>
  <c r="A2120" i="1"/>
  <c r="A2119" i="1"/>
  <c r="J2118" i="1"/>
  <c r="A2118" i="1"/>
  <c r="J2117" i="1"/>
  <c r="A2117" i="1"/>
  <c r="A2116" i="1"/>
  <c r="J2115" i="1"/>
  <c r="A2115" i="1"/>
  <c r="J2114" i="1"/>
  <c r="A2114" i="1"/>
  <c r="J2113" i="1"/>
  <c r="A2113" i="1"/>
  <c r="J2112" i="1"/>
  <c r="A2112" i="1"/>
  <c r="J2111" i="1"/>
  <c r="A2111" i="1"/>
  <c r="J2110" i="1"/>
  <c r="A2110" i="1"/>
  <c r="A2109" i="1"/>
  <c r="J2108" i="1"/>
  <c r="A2108" i="1"/>
  <c r="A2107" i="1"/>
  <c r="L2106" i="1"/>
  <c r="K2106" i="1"/>
  <c r="J2106" i="1"/>
  <c r="A2106" i="1"/>
  <c r="A2105" i="1"/>
  <c r="J2104" i="1"/>
  <c r="A2104" i="1"/>
  <c r="J2103" i="1"/>
  <c r="A2103" i="1"/>
  <c r="J2102" i="1"/>
  <c r="A2102" i="1"/>
  <c r="J2101" i="1"/>
  <c r="A2101" i="1"/>
  <c r="A2100" i="1"/>
  <c r="A2099" i="1"/>
  <c r="A2098" i="1"/>
  <c r="J2097" i="1"/>
  <c r="A2097" i="1"/>
  <c r="A2096" i="1"/>
  <c r="A2095" i="1"/>
  <c r="A2094" i="1"/>
  <c r="A2093" i="1"/>
  <c r="A2092" i="1"/>
  <c r="J2091" i="1"/>
  <c r="A2091" i="1"/>
  <c r="J2090" i="1"/>
  <c r="A2090" i="1"/>
  <c r="A2089" i="1"/>
  <c r="J2088" i="1"/>
  <c r="A2088" i="1"/>
  <c r="A2087" i="1"/>
  <c r="J2086" i="1"/>
  <c r="A2086" i="1"/>
  <c r="J2085" i="1"/>
  <c r="A2085" i="1"/>
  <c r="A2084" i="1"/>
  <c r="J2083" i="1"/>
  <c r="A2083" i="1"/>
  <c r="A2082" i="1"/>
  <c r="J2081" i="1"/>
  <c r="A2081" i="1"/>
  <c r="A2080" i="1"/>
  <c r="A2079" i="1"/>
  <c r="J2078" i="1"/>
  <c r="A2078" i="1"/>
  <c r="J2077" i="1"/>
  <c r="A2077" i="1"/>
  <c r="A2076" i="1"/>
  <c r="J2075" i="1"/>
  <c r="A2075" i="1"/>
  <c r="A2074" i="1"/>
  <c r="J2073" i="1"/>
  <c r="A2073" i="1"/>
  <c r="J2072" i="1"/>
  <c r="A2072" i="1"/>
  <c r="J2071" i="1"/>
  <c r="A2071" i="1"/>
  <c r="J2070" i="1"/>
  <c r="A2070" i="1"/>
  <c r="A2069" i="1"/>
  <c r="J2068" i="1"/>
  <c r="A2068" i="1"/>
  <c r="J2067" i="1"/>
  <c r="A2067" i="1"/>
  <c r="J2066" i="1"/>
  <c r="A2066" i="1"/>
  <c r="J2065" i="1"/>
  <c r="A2065" i="1"/>
  <c r="A2064" i="1"/>
  <c r="A2063" i="1"/>
  <c r="J2062" i="1"/>
  <c r="A2062" i="1"/>
  <c r="A2061" i="1"/>
  <c r="A2060" i="1"/>
  <c r="A2059" i="1"/>
  <c r="J2058" i="1"/>
  <c r="A2058" i="1"/>
  <c r="A2057" i="1"/>
  <c r="J2056" i="1"/>
  <c r="A2056" i="1"/>
  <c r="A2055" i="1"/>
  <c r="K2054" i="1"/>
  <c r="J2054" i="1"/>
  <c r="A2054" i="1"/>
  <c r="J2053" i="1"/>
  <c r="A2053" i="1"/>
  <c r="A2052" i="1"/>
  <c r="A2051" i="1"/>
  <c r="A2050" i="1"/>
  <c r="A2049" i="1"/>
  <c r="L2048" i="1"/>
  <c r="K2048" i="1"/>
  <c r="J2048" i="1"/>
  <c r="A2048" i="1"/>
  <c r="A2047" i="1"/>
  <c r="A2046" i="1"/>
  <c r="L2045" i="1"/>
  <c r="K2045" i="1"/>
  <c r="J2045" i="1"/>
  <c r="A2045" i="1"/>
  <c r="J2044" i="1"/>
  <c r="A2044" i="1"/>
  <c r="J2043" i="1"/>
  <c r="A2043" i="1"/>
  <c r="J2042" i="1"/>
  <c r="A2042" i="1"/>
  <c r="A2041" i="1"/>
  <c r="J2040" i="1"/>
  <c r="A2040" i="1"/>
  <c r="J2039" i="1"/>
  <c r="A2039" i="1"/>
  <c r="J2038" i="1"/>
  <c r="A2038" i="1"/>
  <c r="J2037" i="1"/>
  <c r="A2037" i="1"/>
  <c r="J2036" i="1"/>
  <c r="A2036" i="1"/>
  <c r="J2035" i="1"/>
  <c r="A2035" i="1"/>
  <c r="J2034" i="1"/>
  <c r="A2034" i="1"/>
  <c r="J2033" i="1"/>
  <c r="A2033" i="1"/>
  <c r="J2032" i="1"/>
  <c r="A2032" i="1"/>
  <c r="J2031" i="1"/>
  <c r="A2031" i="1"/>
  <c r="A2030" i="1"/>
  <c r="J2029" i="1"/>
  <c r="A2029" i="1"/>
  <c r="J2028" i="1"/>
  <c r="A2028" i="1"/>
  <c r="L2027" i="1"/>
  <c r="K2027" i="1"/>
  <c r="J2027" i="1"/>
  <c r="A2027" i="1"/>
  <c r="A2026" i="1"/>
  <c r="A2025" i="1"/>
  <c r="J2024" i="1"/>
  <c r="A2024" i="1"/>
  <c r="A2023" i="1"/>
  <c r="L2022" i="1"/>
  <c r="K2022" i="1"/>
  <c r="J2022" i="1"/>
  <c r="A2022" i="1"/>
  <c r="A2021" i="1"/>
  <c r="A2020" i="1"/>
  <c r="A2019" i="1"/>
  <c r="J2018" i="1"/>
  <c r="A2018" i="1"/>
  <c r="A2017" i="1"/>
  <c r="A2016" i="1"/>
  <c r="J2015" i="1"/>
  <c r="A2015" i="1"/>
  <c r="J2014" i="1"/>
  <c r="A2014" i="1"/>
  <c r="J2013" i="1"/>
  <c r="A2013" i="1"/>
  <c r="A2012" i="1"/>
  <c r="J2011" i="1"/>
  <c r="A2011" i="1"/>
  <c r="A2010" i="1"/>
  <c r="A2009" i="1"/>
  <c r="A2008" i="1"/>
  <c r="J2007" i="1"/>
  <c r="A2007" i="1"/>
  <c r="J2006" i="1"/>
  <c r="A2006" i="1"/>
  <c r="J2005" i="1"/>
  <c r="A2005" i="1"/>
  <c r="A2004" i="1"/>
  <c r="L2003" i="1"/>
  <c r="K2003" i="1"/>
  <c r="J2003" i="1"/>
  <c r="A2003" i="1"/>
  <c r="A2002" i="1"/>
  <c r="J2001" i="1"/>
  <c r="A2001" i="1"/>
  <c r="J2000" i="1"/>
  <c r="A2000" i="1"/>
  <c r="J1999" i="1"/>
  <c r="A1999" i="1"/>
  <c r="J1998" i="1"/>
  <c r="A1998" i="1"/>
  <c r="J1997" i="1"/>
  <c r="A1997" i="1"/>
  <c r="A1996" i="1"/>
  <c r="J1995" i="1"/>
  <c r="A1995" i="1"/>
  <c r="A1994" i="1"/>
  <c r="K1993" i="1"/>
  <c r="J1993" i="1"/>
  <c r="A1993" i="1"/>
  <c r="A1992" i="1"/>
  <c r="A1991" i="1"/>
  <c r="J1990" i="1"/>
  <c r="A1990" i="1"/>
  <c r="J1989" i="1"/>
  <c r="A1989" i="1"/>
  <c r="J1988" i="1"/>
  <c r="A1988" i="1"/>
  <c r="J1987" i="1"/>
  <c r="A1987" i="1"/>
  <c r="J1986" i="1"/>
  <c r="A1986" i="1"/>
  <c r="L1985" i="1"/>
  <c r="K1985" i="1"/>
  <c r="J1985" i="1"/>
  <c r="A1985" i="1"/>
  <c r="A1984" i="1"/>
  <c r="A1983" i="1"/>
  <c r="A1982" i="1"/>
  <c r="A1981" i="1"/>
  <c r="A1980" i="1"/>
  <c r="A1979" i="1"/>
  <c r="A1978" i="1"/>
  <c r="A1977" i="1"/>
  <c r="A1976" i="1"/>
  <c r="A1975" i="1"/>
  <c r="A1974" i="1"/>
  <c r="A1973" i="1"/>
  <c r="A1972" i="1"/>
  <c r="J1971" i="1"/>
  <c r="A1971" i="1"/>
  <c r="J1970" i="1"/>
  <c r="A1970" i="1"/>
  <c r="A1969" i="1"/>
  <c r="J1968" i="1"/>
  <c r="A1968" i="1"/>
  <c r="A1967" i="1"/>
  <c r="A1966" i="1"/>
  <c r="A1965" i="1"/>
  <c r="J1964" i="1"/>
  <c r="A1964" i="1"/>
  <c r="J1963" i="1"/>
  <c r="A1963" i="1"/>
  <c r="J1962" i="1"/>
  <c r="A1962" i="1"/>
  <c r="A1961" i="1"/>
  <c r="J1960" i="1"/>
  <c r="A1960" i="1"/>
  <c r="A1959" i="1"/>
  <c r="A1958" i="1"/>
  <c r="J1957" i="1"/>
  <c r="A1957" i="1"/>
  <c r="A1956" i="1"/>
  <c r="J1955" i="1"/>
  <c r="A1955" i="1"/>
  <c r="A1954" i="1"/>
  <c r="J1953" i="1"/>
  <c r="A1953" i="1"/>
  <c r="A1952" i="1"/>
  <c r="J1951" i="1"/>
  <c r="A1951" i="1"/>
  <c r="J1950" i="1"/>
  <c r="A1950" i="1"/>
  <c r="J1949" i="1"/>
  <c r="A1949" i="1"/>
  <c r="J1948" i="1"/>
  <c r="A1948" i="1"/>
  <c r="J1947" i="1"/>
  <c r="A1947" i="1"/>
  <c r="J1946" i="1"/>
  <c r="A1946" i="1"/>
  <c r="J1945" i="1"/>
  <c r="A1945" i="1"/>
  <c r="J1944" i="1"/>
  <c r="A1944" i="1"/>
  <c r="A1943" i="1"/>
  <c r="A1942" i="1"/>
  <c r="A1941" i="1"/>
  <c r="A1940" i="1"/>
  <c r="J1939" i="1"/>
  <c r="A1939" i="1"/>
  <c r="A1938" i="1"/>
  <c r="A1937" i="1"/>
  <c r="J1936" i="1"/>
  <c r="A1936" i="1"/>
  <c r="J1935" i="1"/>
  <c r="A1935" i="1"/>
  <c r="J1934" i="1"/>
  <c r="A1934" i="1"/>
  <c r="J1933" i="1"/>
  <c r="A1933" i="1"/>
  <c r="A1932" i="1"/>
  <c r="A1931" i="1"/>
  <c r="J1930" i="1"/>
  <c r="A1930" i="1"/>
  <c r="J1929" i="1"/>
  <c r="A1929" i="1"/>
  <c r="J1928" i="1"/>
  <c r="A1928" i="1"/>
  <c r="A1927" i="1"/>
  <c r="J1926" i="1"/>
  <c r="A1926" i="1"/>
  <c r="A1925" i="1"/>
  <c r="J1924" i="1"/>
  <c r="A1924" i="1"/>
  <c r="J1923" i="1"/>
  <c r="A1923" i="1"/>
  <c r="A1922" i="1"/>
  <c r="J1921" i="1"/>
  <c r="A1921" i="1"/>
  <c r="J1920" i="1"/>
  <c r="A1920" i="1"/>
  <c r="J1919" i="1"/>
  <c r="A1919" i="1"/>
  <c r="J1918" i="1"/>
  <c r="A1918" i="1"/>
  <c r="J1917" i="1"/>
  <c r="A1917" i="1"/>
  <c r="J1916" i="1"/>
  <c r="A1916" i="1"/>
  <c r="J1915" i="1"/>
  <c r="A1915" i="1"/>
  <c r="J1914" i="1"/>
  <c r="A1914" i="1"/>
  <c r="J1913" i="1"/>
  <c r="A1913" i="1"/>
  <c r="A1912" i="1"/>
  <c r="J1911" i="1"/>
  <c r="A1911" i="1"/>
  <c r="K1910" i="1"/>
  <c r="J1910" i="1"/>
  <c r="A1910" i="1"/>
  <c r="J1909" i="1"/>
  <c r="A1909" i="1"/>
  <c r="A1908" i="1"/>
  <c r="J1907" i="1"/>
  <c r="A1907" i="1"/>
  <c r="J1906" i="1"/>
  <c r="A1906" i="1"/>
  <c r="A1905" i="1"/>
  <c r="J1904" i="1"/>
  <c r="A1904" i="1"/>
  <c r="J1903" i="1"/>
  <c r="A1903" i="1"/>
  <c r="J1902" i="1"/>
  <c r="A1902" i="1"/>
  <c r="A1901" i="1"/>
  <c r="A1900" i="1"/>
  <c r="A1899" i="1"/>
  <c r="J1898" i="1"/>
  <c r="A1898" i="1"/>
  <c r="A1897" i="1"/>
  <c r="J1896" i="1"/>
  <c r="A1896" i="1"/>
  <c r="J1895" i="1"/>
  <c r="A1895" i="1"/>
  <c r="A1894" i="1"/>
  <c r="J1893" i="1"/>
  <c r="A1893" i="1"/>
  <c r="A1892" i="1"/>
  <c r="J1891" i="1"/>
  <c r="A1891" i="1"/>
  <c r="J1890" i="1"/>
  <c r="A1890" i="1"/>
  <c r="J1889" i="1"/>
  <c r="A1889" i="1"/>
  <c r="J1888" i="1"/>
  <c r="A1888" i="1"/>
  <c r="J1887" i="1"/>
  <c r="A1887" i="1"/>
  <c r="A1886" i="1"/>
  <c r="A1885" i="1"/>
  <c r="J1884" i="1"/>
  <c r="A1884" i="1"/>
  <c r="J1883" i="1"/>
  <c r="A1883" i="1"/>
  <c r="J1882" i="1"/>
  <c r="A1882" i="1"/>
  <c r="J1881" i="1"/>
  <c r="A1881" i="1"/>
  <c r="J1880" i="1"/>
  <c r="A1880" i="1"/>
  <c r="J1879" i="1"/>
  <c r="A1879" i="1"/>
  <c r="J1878" i="1"/>
  <c r="A1878" i="1"/>
  <c r="J1877" i="1"/>
  <c r="A1877" i="1"/>
  <c r="J1876" i="1"/>
  <c r="A1876" i="1"/>
  <c r="J1875" i="1"/>
  <c r="A1875" i="1"/>
  <c r="J1874" i="1"/>
  <c r="A1874" i="1"/>
  <c r="J1873" i="1"/>
  <c r="A1873" i="1"/>
  <c r="J1872" i="1"/>
  <c r="A1872" i="1"/>
  <c r="J1871" i="1"/>
  <c r="A1871" i="1"/>
  <c r="J1870" i="1"/>
  <c r="A1870" i="1"/>
  <c r="J1869" i="1"/>
  <c r="A1869" i="1"/>
  <c r="A1868" i="1"/>
  <c r="A1867" i="1"/>
  <c r="A1866" i="1"/>
  <c r="A1865" i="1"/>
  <c r="J1864" i="1"/>
  <c r="A1864" i="1"/>
  <c r="J1863" i="1"/>
  <c r="A1863" i="1"/>
  <c r="J1862" i="1"/>
  <c r="A1862" i="1"/>
  <c r="J1861" i="1"/>
  <c r="A1861" i="1"/>
  <c r="J1860" i="1"/>
  <c r="A1860" i="1"/>
  <c r="J1859" i="1"/>
  <c r="A1859" i="1"/>
  <c r="J1858" i="1"/>
  <c r="A1858" i="1"/>
  <c r="J1857" i="1"/>
  <c r="A1857" i="1"/>
  <c r="J1856" i="1"/>
  <c r="A1856" i="1"/>
  <c r="J1855" i="1"/>
  <c r="A1855" i="1"/>
  <c r="J1854" i="1"/>
  <c r="A1854" i="1"/>
  <c r="J1853" i="1"/>
  <c r="A1853" i="1"/>
  <c r="A1852" i="1"/>
  <c r="A1851" i="1"/>
  <c r="J1850" i="1"/>
  <c r="A1850" i="1"/>
  <c r="A1849" i="1"/>
  <c r="J1848" i="1"/>
  <c r="A1848" i="1"/>
  <c r="A1847" i="1"/>
  <c r="A1846" i="1"/>
  <c r="J1845" i="1"/>
  <c r="A1845" i="1"/>
  <c r="J1844" i="1"/>
  <c r="A1844" i="1"/>
  <c r="A1843" i="1"/>
  <c r="J1842" i="1"/>
  <c r="A1842" i="1"/>
  <c r="J1841" i="1"/>
  <c r="A1841" i="1"/>
  <c r="J1840" i="1"/>
  <c r="A1840" i="1"/>
  <c r="J1839" i="1"/>
  <c r="A1839" i="1"/>
  <c r="J1838" i="1"/>
  <c r="A1838" i="1"/>
  <c r="J1837" i="1"/>
  <c r="A1837" i="1"/>
  <c r="J1836" i="1"/>
  <c r="A1836" i="1"/>
  <c r="J1835" i="1"/>
  <c r="A1835" i="1"/>
  <c r="J1834" i="1"/>
  <c r="A1834" i="1"/>
  <c r="J1833" i="1"/>
  <c r="A1833" i="1"/>
  <c r="A1832" i="1"/>
  <c r="A1831" i="1"/>
  <c r="A1830" i="1"/>
  <c r="A1829" i="1"/>
  <c r="J1828" i="1"/>
  <c r="A1828" i="1"/>
  <c r="J1827" i="1"/>
  <c r="A1827" i="1"/>
  <c r="J1826" i="1"/>
  <c r="A1826" i="1"/>
  <c r="J1825" i="1"/>
  <c r="A1825" i="1"/>
  <c r="J1824" i="1"/>
  <c r="A1824" i="1"/>
  <c r="J1823" i="1"/>
  <c r="A1823" i="1"/>
  <c r="A1822" i="1"/>
  <c r="M1821" i="1"/>
  <c r="L1821" i="1"/>
  <c r="K1821" i="1"/>
  <c r="J1821" i="1"/>
  <c r="A1821" i="1"/>
  <c r="A1820" i="1"/>
  <c r="J1819" i="1"/>
  <c r="A1819" i="1"/>
  <c r="J1818" i="1"/>
  <c r="A1818" i="1"/>
  <c r="J1817" i="1"/>
  <c r="A1817" i="1"/>
  <c r="J1816" i="1"/>
  <c r="A1816" i="1"/>
  <c r="J1815" i="1"/>
  <c r="A1815" i="1"/>
  <c r="A1814" i="1"/>
  <c r="J1813" i="1"/>
  <c r="A1813" i="1"/>
  <c r="J1812" i="1"/>
  <c r="A1812" i="1"/>
  <c r="J1811" i="1"/>
  <c r="A1811" i="1"/>
  <c r="J1810" i="1"/>
  <c r="A1810" i="1"/>
  <c r="J1809" i="1"/>
  <c r="A1809" i="1"/>
  <c r="J1808" i="1"/>
  <c r="A1808" i="1"/>
  <c r="J1807" i="1"/>
  <c r="A1807" i="1"/>
  <c r="J1806" i="1"/>
  <c r="A1806" i="1"/>
  <c r="J1805" i="1"/>
  <c r="A1805" i="1"/>
  <c r="J1804" i="1"/>
  <c r="A1804" i="1"/>
  <c r="J1803" i="1"/>
  <c r="A1803" i="1"/>
  <c r="J1802" i="1"/>
  <c r="A1802" i="1"/>
  <c r="J1801" i="1"/>
  <c r="A1801" i="1"/>
  <c r="A1800" i="1"/>
  <c r="J1799" i="1"/>
  <c r="A1799" i="1"/>
  <c r="A1798" i="1"/>
  <c r="J1797" i="1"/>
  <c r="A1797" i="1"/>
  <c r="J1796" i="1"/>
  <c r="A1796" i="1"/>
  <c r="J1795" i="1"/>
  <c r="A1795" i="1"/>
  <c r="J1794" i="1"/>
  <c r="A1794" i="1"/>
  <c r="J1793" i="1"/>
  <c r="A1793" i="1"/>
  <c r="J1792" i="1"/>
  <c r="A1792" i="1"/>
  <c r="J1791" i="1"/>
  <c r="A1791" i="1"/>
  <c r="J1790" i="1"/>
  <c r="A1790" i="1"/>
  <c r="J1789" i="1"/>
  <c r="A1789" i="1"/>
  <c r="J1788" i="1"/>
  <c r="A1788" i="1"/>
  <c r="J1787" i="1"/>
  <c r="A1787" i="1"/>
  <c r="J1786" i="1"/>
  <c r="A1786" i="1"/>
  <c r="J1785" i="1"/>
  <c r="A1785" i="1"/>
  <c r="A1784" i="1"/>
  <c r="L1783" i="1"/>
  <c r="K1783" i="1"/>
  <c r="J1783" i="1"/>
  <c r="A1783" i="1"/>
  <c r="A1782" i="1"/>
  <c r="J1781" i="1"/>
  <c r="A1781" i="1"/>
  <c r="J1780" i="1"/>
  <c r="A1780" i="1"/>
  <c r="J1779" i="1"/>
  <c r="A1779" i="1"/>
  <c r="J1778" i="1"/>
  <c r="A1778" i="1"/>
  <c r="J1777" i="1"/>
  <c r="A1777" i="1"/>
  <c r="J1776" i="1"/>
  <c r="A1776" i="1"/>
  <c r="J1775" i="1"/>
  <c r="A1775" i="1"/>
  <c r="J1774" i="1"/>
  <c r="A1774" i="1"/>
  <c r="J1773" i="1"/>
  <c r="A1773" i="1"/>
  <c r="J1772" i="1"/>
  <c r="A1772" i="1"/>
  <c r="K1771" i="1"/>
  <c r="J1771" i="1"/>
  <c r="A1771" i="1"/>
  <c r="A1770" i="1"/>
  <c r="J1769" i="1"/>
  <c r="A1769" i="1"/>
  <c r="J1768" i="1"/>
  <c r="A1768" i="1"/>
  <c r="J1767" i="1"/>
  <c r="A1767" i="1"/>
  <c r="J1766" i="1"/>
  <c r="A1766" i="1"/>
  <c r="J1765" i="1"/>
  <c r="A1765" i="1"/>
  <c r="K1764" i="1"/>
  <c r="J1764" i="1"/>
  <c r="A1764" i="1"/>
  <c r="J1763" i="1"/>
  <c r="A1763" i="1"/>
  <c r="J1762" i="1"/>
  <c r="A1762" i="1"/>
  <c r="A1761" i="1"/>
  <c r="L1760" i="1"/>
  <c r="K1760" i="1"/>
  <c r="J1760" i="1"/>
  <c r="A1760" i="1"/>
  <c r="J1759" i="1"/>
  <c r="A1759" i="1"/>
  <c r="J1758" i="1"/>
  <c r="A1758" i="1"/>
  <c r="J1757" i="1"/>
  <c r="A1757" i="1"/>
  <c r="A1756" i="1"/>
  <c r="J1755" i="1"/>
  <c r="A1755" i="1"/>
  <c r="A1754" i="1"/>
  <c r="J1753" i="1"/>
  <c r="A1753" i="1"/>
  <c r="A1752" i="1"/>
  <c r="A1751" i="1"/>
  <c r="J1750" i="1"/>
  <c r="A1750" i="1"/>
  <c r="J1749" i="1"/>
  <c r="A1749" i="1"/>
  <c r="J1748" i="1"/>
  <c r="A1748" i="1"/>
  <c r="J1747" i="1"/>
  <c r="A1747" i="1"/>
  <c r="J1746" i="1"/>
  <c r="A1746" i="1"/>
  <c r="J1745" i="1"/>
  <c r="A1745" i="1"/>
  <c r="J1744" i="1"/>
  <c r="A1744" i="1"/>
  <c r="J1743" i="1"/>
  <c r="A1743" i="1"/>
  <c r="J1742" i="1"/>
  <c r="A1742" i="1"/>
  <c r="J1741" i="1"/>
  <c r="A1741" i="1"/>
  <c r="A1740" i="1"/>
  <c r="A1739" i="1"/>
  <c r="A1738" i="1"/>
  <c r="J1737" i="1"/>
  <c r="A1737" i="1"/>
  <c r="J1736" i="1"/>
  <c r="A1736" i="1"/>
  <c r="A1735" i="1"/>
  <c r="J1734" i="1"/>
  <c r="A1734" i="1"/>
  <c r="J1733" i="1"/>
  <c r="A1733" i="1"/>
  <c r="A1732" i="1"/>
  <c r="A1731" i="1"/>
  <c r="A1730" i="1"/>
  <c r="K1729" i="1"/>
  <c r="J1729" i="1"/>
  <c r="A1729" i="1"/>
  <c r="A1728" i="1"/>
  <c r="A1727" i="1"/>
  <c r="J1726" i="1"/>
  <c r="A1726" i="1"/>
  <c r="K1725" i="1"/>
  <c r="J1725" i="1"/>
  <c r="A1725" i="1"/>
  <c r="A1724" i="1"/>
  <c r="A1723" i="1"/>
  <c r="J1722" i="1"/>
  <c r="A1722" i="1"/>
  <c r="J1721" i="1"/>
  <c r="A1721" i="1"/>
  <c r="J1720" i="1"/>
  <c r="A1720" i="1"/>
  <c r="A1719" i="1"/>
  <c r="J1718" i="1"/>
  <c r="A1718" i="1"/>
  <c r="A1717" i="1"/>
  <c r="A1716" i="1"/>
  <c r="J1715" i="1"/>
  <c r="A1715" i="1"/>
  <c r="A1714" i="1"/>
  <c r="A1713" i="1"/>
  <c r="J1712" i="1"/>
  <c r="A1712" i="1"/>
  <c r="A1711" i="1"/>
  <c r="J1710" i="1"/>
  <c r="A1710" i="1"/>
  <c r="A1709" i="1"/>
  <c r="A1708" i="1"/>
  <c r="J1707" i="1"/>
  <c r="A1707" i="1"/>
  <c r="J1706" i="1"/>
  <c r="A1706" i="1"/>
  <c r="J1705" i="1"/>
  <c r="A1705" i="1"/>
  <c r="J1704" i="1"/>
  <c r="A1704" i="1"/>
  <c r="J1703" i="1"/>
  <c r="A1703" i="1"/>
  <c r="A1702" i="1"/>
  <c r="J1701" i="1"/>
  <c r="A1701" i="1"/>
  <c r="A1700" i="1"/>
  <c r="J1699" i="1"/>
  <c r="A1699" i="1"/>
  <c r="A1698" i="1"/>
  <c r="J1697" i="1"/>
  <c r="A1697" i="1"/>
  <c r="A1696" i="1"/>
  <c r="J1695" i="1"/>
  <c r="A1695" i="1"/>
  <c r="J1694" i="1"/>
  <c r="A1694" i="1"/>
  <c r="A1693" i="1"/>
  <c r="J1692" i="1"/>
  <c r="A1692" i="1"/>
  <c r="J1691" i="1"/>
  <c r="A1691" i="1"/>
  <c r="J1690" i="1"/>
  <c r="A1690" i="1"/>
  <c r="J1689" i="1"/>
  <c r="A1689" i="1"/>
  <c r="J1688" i="1"/>
  <c r="A1688" i="1"/>
  <c r="J1687" i="1"/>
  <c r="A1687" i="1"/>
  <c r="J1686" i="1"/>
  <c r="A1686" i="1"/>
  <c r="A1685" i="1"/>
  <c r="J1684" i="1"/>
  <c r="A1684" i="1"/>
  <c r="J1683" i="1"/>
  <c r="A1683" i="1"/>
  <c r="J1682" i="1"/>
  <c r="A1682" i="1"/>
  <c r="J1681" i="1"/>
  <c r="A1681" i="1"/>
  <c r="J1680" i="1"/>
  <c r="A1680" i="1"/>
  <c r="A1679" i="1"/>
  <c r="J1678" i="1"/>
  <c r="A1678" i="1"/>
  <c r="A1677" i="1"/>
  <c r="J1676" i="1"/>
  <c r="A1676" i="1"/>
  <c r="J1675" i="1"/>
  <c r="A1675" i="1"/>
  <c r="L1674" i="1"/>
  <c r="K1674" i="1"/>
  <c r="J1674" i="1"/>
  <c r="A1674" i="1"/>
  <c r="J1673" i="1"/>
  <c r="A1673" i="1"/>
  <c r="J1672" i="1"/>
  <c r="A1672" i="1"/>
  <c r="J1671" i="1"/>
  <c r="A1671" i="1"/>
  <c r="J1670" i="1"/>
  <c r="A1670" i="1"/>
  <c r="K1669" i="1"/>
  <c r="J1669" i="1"/>
  <c r="A1669" i="1"/>
  <c r="J1668" i="1"/>
  <c r="A1668" i="1"/>
  <c r="J1667" i="1"/>
  <c r="A1667" i="1"/>
  <c r="A1666" i="1"/>
  <c r="J1665" i="1"/>
  <c r="A1665" i="1"/>
  <c r="J1664" i="1"/>
  <c r="A1664" i="1"/>
  <c r="J1663" i="1"/>
  <c r="A1663" i="1"/>
  <c r="A1662" i="1"/>
  <c r="J1661" i="1"/>
  <c r="A1661" i="1"/>
  <c r="J1660" i="1"/>
  <c r="A1660" i="1"/>
  <c r="J1659" i="1"/>
  <c r="A1659" i="1"/>
  <c r="A1658" i="1"/>
  <c r="A1657" i="1"/>
  <c r="A1656" i="1"/>
  <c r="J1655" i="1"/>
  <c r="A1655" i="1"/>
  <c r="A1654" i="1"/>
  <c r="J1653" i="1"/>
  <c r="A1653" i="1"/>
  <c r="A1652" i="1"/>
  <c r="J1651" i="1"/>
  <c r="A1651" i="1"/>
  <c r="J1650" i="1"/>
  <c r="A1650" i="1"/>
  <c r="K1649" i="1"/>
  <c r="J1649" i="1"/>
  <c r="A1649" i="1"/>
  <c r="J1648" i="1"/>
  <c r="A1648" i="1"/>
  <c r="J1647" i="1"/>
  <c r="A1647" i="1"/>
  <c r="J1646" i="1"/>
  <c r="A1646" i="1"/>
  <c r="A1645" i="1"/>
  <c r="J1644" i="1"/>
  <c r="A1644" i="1"/>
  <c r="J1643" i="1"/>
  <c r="A1643" i="1"/>
  <c r="J1642" i="1"/>
  <c r="A1642" i="1"/>
  <c r="A1641" i="1"/>
  <c r="A1640" i="1"/>
  <c r="A1639" i="1"/>
  <c r="J1638" i="1"/>
  <c r="A1638" i="1"/>
  <c r="J1637" i="1"/>
  <c r="A1637" i="1"/>
  <c r="K1636" i="1"/>
  <c r="J1636" i="1"/>
  <c r="A1636" i="1"/>
  <c r="J1635" i="1"/>
  <c r="A1635" i="1"/>
  <c r="J1634" i="1"/>
  <c r="A1634" i="1"/>
  <c r="J1633" i="1"/>
  <c r="A1633" i="1"/>
  <c r="K1632" i="1"/>
  <c r="J1632" i="1"/>
  <c r="A1632" i="1"/>
  <c r="J1631" i="1"/>
  <c r="A1631" i="1"/>
  <c r="J1630" i="1"/>
  <c r="A1630" i="1"/>
  <c r="J1629" i="1"/>
  <c r="A1629" i="1"/>
  <c r="A1628" i="1"/>
  <c r="A1627" i="1"/>
  <c r="A1626" i="1"/>
  <c r="A1625" i="1"/>
  <c r="J1624" i="1"/>
  <c r="A1624" i="1"/>
  <c r="J1623" i="1"/>
  <c r="A1623" i="1"/>
  <c r="J1622" i="1"/>
  <c r="A1622" i="1"/>
  <c r="M1621" i="1"/>
  <c r="L1621" i="1"/>
  <c r="K1621" i="1"/>
  <c r="J1621" i="1"/>
  <c r="A1621" i="1"/>
  <c r="A1620" i="1"/>
  <c r="A1619" i="1"/>
  <c r="J1618" i="1"/>
  <c r="A1618" i="1"/>
  <c r="J1617" i="1"/>
  <c r="A1617" i="1"/>
  <c r="J1616" i="1"/>
  <c r="A1616" i="1"/>
  <c r="J1615" i="1"/>
  <c r="A1615" i="1"/>
  <c r="J1614" i="1"/>
  <c r="A1614" i="1"/>
  <c r="J1613" i="1"/>
  <c r="A1613" i="1"/>
  <c r="J1612" i="1"/>
  <c r="A1612" i="1"/>
  <c r="J1611" i="1"/>
  <c r="A1611" i="1"/>
  <c r="J1610" i="1"/>
  <c r="A1610" i="1"/>
  <c r="J1609" i="1"/>
  <c r="A1609" i="1"/>
  <c r="J1608" i="1"/>
  <c r="A1608" i="1"/>
  <c r="M1607" i="1"/>
  <c r="L1607" i="1"/>
  <c r="K1607" i="1"/>
  <c r="J1607" i="1"/>
  <c r="A1607" i="1"/>
  <c r="J1606" i="1"/>
  <c r="A1606" i="1"/>
  <c r="J1605" i="1"/>
  <c r="A1605" i="1"/>
  <c r="A1604" i="1"/>
  <c r="J1603" i="1"/>
  <c r="A1603" i="1"/>
  <c r="J1602" i="1"/>
  <c r="A1602" i="1"/>
  <c r="J1601" i="1"/>
  <c r="A1601" i="1"/>
  <c r="J1600" i="1"/>
  <c r="A1600" i="1"/>
  <c r="J1599" i="1"/>
  <c r="A1599" i="1"/>
  <c r="A1598" i="1"/>
  <c r="J1597" i="1"/>
  <c r="A1597" i="1"/>
  <c r="J1596" i="1"/>
  <c r="A1596" i="1"/>
  <c r="A1595" i="1"/>
  <c r="J1594" i="1"/>
  <c r="A1594" i="1"/>
  <c r="K1593" i="1"/>
  <c r="J1593" i="1"/>
  <c r="A1593" i="1"/>
  <c r="A1592" i="1"/>
  <c r="J1591" i="1"/>
  <c r="A1591" i="1"/>
  <c r="M1590" i="1"/>
  <c r="L1590" i="1"/>
  <c r="K1590" i="1"/>
  <c r="J1590" i="1"/>
  <c r="A1590" i="1"/>
  <c r="L1589" i="1"/>
  <c r="K1589" i="1"/>
  <c r="J1589" i="1"/>
  <c r="A1589" i="1"/>
  <c r="J1588" i="1"/>
  <c r="A1588" i="1"/>
  <c r="J1587" i="1"/>
  <c r="A1587" i="1"/>
  <c r="A1586" i="1"/>
  <c r="J1585" i="1"/>
  <c r="A1585" i="1"/>
  <c r="J1584" i="1"/>
  <c r="A1584" i="1"/>
  <c r="J1583" i="1"/>
  <c r="A1583" i="1"/>
  <c r="J1582" i="1"/>
  <c r="A1582" i="1"/>
  <c r="J1581" i="1"/>
  <c r="A1581" i="1"/>
  <c r="J1580" i="1"/>
  <c r="A1580" i="1"/>
  <c r="A1579" i="1"/>
  <c r="A1578" i="1"/>
  <c r="A1577" i="1"/>
  <c r="J1576" i="1"/>
  <c r="A1576" i="1"/>
  <c r="J1575" i="1"/>
  <c r="A1575" i="1"/>
  <c r="A1574" i="1"/>
  <c r="J1573" i="1"/>
  <c r="A1573" i="1"/>
  <c r="J1572" i="1"/>
  <c r="A1572" i="1"/>
  <c r="J1571" i="1"/>
  <c r="A1571" i="1"/>
  <c r="J1570" i="1"/>
  <c r="A1570" i="1"/>
  <c r="J1569" i="1"/>
  <c r="A1569" i="1"/>
  <c r="A1568" i="1"/>
  <c r="J1567" i="1"/>
  <c r="A1567" i="1"/>
  <c r="K1566" i="1"/>
  <c r="J1566" i="1"/>
  <c r="A1566" i="1"/>
  <c r="A1565" i="1"/>
  <c r="J1564" i="1"/>
  <c r="A1564" i="1"/>
  <c r="J1563" i="1"/>
  <c r="A1563" i="1"/>
  <c r="J1562" i="1"/>
  <c r="A1562" i="1"/>
  <c r="J1561" i="1"/>
  <c r="A1561" i="1"/>
  <c r="A1560" i="1"/>
  <c r="J1559" i="1"/>
  <c r="A1559" i="1"/>
  <c r="A1558" i="1"/>
  <c r="A1557" i="1"/>
  <c r="J1556" i="1"/>
  <c r="A1556" i="1"/>
  <c r="A1555" i="1"/>
  <c r="A1554" i="1"/>
  <c r="A1553" i="1"/>
  <c r="J1552" i="1"/>
  <c r="A1552" i="1"/>
  <c r="J1551" i="1"/>
  <c r="A1551" i="1"/>
  <c r="J1550" i="1"/>
  <c r="A1550" i="1"/>
  <c r="K1549" i="1"/>
  <c r="J1549" i="1"/>
  <c r="A1549" i="1"/>
  <c r="J1548" i="1"/>
  <c r="A1548" i="1"/>
  <c r="L1547" i="1"/>
  <c r="K1547" i="1"/>
  <c r="J1547" i="1"/>
  <c r="A1547" i="1"/>
  <c r="J1546" i="1"/>
  <c r="A1546" i="1"/>
  <c r="J1545" i="1"/>
  <c r="A1545" i="1"/>
  <c r="A1544" i="1"/>
  <c r="J1543" i="1"/>
  <c r="A1543" i="1"/>
  <c r="J1542" i="1"/>
  <c r="A1542" i="1"/>
  <c r="J1541" i="1"/>
  <c r="A1541" i="1"/>
  <c r="J1540" i="1"/>
  <c r="A1540" i="1"/>
  <c r="A1539" i="1"/>
  <c r="J1538" i="1"/>
  <c r="A1538" i="1"/>
  <c r="J1537" i="1"/>
  <c r="A1537" i="1"/>
  <c r="J1536" i="1"/>
  <c r="A1536" i="1"/>
  <c r="J1535" i="1"/>
  <c r="A1535" i="1"/>
  <c r="J1534" i="1"/>
  <c r="A1534" i="1"/>
  <c r="A1533" i="1"/>
  <c r="A1532" i="1"/>
  <c r="L1531" i="1"/>
  <c r="K1531" i="1"/>
  <c r="J1531" i="1"/>
  <c r="A1531" i="1"/>
  <c r="A1530" i="1"/>
  <c r="A1529" i="1"/>
  <c r="J1528" i="1"/>
  <c r="A1528" i="1"/>
  <c r="J1527" i="1"/>
  <c r="A1527" i="1"/>
  <c r="A1526" i="1"/>
  <c r="J1525" i="1"/>
  <c r="A1525" i="1"/>
  <c r="J1524" i="1"/>
  <c r="A1524" i="1"/>
  <c r="M1523" i="1"/>
  <c r="L1523" i="1"/>
  <c r="K1523" i="1"/>
  <c r="J1523" i="1"/>
  <c r="A1523" i="1"/>
  <c r="J1522" i="1"/>
  <c r="A1522" i="1"/>
  <c r="L1521" i="1"/>
  <c r="K1521" i="1"/>
  <c r="J1521" i="1"/>
  <c r="A1521" i="1"/>
  <c r="A1520" i="1"/>
  <c r="J1519" i="1"/>
  <c r="A1519" i="1"/>
  <c r="J1518" i="1"/>
  <c r="A1518" i="1"/>
  <c r="M1517" i="1"/>
  <c r="L1517" i="1"/>
  <c r="K1517" i="1"/>
  <c r="J1517" i="1"/>
  <c r="A1517" i="1"/>
  <c r="J1516" i="1"/>
  <c r="A1516" i="1"/>
  <c r="J1515" i="1"/>
  <c r="A1515" i="1"/>
  <c r="A1514" i="1"/>
  <c r="J1513" i="1"/>
  <c r="A1513" i="1"/>
  <c r="J1512" i="1"/>
  <c r="A1512" i="1"/>
  <c r="J1511" i="1"/>
  <c r="A1511" i="1"/>
  <c r="J1510" i="1"/>
  <c r="A1510" i="1"/>
  <c r="A1509" i="1"/>
  <c r="J1508" i="1"/>
  <c r="A1508" i="1"/>
  <c r="J1507" i="1"/>
  <c r="A1507" i="1"/>
  <c r="A1506" i="1"/>
  <c r="J1505" i="1"/>
  <c r="A1505" i="1"/>
  <c r="A1504" i="1"/>
  <c r="J1503" i="1"/>
  <c r="A1503" i="1"/>
  <c r="K1502" i="1"/>
  <c r="J1502" i="1"/>
  <c r="A1502" i="1"/>
  <c r="A1501" i="1"/>
  <c r="A1500" i="1"/>
  <c r="J1499" i="1"/>
  <c r="A1499" i="1"/>
  <c r="M1498" i="1"/>
  <c r="L1498" i="1"/>
  <c r="K1498" i="1"/>
  <c r="J1498" i="1"/>
  <c r="A1498" i="1"/>
  <c r="J1497" i="1"/>
  <c r="A1497" i="1"/>
  <c r="J1496" i="1"/>
  <c r="A1496" i="1"/>
  <c r="J1495" i="1"/>
  <c r="A1495" i="1"/>
  <c r="J1494" i="1"/>
  <c r="A1494" i="1"/>
  <c r="A1493" i="1"/>
  <c r="J1492" i="1"/>
  <c r="A1492" i="1"/>
  <c r="J1491" i="1"/>
  <c r="A1491" i="1"/>
  <c r="J1490" i="1"/>
  <c r="A1490" i="1"/>
  <c r="J1489" i="1"/>
  <c r="A1489" i="1"/>
  <c r="J1488" i="1"/>
  <c r="A1488" i="1"/>
  <c r="J1487" i="1"/>
  <c r="A1487" i="1"/>
  <c r="J1486" i="1"/>
  <c r="A1486" i="1"/>
  <c r="A1485" i="1"/>
  <c r="A1484" i="1"/>
  <c r="L1483" i="1"/>
  <c r="K1483" i="1"/>
  <c r="J1483" i="1"/>
  <c r="A1483" i="1"/>
  <c r="J1482" i="1"/>
  <c r="A1482" i="1"/>
  <c r="J1481" i="1"/>
  <c r="A1481" i="1"/>
  <c r="J1480" i="1"/>
  <c r="A1480" i="1"/>
  <c r="J1479" i="1"/>
  <c r="A1479" i="1"/>
  <c r="J1478" i="1"/>
  <c r="A1478" i="1"/>
  <c r="J1477" i="1"/>
  <c r="A1477" i="1"/>
  <c r="A1476" i="1"/>
  <c r="J1475" i="1"/>
  <c r="A1475" i="1"/>
  <c r="A1474" i="1"/>
  <c r="J1473" i="1"/>
  <c r="A1473" i="1"/>
  <c r="J1472" i="1"/>
  <c r="A1472" i="1"/>
  <c r="K1471" i="1"/>
  <c r="J1471" i="1"/>
  <c r="A1471" i="1"/>
  <c r="J1470" i="1"/>
  <c r="A1470" i="1"/>
  <c r="J1469" i="1"/>
  <c r="A1469" i="1"/>
  <c r="A1468" i="1"/>
  <c r="J1467" i="1"/>
  <c r="A1467" i="1"/>
  <c r="J1466" i="1"/>
  <c r="A1466" i="1"/>
  <c r="L1465" i="1"/>
  <c r="K1465" i="1"/>
  <c r="J1465" i="1"/>
  <c r="A1465" i="1"/>
  <c r="J1464" i="1"/>
  <c r="A1464" i="1"/>
  <c r="A1463" i="1"/>
  <c r="J1462" i="1"/>
  <c r="A1462" i="1"/>
  <c r="J1461" i="1"/>
  <c r="A1461" i="1"/>
  <c r="J1460" i="1"/>
  <c r="A1460" i="1"/>
  <c r="J1459" i="1"/>
  <c r="A1459" i="1"/>
  <c r="A1458" i="1"/>
  <c r="A1457" i="1"/>
  <c r="A1456" i="1"/>
  <c r="J1455" i="1"/>
  <c r="A1455" i="1"/>
  <c r="M1454" i="1"/>
  <c r="L1454" i="1"/>
  <c r="K1454" i="1"/>
  <c r="J1454" i="1"/>
  <c r="A1454" i="1"/>
  <c r="J1453" i="1"/>
  <c r="A1453" i="1"/>
  <c r="J1452" i="1"/>
  <c r="A1452" i="1"/>
  <c r="L1451" i="1"/>
  <c r="K1451" i="1"/>
  <c r="J1451" i="1"/>
  <c r="A1451" i="1"/>
  <c r="J1450" i="1"/>
  <c r="A1450" i="1"/>
  <c r="A1449" i="1"/>
  <c r="J1448" i="1"/>
  <c r="A1448" i="1"/>
  <c r="J1447" i="1"/>
  <c r="A1447" i="1"/>
  <c r="J1446" i="1"/>
  <c r="A1446" i="1"/>
  <c r="K1445" i="1"/>
  <c r="J1445" i="1"/>
  <c r="A1445" i="1"/>
  <c r="A1444" i="1"/>
  <c r="A1443" i="1"/>
  <c r="J1442" i="1"/>
  <c r="A1442" i="1"/>
  <c r="A1441" i="1"/>
  <c r="A1440" i="1"/>
  <c r="J1439" i="1"/>
  <c r="A1439" i="1"/>
  <c r="J1438" i="1"/>
  <c r="A1438" i="1"/>
  <c r="J1437" i="1"/>
  <c r="A1437" i="1"/>
  <c r="J1436" i="1"/>
  <c r="A1436" i="1"/>
  <c r="J1435" i="1"/>
  <c r="A1435" i="1"/>
  <c r="J1434" i="1"/>
  <c r="A1434" i="1"/>
  <c r="J1433" i="1"/>
  <c r="A1433" i="1"/>
  <c r="J1432" i="1"/>
  <c r="A1432" i="1"/>
  <c r="A1431" i="1"/>
  <c r="A1430" i="1"/>
  <c r="J1429" i="1"/>
  <c r="A1429" i="1"/>
  <c r="J1428" i="1"/>
  <c r="A1428" i="1"/>
  <c r="J1427" i="1"/>
  <c r="A1427" i="1"/>
  <c r="J1426" i="1"/>
  <c r="A1426" i="1"/>
  <c r="J1425" i="1"/>
  <c r="A1425" i="1"/>
  <c r="J1424" i="1"/>
  <c r="A1424" i="1"/>
  <c r="J1423" i="1"/>
  <c r="A1423" i="1"/>
  <c r="L1422" i="1"/>
  <c r="K1422" i="1"/>
  <c r="J1422" i="1"/>
  <c r="A1422" i="1"/>
  <c r="J1421" i="1"/>
  <c r="A1421" i="1"/>
  <c r="J1420" i="1"/>
  <c r="A1420" i="1"/>
  <c r="J1419" i="1"/>
  <c r="A1419" i="1"/>
  <c r="J1418" i="1"/>
  <c r="A1418" i="1"/>
  <c r="J1417" i="1"/>
  <c r="A1417" i="1"/>
  <c r="A1416" i="1"/>
  <c r="A1415" i="1"/>
  <c r="A1414" i="1"/>
  <c r="A1413" i="1"/>
  <c r="J1412" i="1"/>
  <c r="A1412" i="1"/>
  <c r="J1411" i="1"/>
  <c r="A1411" i="1"/>
  <c r="J1410" i="1"/>
  <c r="A1410" i="1"/>
  <c r="J1409" i="1"/>
  <c r="A1409" i="1"/>
  <c r="J1408" i="1"/>
  <c r="A1408" i="1"/>
  <c r="J1407" i="1"/>
  <c r="A1407" i="1"/>
  <c r="J1406" i="1"/>
  <c r="A1406" i="1"/>
  <c r="J1405" i="1"/>
  <c r="A1405" i="1"/>
  <c r="J1404" i="1"/>
  <c r="A1404" i="1"/>
  <c r="J1403" i="1"/>
  <c r="A1403" i="1"/>
  <c r="A1402" i="1"/>
  <c r="A1401" i="1"/>
  <c r="J1400" i="1"/>
  <c r="A1400" i="1"/>
  <c r="K1399" i="1"/>
  <c r="J1399" i="1"/>
  <c r="A1399" i="1"/>
  <c r="J1398" i="1"/>
  <c r="A1398" i="1"/>
  <c r="K1397" i="1"/>
  <c r="J1397" i="1"/>
  <c r="A1397" i="1"/>
  <c r="K1396" i="1"/>
  <c r="J1396" i="1"/>
  <c r="A1396" i="1"/>
  <c r="K1395" i="1"/>
  <c r="J1395" i="1"/>
  <c r="A1395" i="1"/>
  <c r="J1394" i="1"/>
  <c r="A1394" i="1"/>
  <c r="L1393" i="1"/>
  <c r="K1393" i="1"/>
  <c r="J1393" i="1"/>
  <c r="A1393" i="1"/>
  <c r="J1392" i="1"/>
  <c r="A1392" i="1"/>
  <c r="J1391" i="1"/>
  <c r="A1391" i="1"/>
  <c r="A1390" i="1"/>
  <c r="J1389" i="1"/>
  <c r="A1389" i="1"/>
  <c r="J1388" i="1"/>
  <c r="A1388" i="1"/>
  <c r="A1387" i="1"/>
  <c r="J1386" i="1"/>
  <c r="A1386" i="1"/>
  <c r="A1385" i="1"/>
  <c r="J1384" i="1"/>
  <c r="A1384" i="1"/>
  <c r="J1383" i="1"/>
  <c r="A1383" i="1"/>
  <c r="J1382" i="1"/>
  <c r="A1382" i="1"/>
  <c r="J1381" i="1"/>
  <c r="A1381" i="1"/>
  <c r="A1380" i="1"/>
  <c r="J1379" i="1"/>
  <c r="A1379" i="1"/>
  <c r="J1378" i="1"/>
  <c r="A1378" i="1"/>
  <c r="A1377" i="1"/>
  <c r="A1376" i="1"/>
  <c r="M1375" i="1"/>
  <c r="L1375" i="1"/>
  <c r="K1375" i="1"/>
  <c r="J1375" i="1"/>
  <c r="A1375" i="1"/>
  <c r="J1374" i="1"/>
  <c r="A1374" i="1"/>
  <c r="A1373" i="1"/>
  <c r="J1372" i="1"/>
  <c r="A1372" i="1"/>
  <c r="J1371" i="1"/>
  <c r="A1371" i="1"/>
  <c r="J1370" i="1"/>
  <c r="A1370" i="1"/>
  <c r="J1369" i="1"/>
  <c r="A1369" i="1"/>
  <c r="J1368" i="1"/>
  <c r="A1368" i="1"/>
  <c r="J1367" i="1"/>
  <c r="A1367" i="1"/>
  <c r="A1366" i="1"/>
  <c r="J1365" i="1"/>
  <c r="A1365" i="1"/>
  <c r="J1364" i="1"/>
  <c r="A1364" i="1"/>
  <c r="L1363" i="1"/>
  <c r="K1363" i="1"/>
  <c r="J1363" i="1"/>
  <c r="A1363" i="1"/>
  <c r="J1362" i="1"/>
  <c r="A1362" i="1"/>
  <c r="K1361" i="1"/>
  <c r="J1361" i="1"/>
  <c r="A1361" i="1"/>
  <c r="K1360" i="1"/>
  <c r="J1360" i="1"/>
  <c r="A1360" i="1"/>
  <c r="J1359" i="1"/>
  <c r="A1359" i="1"/>
  <c r="J1358" i="1"/>
  <c r="A1358" i="1"/>
  <c r="J1357" i="1"/>
  <c r="A1357" i="1"/>
  <c r="J1356" i="1"/>
  <c r="A1356" i="1"/>
  <c r="J1355" i="1"/>
  <c r="A1355" i="1"/>
  <c r="J1354" i="1"/>
  <c r="A1354" i="1"/>
  <c r="J1353" i="1"/>
  <c r="A1353" i="1"/>
  <c r="J1352" i="1"/>
  <c r="A1352" i="1"/>
  <c r="J1351" i="1"/>
  <c r="A1351" i="1"/>
  <c r="J1350" i="1"/>
  <c r="A1350" i="1"/>
  <c r="A1349" i="1"/>
  <c r="J1348" i="1"/>
  <c r="A1348" i="1"/>
  <c r="J1347" i="1"/>
  <c r="A1347" i="1"/>
  <c r="J1346" i="1"/>
  <c r="A1346" i="1"/>
  <c r="K1345" i="1"/>
  <c r="J1345" i="1"/>
  <c r="A1345" i="1"/>
  <c r="M1344" i="1"/>
  <c r="L1344" i="1"/>
  <c r="K1344" i="1"/>
  <c r="J1344" i="1"/>
  <c r="A1344" i="1"/>
  <c r="J1343" i="1"/>
  <c r="A1343" i="1"/>
  <c r="J1342" i="1"/>
  <c r="A1342" i="1"/>
  <c r="K1341" i="1"/>
  <c r="J1341" i="1"/>
  <c r="A1341" i="1"/>
  <c r="J1340" i="1"/>
  <c r="A1340" i="1"/>
  <c r="A1339" i="1"/>
  <c r="J1338" i="1"/>
  <c r="A1338" i="1"/>
  <c r="A1337" i="1"/>
  <c r="J1336" i="1"/>
  <c r="A1336" i="1"/>
  <c r="J1335" i="1"/>
  <c r="A1335" i="1"/>
  <c r="J1334" i="1"/>
  <c r="A1334" i="1"/>
  <c r="J1333" i="1"/>
  <c r="A1333" i="1"/>
  <c r="A1332" i="1"/>
  <c r="J1331" i="1"/>
  <c r="A1331" i="1"/>
  <c r="J1330" i="1"/>
  <c r="A1330" i="1"/>
  <c r="J1329" i="1"/>
  <c r="A1329" i="1"/>
  <c r="J1328" i="1"/>
  <c r="A1328" i="1"/>
  <c r="J1327" i="1"/>
  <c r="A1327" i="1"/>
  <c r="J1326" i="1"/>
  <c r="A1326" i="1"/>
  <c r="J1325" i="1"/>
  <c r="A1325" i="1"/>
  <c r="A1324" i="1"/>
  <c r="A1323" i="1"/>
  <c r="A1322" i="1"/>
  <c r="A1321" i="1"/>
  <c r="J1320" i="1"/>
  <c r="A1320" i="1"/>
  <c r="J1319" i="1"/>
  <c r="A1319" i="1"/>
  <c r="J1318" i="1"/>
  <c r="A1318" i="1"/>
  <c r="L1317" i="1"/>
  <c r="K1317" i="1"/>
  <c r="J1317" i="1"/>
  <c r="A1317" i="1"/>
  <c r="A1316" i="1"/>
  <c r="A1315" i="1"/>
  <c r="J1314" i="1"/>
  <c r="A1314" i="1"/>
  <c r="A1313" i="1"/>
  <c r="A1312" i="1"/>
  <c r="A1311" i="1"/>
  <c r="J1310" i="1"/>
  <c r="A1310" i="1"/>
  <c r="J1309" i="1"/>
  <c r="A1309" i="1"/>
  <c r="J1308" i="1"/>
  <c r="A1308" i="1"/>
  <c r="J1307" i="1"/>
  <c r="A1307" i="1"/>
  <c r="J1306" i="1"/>
  <c r="A1306" i="1"/>
  <c r="A1305" i="1"/>
  <c r="J1304" i="1"/>
  <c r="A1304" i="1"/>
  <c r="J1303" i="1"/>
  <c r="A1303" i="1"/>
  <c r="A1302" i="1"/>
  <c r="J1301" i="1"/>
  <c r="A1301" i="1"/>
  <c r="J1300" i="1"/>
  <c r="A1300" i="1"/>
  <c r="A1299" i="1"/>
  <c r="J1298" i="1"/>
  <c r="A1298" i="1"/>
  <c r="J1297" i="1"/>
  <c r="A1297" i="1"/>
  <c r="A1296" i="1"/>
  <c r="A1295" i="1"/>
  <c r="J1294" i="1"/>
  <c r="A1294" i="1"/>
  <c r="A1293" i="1"/>
  <c r="J1292" i="1"/>
  <c r="A1292" i="1"/>
  <c r="J1291" i="1"/>
  <c r="A1291" i="1"/>
  <c r="J1290" i="1"/>
  <c r="A1290" i="1"/>
  <c r="J1289" i="1"/>
  <c r="A1289" i="1"/>
  <c r="A1288" i="1"/>
  <c r="J1287" i="1"/>
  <c r="A1287" i="1"/>
  <c r="J1286" i="1"/>
  <c r="A1286" i="1"/>
  <c r="J1285" i="1"/>
  <c r="A1285" i="1"/>
  <c r="A1284" i="1"/>
  <c r="J1283" i="1"/>
  <c r="A1283" i="1"/>
  <c r="J1282" i="1"/>
  <c r="A1282" i="1"/>
  <c r="A1281" i="1"/>
  <c r="J1280" i="1"/>
  <c r="A1280" i="1"/>
  <c r="J1279" i="1"/>
  <c r="A1279" i="1"/>
  <c r="A1278" i="1"/>
  <c r="A1277" i="1"/>
  <c r="J1276" i="1"/>
  <c r="A1276" i="1"/>
  <c r="K1275" i="1"/>
  <c r="J1275" i="1"/>
  <c r="A1275" i="1"/>
  <c r="A1274" i="1"/>
  <c r="J1273" i="1"/>
  <c r="A1273" i="1"/>
  <c r="J1272" i="1"/>
  <c r="A1272" i="1"/>
  <c r="A1271" i="1"/>
  <c r="J1270" i="1"/>
  <c r="A1270" i="1"/>
  <c r="A1269" i="1"/>
  <c r="A1268" i="1"/>
  <c r="A1267" i="1"/>
  <c r="J1266" i="1"/>
  <c r="A1266" i="1"/>
  <c r="A1265" i="1"/>
  <c r="J1264" i="1"/>
  <c r="A1264" i="1"/>
  <c r="J1263" i="1"/>
  <c r="A1263" i="1"/>
  <c r="J1262" i="1"/>
  <c r="A1262" i="1"/>
  <c r="A1261" i="1"/>
  <c r="A1260" i="1"/>
  <c r="A1259" i="1"/>
  <c r="J1258" i="1"/>
  <c r="A1258" i="1"/>
  <c r="J1257" i="1"/>
  <c r="A1257" i="1"/>
  <c r="A1256" i="1"/>
  <c r="A1255" i="1"/>
  <c r="J1254" i="1"/>
  <c r="A1254" i="1"/>
  <c r="A1253" i="1"/>
  <c r="J1252" i="1"/>
  <c r="A1252" i="1"/>
  <c r="J1251" i="1"/>
  <c r="A1251" i="1"/>
  <c r="A1250" i="1"/>
  <c r="J1249" i="1"/>
  <c r="A1249" i="1"/>
  <c r="L1248" i="1"/>
  <c r="K1248" i="1"/>
  <c r="J1248" i="1"/>
  <c r="A1248" i="1"/>
  <c r="A1247" i="1"/>
  <c r="J1246" i="1"/>
  <c r="A1246" i="1"/>
  <c r="J1245" i="1"/>
  <c r="A1245" i="1"/>
  <c r="J1244" i="1"/>
  <c r="A1244" i="1"/>
  <c r="A1243" i="1"/>
  <c r="A1242" i="1"/>
  <c r="J1241" i="1"/>
  <c r="A1241" i="1"/>
  <c r="J1240" i="1"/>
  <c r="A1240" i="1"/>
  <c r="J1239" i="1"/>
  <c r="A1239" i="1"/>
  <c r="A1238" i="1"/>
  <c r="L1237" i="1"/>
  <c r="K1237" i="1"/>
  <c r="J1237" i="1"/>
  <c r="A1237" i="1"/>
  <c r="K1236" i="1"/>
  <c r="J1236" i="1"/>
  <c r="A1236" i="1"/>
  <c r="J1235" i="1"/>
  <c r="A1235" i="1"/>
  <c r="J1234" i="1"/>
  <c r="A1234" i="1"/>
  <c r="A1233" i="1"/>
  <c r="A1232" i="1"/>
  <c r="J1231" i="1"/>
  <c r="A1231" i="1"/>
  <c r="J1230" i="1"/>
  <c r="A1230" i="1"/>
  <c r="J1229" i="1"/>
  <c r="A1229" i="1"/>
  <c r="A1228" i="1"/>
  <c r="J1227" i="1"/>
  <c r="A1227" i="1"/>
  <c r="J1226" i="1"/>
  <c r="A1226" i="1"/>
  <c r="J1225" i="1"/>
  <c r="A1225" i="1"/>
  <c r="J1224" i="1"/>
  <c r="A1224" i="1"/>
  <c r="A1223" i="1"/>
  <c r="A1222" i="1"/>
  <c r="A1221" i="1"/>
  <c r="J1220" i="1"/>
  <c r="A1220" i="1"/>
  <c r="K1219" i="1"/>
  <c r="J1219" i="1"/>
  <c r="A1219" i="1"/>
  <c r="J1218" i="1"/>
  <c r="A1218" i="1"/>
  <c r="M1217" i="1"/>
  <c r="L1217" i="1"/>
  <c r="K1217" i="1"/>
  <c r="J1217" i="1"/>
  <c r="A1217" i="1"/>
  <c r="L1216" i="1"/>
  <c r="K1216" i="1"/>
  <c r="J1216" i="1"/>
  <c r="A1216" i="1"/>
  <c r="J1215" i="1"/>
  <c r="A1215" i="1"/>
  <c r="J1214" i="1"/>
  <c r="A1214" i="1"/>
  <c r="A1213" i="1"/>
  <c r="J1212" i="1"/>
  <c r="A1212" i="1"/>
  <c r="A1211" i="1"/>
  <c r="J1210" i="1"/>
  <c r="A1210" i="1"/>
  <c r="J1209" i="1"/>
  <c r="A1209" i="1"/>
  <c r="L1208" i="1"/>
  <c r="K1208" i="1"/>
  <c r="J1208" i="1"/>
  <c r="A1208" i="1"/>
  <c r="J1207" i="1"/>
  <c r="A1207" i="1"/>
  <c r="K1206" i="1"/>
  <c r="J1206" i="1"/>
  <c r="A1206" i="1"/>
  <c r="J1205" i="1"/>
  <c r="A1205" i="1"/>
  <c r="J1204" i="1"/>
  <c r="A1204" i="1"/>
  <c r="J1203" i="1"/>
  <c r="A1203" i="1"/>
  <c r="J1202" i="1"/>
  <c r="A1202" i="1"/>
  <c r="J1201" i="1"/>
  <c r="A1201" i="1"/>
  <c r="J1200" i="1"/>
  <c r="A1200" i="1"/>
  <c r="J1199" i="1"/>
  <c r="A1199" i="1"/>
  <c r="A1198" i="1"/>
  <c r="L1197" i="1"/>
  <c r="K1197" i="1"/>
  <c r="J1197" i="1"/>
  <c r="A1197" i="1"/>
  <c r="J1196" i="1"/>
  <c r="A1196" i="1"/>
  <c r="A1195" i="1"/>
  <c r="J1194" i="1"/>
  <c r="A1194" i="1"/>
  <c r="A1193" i="1"/>
  <c r="A1192" i="1"/>
  <c r="J1191" i="1"/>
  <c r="A1191" i="1"/>
  <c r="J1190" i="1"/>
  <c r="A1190" i="1"/>
  <c r="A1189" i="1"/>
  <c r="J1188" i="1"/>
  <c r="A1188" i="1"/>
  <c r="A1187" i="1"/>
  <c r="J1186" i="1"/>
  <c r="A1186" i="1"/>
  <c r="J1185" i="1"/>
  <c r="A1185" i="1"/>
  <c r="J1184" i="1"/>
  <c r="A1184" i="1"/>
  <c r="A1183" i="1"/>
  <c r="J1182" i="1"/>
  <c r="A1182" i="1"/>
  <c r="J1181" i="1"/>
  <c r="A1181" i="1"/>
  <c r="A1180" i="1"/>
  <c r="J1179" i="1"/>
  <c r="A1179" i="1"/>
  <c r="K1178" i="1"/>
  <c r="J1178" i="1"/>
  <c r="A1178" i="1"/>
  <c r="J1177" i="1"/>
  <c r="A1177" i="1"/>
  <c r="J1176" i="1"/>
  <c r="A1176" i="1"/>
  <c r="J1175" i="1"/>
  <c r="A1175" i="1"/>
  <c r="J1174" i="1"/>
  <c r="A1174" i="1"/>
  <c r="J1173" i="1"/>
  <c r="A1173" i="1"/>
  <c r="A1172" i="1"/>
  <c r="A1171" i="1"/>
  <c r="J1170" i="1"/>
  <c r="A1170" i="1"/>
  <c r="A1169" i="1"/>
  <c r="J1168" i="1"/>
  <c r="A1168" i="1"/>
  <c r="A1167" i="1"/>
  <c r="J1166" i="1"/>
  <c r="A1166" i="1"/>
  <c r="J1165" i="1"/>
  <c r="A1165" i="1"/>
  <c r="J1164" i="1"/>
  <c r="A1164" i="1"/>
  <c r="A1163" i="1"/>
  <c r="J1162" i="1"/>
  <c r="A1162" i="1"/>
  <c r="A1161" i="1"/>
  <c r="A1160" i="1"/>
  <c r="J1159" i="1"/>
  <c r="A1159" i="1"/>
  <c r="J1158" i="1"/>
  <c r="A1158" i="1"/>
  <c r="J1157" i="1"/>
  <c r="A1157" i="1"/>
  <c r="J1156" i="1"/>
  <c r="A1156" i="1"/>
  <c r="A1155" i="1"/>
  <c r="J1154" i="1"/>
  <c r="A1154" i="1"/>
  <c r="A1153" i="1"/>
  <c r="J1152" i="1"/>
  <c r="A1152" i="1"/>
  <c r="A1151" i="1"/>
  <c r="A1150" i="1"/>
  <c r="A1149" i="1"/>
  <c r="K1148" i="1"/>
  <c r="J1148" i="1"/>
  <c r="A1148" i="1"/>
  <c r="J1147" i="1"/>
  <c r="A1147" i="1"/>
  <c r="A1146" i="1"/>
  <c r="A1145" i="1"/>
  <c r="J1144" i="1"/>
  <c r="A1144" i="1"/>
  <c r="J1143" i="1"/>
  <c r="A1143" i="1"/>
  <c r="J1142" i="1"/>
  <c r="A1142" i="1"/>
  <c r="A1141" i="1"/>
  <c r="K1140" i="1"/>
  <c r="J1140" i="1"/>
  <c r="A1140" i="1"/>
  <c r="A1139" i="1"/>
  <c r="J1138" i="1"/>
  <c r="A1138" i="1"/>
  <c r="J1137" i="1"/>
  <c r="A1137" i="1"/>
  <c r="J1136" i="1"/>
  <c r="A1136" i="1"/>
  <c r="J1135" i="1"/>
  <c r="A1135" i="1"/>
  <c r="J1134" i="1"/>
  <c r="A1134" i="1"/>
  <c r="M1133" i="1"/>
  <c r="L1133" i="1"/>
  <c r="K1133" i="1"/>
  <c r="J1133" i="1"/>
  <c r="A1133" i="1"/>
  <c r="A1132" i="1"/>
  <c r="J1131" i="1"/>
  <c r="A1131" i="1"/>
  <c r="A1130" i="1"/>
  <c r="A1129" i="1"/>
  <c r="L1128" i="1"/>
  <c r="K1128" i="1"/>
  <c r="J1128" i="1"/>
  <c r="A1128" i="1"/>
  <c r="J1127" i="1"/>
  <c r="A1127" i="1"/>
  <c r="J1126" i="1"/>
  <c r="A1126" i="1"/>
  <c r="J1125" i="1"/>
  <c r="A1125" i="1"/>
  <c r="J1124" i="1"/>
  <c r="A1124" i="1"/>
  <c r="J1123" i="1"/>
  <c r="A1123" i="1"/>
  <c r="A1122" i="1"/>
  <c r="A1121" i="1"/>
  <c r="J1120" i="1"/>
  <c r="A1120" i="1"/>
  <c r="A1119" i="1"/>
  <c r="A1118" i="1"/>
  <c r="J1117" i="1"/>
  <c r="A1117" i="1"/>
  <c r="J1116" i="1"/>
  <c r="A1116" i="1"/>
  <c r="J1115" i="1"/>
  <c r="A1115" i="1"/>
  <c r="A1114" i="1"/>
  <c r="J1113" i="1"/>
  <c r="A1113" i="1"/>
  <c r="J1112" i="1"/>
  <c r="A1112" i="1"/>
  <c r="J1111" i="1"/>
  <c r="A1111" i="1"/>
  <c r="A1110" i="1"/>
  <c r="A1109" i="1"/>
  <c r="J1108" i="1"/>
  <c r="A1108" i="1"/>
  <c r="K1107" i="1"/>
  <c r="J1107" i="1"/>
  <c r="A1107" i="1"/>
  <c r="K1106" i="1"/>
  <c r="J1106" i="1"/>
  <c r="A1106" i="1"/>
  <c r="J1105" i="1"/>
  <c r="A1105" i="1"/>
  <c r="J1104" i="1"/>
  <c r="A1104" i="1"/>
  <c r="J1103" i="1"/>
  <c r="A1103" i="1"/>
  <c r="M1102" i="1"/>
  <c r="L1102" i="1"/>
  <c r="K1102" i="1"/>
  <c r="J1102" i="1"/>
  <c r="A1102" i="1"/>
  <c r="J1101" i="1"/>
  <c r="A1101" i="1"/>
  <c r="A1100" i="1"/>
  <c r="A1099" i="1"/>
  <c r="J1098" i="1"/>
  <c r="A1098" i="1"/>
  <c r="A1097" i="1"/>
  <c r="J1096" i="1"/>
  <c r="A1096" i="1"/>
  <c r="A1095" i="1"/>
  <c r="J1094" i="1"/>
  <c r="A1094" i="1"/>
  <c r="A1093" i="1"/>
  <c r="A1092" i="1"/>
  <c r="K1091" i="1"/>
  <c r="J1091" i="1"/>
  <c r="A1091" i="1"/>
  <c r="J1090" i="1"/>
  <c r="A1090" i="1"/>
  <c r="A1089" i="1"/>
  <c r="A1088" i="1"/>
  <c r="J1087" i="1"/>
  <c r="A1087" i="1"/>
  <c r="J1086" i="1"/>
  <c r="A1086" i="1"/>
  <c r="J1085" i="1"/>
  <c r="A1085" i="1"/>
  <c r="J1084" i="1"/>
  <c r="A1084" i="1"/>
  <c r="A1083" i="1"/>
  <c r="J1082" i="1"/>
  <c r="A1082" i="1"/>
  <c r="A1081" i="1"/>
  <c r="J1080" i="1"/>
  <c r="A1080" i="1"/>
  <c r="J1079" i="1"/>
  <c r="A1079" i="1"/>
  <c r="L1078" i="1"/>
  <c r="K1078" i="1"/>
  <c r="J1078" i="1"/>
  <c r="A1078" i="1"/>
  <c r="J1077" i="1"/>
  <c r="A1077" i="1"/>
  <c r="J1076" i="1"/>
  <c r="A1076" i="1"/>
  <c r="A1075" i="1"/>
  <c r="J1074" i="1"/>
  <c r="A1074" i="1"/>
  <c r="A1073" i="1"/>
  <c r="J1072" i="1"/>
  <c r="A1072" i="1"/>
  <c r="A1071" i="1"/>
  <c r="J1070" i="1"/>
  <c r="A1070" i="1"/>
  <c r="J1069" i="1"/>
  <c r="A1069" i="1"/>
  <c r="J1068" i="1"/>
  <c r="A1068" i="1"/>
  <c r="J1067" i="1"/>
  <c r="A1067" i="1"/>
  <c r="J1066" i="1"/>
  <c r="A1066" i="1"/>
  <c r="A1065" i="1"/>
  <c r="J1064" i="1"/>
  <c r="A1064" i="1"/>
  <c r="J1063" i="1"/>
  <c r="A1063" i="1"/>
  <c r="J1062" i="1"/>
  <c r="A1062" i="1"/>
  <c r="J1061" i="1"/>
  <c r="A1061" i="1"/>
  <c r="J1060" i="1"/>
  <c r="A1060" i="1"/>
  <c r="A1059" i="1"/>
  <c r="J1058" i="1"/>
  <c r="A1058" i="1"/>
  <c r="A1057" i="1"/>
  <c r="J1056" i="1"/>
  <c r="A1056" i="1"/>
  <c r="J1055" i="1"/>
  <c r="A1055" i="1"/>
  <c r="A1054" i="1"/>
  <c r="J1053" i="1"/>
  <c r="A1053" i="1"/>
  <c r="J1052" i="1"/>
  <c r="A1052" i="1"/>
  <c r="J1051" i="1"/>
  <c r="A1051" i="1"/>
  <c r="A1050" i="1"/>
  <c r="J1049" i="1"/>
  <c r="A1049" i="1"/>
  <c r="J1048" i="1"/>
  <c r="A1048" i="1"/>
  <c r="J1047" i="1"/>
  <c r="A1047" i="1"/>
  <c r="J1046" i="1"/>
  <c r="A1046" i="1"/>
  <c r="A1045" i="1"/>
  <c r="A1044" i="1"/>
  <c r="J1043" i="1"/>
  <c r="A1043" i="1"/>
  <c r="J1042" i="1"/>
  <c r="A1042" i="1"/>
  <c r="J1041" i="1"/>
  <c r="A1041" i="1"/>
  <c r="J1040" i="1"/>
  <c r="A1040" i="1"/>
  <c r="A1039" i="1"/>
  <c r="J1038" i="1"/>
  <c r="A1038" i="1"/>
  <c r="J1037" i="1"/>
  <c r="A1037" i="1"/>
  <c r="J1036" i="1"/>
  <c r="A1036" i="1"/>
  <c r="J1035" i="1"/>
  <c r="A1035" i="1"/>
  <c r="J1034" i="1"/>
  <c r="A1034" i="1"/>
  <c r="J1033" i="1"/>
  <c r="A1033" i="1"/>
  <c r="J1032" i="1"/>
  <c r="A1032" i="1"/>
  <c r="J1031" i="1"/>
  <c r="A1031" i="1"/>
  <c r="J1030" i="1"/>
  <c r="A1030" i="1"/>
  <c r="J1029" i="1"/>
  <c r="A1029" i="1"/>
  <c r="A1028" i="1"/>
  <c r="J1027" i="1"/>
  <c r="A1027" i="1"/>
  <c r="J1026" i="1"/>
  <c r="A1026" i="1"/>
  <c r="A1025" i="1"/>
  <c r="J1024" i="1"/>
  <c r="A1024" i="1"/>
  <c r="J1023" i="1"/>
  <c r="A1023" i="1"/>
  <c r="J1022" i="1"/>
  <c r="A1022" i="1"/>
  <c r="A1021" i="1"/>
  <c r="A1020" i="1"/>
  <c r="A1019" i="1"/>
  <c r="A1018" i="1"/>
  <c r="J1017" i="1"/>
  <c r="A1017" i="1"/>
  <c r="J1016" i="1"/>
  <c r="A1016" i="1"/>
  <c r="A1015" i="1"/>
  <c r="J1014" i="1"/>
  <c r="A1014" i="1"/>
  <c r="J1013" i="1"/>
  <c r="A1013" i="1"/>
  <c r="J1012" i="1"/>
  <c r="A1012" i="1"/>
  <c r="J1011" i="1"/>
  <c r="A1011" i="1"/>
  <c r="A1010" i="1"/>
  <c r="J1009" i="1"/>
  <c r="A1009" i="1"/>
  <c r="J1008" i="1"/>
  <c r="A1008" i="1"/>
  <c r="J1007" i="1"/>
  <c r="A1007" i="1"/>
  <c r="A1006" i="1"/>
  <c r="A1005" i="1"/>
  <c r="J1004" i="1"/>
  <c r="A1004" i="1"/>
  <c r="J1003" i="1"/>
  <c r="A1003" i="1"/>
  <c r="A1002" i="1"/>
  <c r="J1001" i="1"/>
  <c r="A1001" i="1"/>
  <c r="J1000" i="1"/>
  <c r="A1000" i="1"/>
  <c r="J999" i="1"/>
  <c r="A999" i="1"/>
  <c r="A998" i="1"/>
  <c r="K997" i="1"/>
  <c r="J997" i="1"/>
  <c r="A997" i="1"/>
  <c r="J996" i="1"/>
  <c r="A996" i="1"/>
  <c r="J995" i="1"/>
  <c r="A995" i="1"/>
  <c r="J994" i="1"/>
  <c r="A994" i="1"/>
  <c r="J993" i="1"/>
  <c r="A993" i="1"/>
  <c r="J992" i="1"/>
  <c r="A992" i="1"/>
  <c r="J991" i="1"/>
  <c r="A991" i="1"/>
  <c r="J990" i="1"/>
  <c r="A990" i="1"/>
  <c r="A989" i="1"/>
  <c r="L988" i="1"/>
  <c r="K988" i="1"/>
  <c r="J988" i="1"/>
  <c r="A988" i="1"/>
  <c r="J987" i="1"/>
  <c r="A987" i="1"/>
  <c r="J986" i="1"/>
  <c r="A986" i="1"/>
  <c r="J985" i="1"/>
  <c r="A985" i="1"/>
  <c r="M984" i="1"/>
  <c r="L984" i="1"/>
  <c r="K984" i="1"/>
  <c r="J984" i="1"/>
  <c r="A984" i="1"/>
  <c r="J983" i="1"/>
  <c r="A983" i="1"/>
  <c r="J982" i="1"/>
  <c r="A982" i="1"/>
  <c r="J981" i="1"/>
  <c r="A981" i="1"/>
  <c r="J980" i="1"/>
  <c r="A980" i="1"/>
  <c r="A979" i="1"/>
  <c r="A978" i="1"/>
  <c r="J977" i="1"/>
  <c r="A977" i="1"/>
  <c r="A976" i="1"/>
  <c r="A975" i="1"/>
  <c r="J974" i="1"/>
  <c r="A974" i="1"/>
  <c r="J973" i="1"/>
  <c r="A973" i="1"/>
  <c r="J972" i="1"/>
  <c r="A972" i="1"/>
  <c r="K971" i="1"/>
  <c r="J971" i="1"/>
  <c r="A971" i="1"/>
  <c r="A970" i="1"/>
  <c r="J969" i="1"/>
  <c r="A969" i="1"/>
  <c r="J968" i="1"/>
  <c r="A968" i="1"/>
  <c r="J967" i="1"/>
  <c r="A967" i="1"/>
  <c r="J966" i="1"/>
  <c r="A966" i="1"/>
  <c r="J965" i="1"/>
  <c r="A965" i="1"/>
  <c r="J964" i="1"/>
  <c r="A964" i="1"/>
  <c r="J963" i="1"/>
  <c r="A963" i="1"/>
  <c r="J962" i="1"/>
  <c r="A962" i="1"/>
  <c r="K961" i="1"/>
  <c r="J961" i="1"/>
  <c r="A961" i="1"/>
  <c r="J960" i="1"/>
  <c r="A960" i="1"/>
  <c r="A959" i="1"/>
  <c r="J958" i="1"/>
  <c r="A958" i="1"/>
  <c r="J957" i="1"/>
  <c r="A957" i="1"/>
  <c r="A956" i="1"/>
  <c r="J955" i="1"/>
  <c r="A955" i="1"/>
  <c r="J954" i="1"/>
  <c r="A954" i="1"/>
  <c r="J953" i="1"/>
  <c r="A953" i="1"/>
  <c r="J952" i="1"/>
  <c r="A952" i="1"/>
  <c r="A951" i="1"/>
  <c r="J950" i="1"/>
  <c r="A950" i="1"/>
  <c r="J949" i="1"/>
  <c r="A949" i="1"/>
  <c r="A948" i="1"/>
  <c r="K947" i="1"/>
  <c r="J947" i="1"/>
  <c r="A947" i="1"/>
  <c r="J946" i="1"/>
  <c r="A946" i="1"/>
  <c r="J945" i="1"/>
  <c r="A945" i="1"/>
  <c r="J944" i="1"/>
  <c r="A944" i="1"/>
  <c r="J943" i="1"/>
  <c r="A943" i="1"/>
  <c r="J942" i="1"/>
  <c r="A942" i="1"/>
  <c r="J941" i="1"/>
  <c r="A941" i="1"/>
  <c r="J940" i="1"/>
  <c r="A940" i="1"/>
  <c r="J939" i="1"/>
  <c r="A939" i="1"/>
  <c r="A938" i="1"/>
  <c r="J937" i="1"/>
  <c r="A937" i="1"/>
  <c r="K936" i="1"/>
  <c r="J936" i="1"/>
  <c r="A936" i="1"/>
  <c r="J935" i="1"/>
  <c r="A935" i="1"/>
  <c r="J934" i="1"/>
  <c r="A934" i="1"/>
  <c r="A933" i="1"/>
  <c r="J932" i="1"/>
  <c r="A932" i="1"/>
  <c r="J931" i="1"/>
  <c r="A931" i="1"/>
  <c r="J930" i="1"/>
  <c r="A930" i="1"/>
  <c r="J929" i="1"/>
  <c r="A929" i="1"/>
  <c r="A928" i="1"/>
  <c r="J927" i="1"/>
  <c r="A927" i="1"/>
  <c r="J926" i="1"/>
  <c r="A926" i="1"/>
  <c r="J925" i="1"/>
  <c r="A925" i="1"/>
  <c r="M924" i="1"/>
  <c r="L924" i="1"/>
  <c r="K924" i="1"/>
  <c r="J924" i="1"/>
  <c r="A924" i="1"/>
  <c r="J923" i="1"/>
  <c r="A923" i="1"/>
  <c r="J922" i="1"/>
  <c r="A922" i="1"/>
  <c r="J921" i="1"/>
  <c r="A921" i="1"/>
  <c r="A920" i="1"/>
  <c r="J919" i="1"/>
  <c r="A919" i="1"/>
  <c r="J918" i="1"/>
  <c r="A918" i="1"/>
  <c r="J917" i="1"/>
  <c r="A917" i="1"/>
  <c r="A916" i="1"/>
  <c r="J915" i="1"/>
  <c r="A915" i="1"/>
  <c r="J914" i="1"/>
  <c r="A914" i="1"/>
  <c r="J913" i="1"/>
  <c r="A913" i="1"/>
  <c r="J912" i="1"/>
  <c r="A912" i="1"/>
  <c r="J911" i="1"/>
  <c r="A911" i="1"/>
  <c r="J910" i="1"/>
  <c r="A910" i="1"/>
  <c r="A909" i="1"/>
  <c r="A908" i="1"/>
  <c r="J907" i="1"/>
  <c r="A907" i="1"/>
  <c r="J906" i="1"/>
  <c r="A906" i="1"/>
  <c r="J905" i="1"/>
  <c r="A905" i="1"/>
  <c r="A904" i="1"/>
  <c r="J903" i="1"/>
  <c r="A903" i="1"/>
  <c r="A902" i="1"/>
  <c r="J901" i="1"/>
  <c r="A901" i="1"/>
  <c r="A900" i="1"/>
  <c r="J899" i="1"/>
  <c r="A899" i="1"/>
  <c r="J898" i="1"/>
  <c r="A898" i="1"/>
  <c r="L897" i="1"/>
  <c r="K897" i="1"/>
  <c r="J897" i="1"/>
  <c r="A897" i="1"/>
  <c r="L896" i="1"/>
  <c r="K896" i="1"/>
  <c r="J896" i="1"/>
  <c r="A896" i="1"/>
  <c r="J895" i="1"/>
  <c r="A895" i="1"/>
  <c r="A894" i="1"/>
  <c r="J893" i="1"/>
  <c r="A893" i="1"/>
  <c r="L892" i="1"/>
  <c r="K892" i="1"/>
  <c r="J892" i="1"/>
  <c r="A892" i="1"/>
  <c r="A891" i="1"/>
  <c r="J890" i="1"/>
  <c r="A890" i="1"/>
  <c r="J889" i="1"/>
  <c r="A889" i="1"/>
  <c r="A888" i="1"/>
  <c r="A887" i="1"/>
  <c r="J886" i="1"/>
  <c r="A886" i="1"/>
  <c r="A885" i="1"/>
  <c r="J884" i="1"/>
  <c r="A884" i="1"/>
  <c r="J883" i="1"/>
  <c r="A883" i="1"/>
  <c r="J882" i="1"/>
  <c r="A882" i="1"/>
  <c r="J881" i="1"/>
  <c r="A881" i="1"/>
  <c r="J880" i="1"/>
  <c r="A880" i="1"/>
  <c r="J879" i="1"/>
  <c r="A879" i="1"/>
  <c r="J878" i="1"/>
  <c r="A878" i="1"/>
  <c r="J877" i="1"/>
  <c r="A877" i="1"/>
  <c r="J876" i="1"/>
  <c r="A876" i="1"/>
  <c r="J875" i="1"/>
  <c r="A875" i="1"/>
  <c r="J874" i="1"/>
  <c r="A874" i="1"/>
  <c r="J873" i="1"/>
  <c r="A873" i="1"/>
  <c r="J872" i="1"/>
  <c r="A872" i="1"/>
  <c r="J871" i="1"/>
  <c r="A871" i="1"/>
  <c r="K870" i="1"/>
  <c r="J870" i="1"/>
  <c r="A870" i="1"/>
  <c r="A869" i="1"/>
  <c r="A868" i="1"/>
  <c r="J867" i="1"/>
  <c r="A867" i="1"/>
  <c r="A866" i="1"/>
  <c r="J865" i="1"/>
  <c r="A865" i="1"/>
  <c r="J864" i="1"/>
  <c r="A864" i="1"/>
  <c r="J863" i="1"/>
  <c r="A863" i="1"/>
  <c r="J862" i="1"/>
  <c r="A862" i="1"/>
  <c r="J861" i="1"/>
  <c r="A861" i="1"/>
  <c r="J860" i="1"/>
  <c r="A860" i="1"/>
  <c r="A859" i="1"/>
  <c r="K858" i="1"/>
  <c r="J858" i="1"/>
  <c r="A858" i="1"/>
  <c r="J857" i="1"/>
  <c r="A857" i="1"/>
  <c r="A856" i="1"/>
  <c r="J855" i="1"/>
  <c r="A855" i="1"/>
  <c r="A854" i="1"/>
  <c r="K853" i="1"/>
  <c r="J853" i="1"/>
  <c r="A853" i="1"/>
  <c r="J852" i="1"/>
  <c r="A852" i="1"/>
  <c r="J851" i="1"/>
  <c r="A851" i="1"/>
  <c r="J850" i="1"/>
  <c r="A850" i="1"/>
  <c r="A849" i="1"/>
  <c r="A848" i="1"/>
  <c r="K847" i="1"/>
  <c r="J847" i="1"/>
  <c r="A847" i="1"/>
  <c r="M846" i="1"/>
  <c r="L846" i="1"/>
  <c r="K846" i="1"/>
  <c r="J846" i="1"/>
  <c r="A846" i="1"/>
  <c r="A845" i="1"/>
  <c r="J844" i="1"/>
  <c r="A844" i="1"/>
  <c r="J843" i="1"/>
  <c r="A843" i="1"/>
  <c r="A842" i="1"/>
  <c r="J841" i="1"/>
  <c r="A841" i="1"/>
  <c r="J840" i="1"/>
  <c r="A840" i="1"/>
  <c r="A839" i="1"/>
  <c r="J838" i="1"/>
  <c r="A838" i="1"/>
  <c r="J837" i="1"/>
  <c r="A837" i="1"/>
  <c r="L836" i="1"/>
  <c r="K836" i="1"/>
  <c r="J836" i="1"/>
  <c r="A836" i="1"/>
  <c r="J835" i="1"/>
  <c r="A835" i="1"/>
  <c r="J834" i="1"/>
  <c r="A834" i="1"/>
  <c r="J833" i="1"/>
  <c r="A833" i="1"/>
  <c r="J832" i="1"/>
  <c r="A832" i="1"/>
  <c r="J831" i="1"/>
  <c r="A831" i="1"/>
  <c r="A830" i="1"/>
  <c r="J829" i="1"/>
  <c r="A829" i="1"/>
  <c r="J828" i="1"/>
  <c r="A828" i="1"/>
  <c r="A827" i="1"/>
  <c r="A826" i="1"/>
  <c r="A825" i="1"/>
  <c r="J824" i="1"/>
  <c r="A824" i="1"/>
  <c r="A823" i="1"/>
  <c r="J822" i="1"/>
  <c r="A822" i="1"/>
  <c r="J821" i="1"/>
  <c r="A821" i="1"/>
  <c r="A820" i="1"/>
  <c r="A819" i="1"/>
  <c r="J818" i="1"/>
  <c r="A818" i="1"/>
  <c r="J817" i="1"/>
  <c r="A817" i="1"/>
  <c r="J816" i="1"/>
  <c r="A816" i="1"/>
  <c r="A815" i="1"/>
  <c r="J814" i="1"/>
  <c r="A814" i="1"/>
  <c r="J813" i="1"/>
  <c r="A813" i="1"/>
  <c r="J812" i="1"/>
  <c r="A812" i="1"/>
  <c r="L811" i="1"/>
  <c r="K811" i="1"/>
  <c r="J811" i="1"/>
  <c r="A811" i="1"/>
  <c r="K810" i="1"/>
  <c r="J810" i="1"/>
  <c r="A810" i="1"/>
  <c r="A809" i="1"/>
  <c r="L808" i="1"/>
  <c r="K808" i="1"/>
  <c r="J808" i="1"/>
  <c r="A808" i="1"/>
  <c r="J807" i="1"/>
  <c r="A807" i="1"/>
  <c r="A806" i="1"/>
  <c r="A805" i="1"/>
  <c r="J804" i="1"/>
  <c r="A804" i="1"/>
  <c r="A803" i="1"/>
  <c r="K802" i="1"/>
  <c r="J802" i="1"/>
  <c r="A802" i="1"/>
  <c r="J801" i="1"/>
  <c r="A801" i="1"/>
  <c r="J800" i="1"/>
  <c r="A800" i="1"/>
  <c r="J799" i="1"/>
  <c r="A799" i="1"/>
  <c r="J798" i="1"/>
  <c r="A798" i="1"/>
  <c r="J797" i="1"/>
  <c r="A797" i="1"/>
  <c r="A796" i="1"/>
  <c r="K795" i="1"/>
  <c r="J795" i="1"/>
  <c r="A795" i="1"/>
  <c r="A794" i="1"/>
  <c r="J793" i="1"/>
  <c r="A793" i="1"/>
  <c r="J792" i="1"/>
  <c r="A792" i="1"/>
  <c r="J791" i="1"/>
  <c r="A791" i="1"/>
  <c r="J790" i="1"/>
  <c r="A790" i="1"/>
  <c r="A789" i="1"/>
  <c r="J788" i="1"/>
  <c r="A788" i="1"/>
  <c r="J787" i="1"/>
  <c r="A787" i="1"/>
  <c r="J786" i="1"/>
  <c r="A786" i="1"/>
  <c r="A785" i="1"/>
  <c r="J784" i="1"/>
  <c r="A784" i="1"/>
  <c r="J783" i="1"/>
  <c r="A783" i="1"/>
  <c r="J782" i="1"/>
  <c r="A782" i="1"/>
  <c r="A781" i="1"/>
  <c r="A780" i="1"/>
  <c r="J779" i="1"/>
  <c r="A779" i="1"/>
  <c r="J778" i="1"/>
  <c r="A778" i="1"/>
  <c r="J777" i="1"/>
  <c r="A777" i="1"/>
  <c r="J776" i="1"/>
  <c r="A776" i="1"/>
  <c r="J775" i="1"/>
  <c r="A775" i="1"/>
  <c r="J774" i="1"/>
  <c r="A774" i="1"/>
  <c r="A773" i="1"/>
  <c r="J772" i="1"/>
  <c r="A772" i="1"/>
  <c r="J771" i="1"/>
  <c r="A771" i="1"/>
  <c r="J770" i="1"/>
  <c r="A770" i="1"/>
  <c r="J769" i="1"/>
  <c r="A769" i="1"/>
  <c r="K768" i="1"/>
  <c r="J768" i="1"/>
  <c r="A768" i="1"/>
  <c r="J767" i="1"/>
  <c r="A767" i="1"/>
  <c r="J766" i="1"/>
  <c r="A766" i="1"/>
  <c r="J765" i="1"/>
  <c r="A765" i="1"/>
  <c r="A764" i="1"/>
  <c r="J763" i="1"/>
  <c r="A763" i="1"/>
  <c r="J762" i="1"/>
  <c r="A762" i="1"/>
  <c r="J761" i="1"/>
  <c r="A761" i="1"/>
  <c r="A760" i="1"/>
  <c r="A759" i="1"/>
  <c r="J758" i="1"/>
  <c r="A758" i="1"/>
  <c r="A757" i="1"/>
  <c r="J756" i="1"/>
  <c r="A756" i="1"/>
  <c r="A755" i="1"/>
  <c r="L754" i="1"/>
  <c r="K754" i="1"/>
  <c r="J754" i="1"/>
  <c r="A754" i="1"/>
  <c r="L753" i="1"/>
  <c r="K753" i="1"/>
  <c r="J753" i="1"/>
  <c r="A753" i="1"/>
  <c r="J752" i="1"/>
  <c r="A752" i="1"/>
  <c r="K751" i="1"/>
  <c r="J751" i="1"/>
  <c r="A751" i="1"/>
  <c r="A750" i="1"/>
  <c r="L749" i="1"/>
  <c r="K749" i="1"/>
  <c r="J749" i="1"/>
  <c r="A749" i="1"/>
  <c r="K748" i="1"/>
  <c r="J748" i="1"/>
  <c r="A748" i="1"/>
  <c r="J747" i="1"/>
  <c r="A747" i="1"/>
  <c r="J746" i="1"/>
  <c r="A746" i="1"/>
  <c r="A745" i="1"/>
  <c r="J744" i="1"/>
  <c r="A744" i="1"/>
  <c r="M743" i="1"/>
  <c r="L743" i="1"/>
  <c r="K743" i="1"/>
  <c r="J743" i="1"/>
  <c r="A743" i="1"/>
  <c r="J742" i="1"/>
  <c r="A742" i="1"/>
  <c r="A741" i="1"/>
  <c r="J740" i="1"/>
  <c r="A740" i="1"/>
  <c r="J739" i="1"/>
  <c r="A739" i="1"/>
  <c r="J738" i="1"/>
  <c r="A738" i="1"/>
  <c r="A737" i="1"/>
  <c r="J736" i="1"/>
  <c r="A736" i="1"/>
  <c r="J735" i="1"/>
  <c r="A735" i="1"/>
  <c r="K734" i="1"/>
  <c r="J734" i="1"/>
  <c r="A734" i="1"/>
  <c r="J733" i="1"/>
  <c r="A733" i="1"/>
  <c r="A732" i="1"/>
  <c r="J731" i="1"/>
  <c r="A731" i="1"/>
  <c r="A730" i="1"/>
  <c r="J729" i="1"/>
  <c r="A729" i="1"/>
  <c r="J728" i="1"/>
  <c r="A728" i="1"/>
  <c r="J727" i="1"/>
  <c r="A727" i="1"/>
  <c r="A726" i="1"/>
  <c r="A725" i="1"/>
  <c r="A724" i="1"/>
  <c r="J723" i="1"/>
  <c r="A723" i="1"/>
  <c r="J722" i="1"/>
  <c r="A722" i="1"/>
  <c r="J721" i="1"/>
  <c r="A721" i="1"/>
  <c r="J720" i="1"/>
  <c r="A720" i="1"/>
  <c r="L719" i="1"/>
  <c r="K719" i="1"/>
  <c r="J719" i="1"/>
  <c r="A719" i="1"/>
  <c r="J718" i="1"/>
  <c r="A718" i="1"/>
  <c r="J717" i="1"/>
  <c r="A717" i="1"/>
  <c r="J716" i="1"/>
  <c r="A716" i="1"/>
  <c r="J715" i="1"/>
  <c r="A715" i="1"/>
  <c r="K714" i="1"/>
  <c r="J714" i="1"/>
  <c r="A714" i="1"/>
  <c r="J713" i="1"/>
  <c r="A713" i="1"/>
  <c r="K712" i="1"/>
  <c r="J712" i="1"/>
  <c r="A712" i="1"/>
  <c r="J711" i="1"/>
  <c r="A711" i="1"/>
  <c r="J710" i="1"/>
  <c r="A710" i="1"/>
  <c r="L709" i="1"/>
  <c r="K709" i="1"/>
  <c r="J709" i="1"/>
  <c r="A709" i="1"/>
  <c r="J708" i="1"/>
  <c r="A708" i="1"/>
  <c r="J707" i="1"/>
  <c r="A707" i="1"/>
  <c r="J706" i="1"/>
  <c r="A706" i="1"/>
  <c r="J705" i="1"/>
  <c r="A705" i="1"/>
  <c r="A704" i="1"/>
  <c r="A703" i="1"/>
  <c r="A702" i="1"/>
  <c r="J701" i="1"/>
  <c r="A701" i="1"/>
  <c r="J700" i="1"/>
  <c r="A700" i="1"/>
  <c r="J699" i="1"/>
  <c r="A699" i="1"/>
  <c r="J698" i="1"/>
  <c r="A698" i="1"/>
  <c r="J697" i="1"/>
  <c r="A697" i="1"/>
  <c r="J696" i="1"/>
  <c r="A696" i="1"/>
  <c r="J695" i="1"/>
  <c r="A695" i="1"/>
  <c r="J694" i="1"/>
  <c r="A694" i="1"/>
  <c r="A693" i="1"/>
  <c r="J692" i="1"/>
  <c r="A692" i="1"/>
  <c r="A691" i="1"/>
  <c r="L690" i="1"/>
  <c r="K690" i="1"/>
  <c r="J690" i="1"/>
  <c r="A690" i="1"/>
  <c r="J689" i="1"/>
  <c r="A689" i="1"/>
  <c r="J688" i="1"/>
  <c r="A688" i="1"/>
  <c r="J687" i="1"/>
  <c r="A687" i="1"/>
  <c r="J686" i="1"/>
  <c r="A686" i="1"/>
  <c r="J685" i="1"/>
  <c r="A685" i="1"/>
  <c r="J684" i="1"/>
  <c r="A684" i="1"/>
  <c r="L683" i="1"/>
  <c r="K683" i="1"/>
  <c r="J683" i="1"/>
  <c r="A683" i="1"/>
  <c r="J682" i="1"/>
  <c r="A682" i="1"/>
  <c r="J681" i="1"/>
  <c r="A681" i="1"/>
  <c r="J680" i="1"/>
  <c r="A680" i="1"/>
  <c r="K679" i="1"/>
  <c r="J679" i="1"/>
  <c r="A679" i="1"/>
  <c r="J678" i="1"/>
  <c r="A678" i="1"/>
  <c r="J677" i="1"/>
  <c r="A677" i="1"/>
  <c r="J676" i="1"/>
  <c r="A676" i="1"/>
  <c r="J675" i="1"/>
  <c r="A675" i="1"/>
  <c r="J674" i="1"/>
  <c r="A674" i="1"/>
  <c r="A673" i="1"/>
  <c r="A672" i="1"/>
  <c r="A671" i="1"/>
  <c r="J670" i="1"/>
  <c r="A670" i="1"/>
  <c r="A669" i="1"/>
  <c r="A668" i="1"/>
  <c r="A667" i="1"/>
  <c r="A666" i="1"/>
  <c r="J665" i="1"/>
  <c r="A665" i="1"/>
  <c r="J664" i="1"/>
  <c r="A664" i="1"/>
  <c r="L663" i="1"/>
  <c r="K663" i="1"/>
  <c r="J663" i="1"/>
  <c r="A663" i="1"/>
  <c r="A662" i="1"/>
  <c r="A661" i="1"/>
  <c r="K660" i="1"/>
  <c r="J660" i="1"/>
  <c r="A660" i="1"/>
  <c r="A659" i="1"/>
  <c r="J658" i="1"/>
  <c r="A658" i="1"/>
  <c r="J657" i="1"/>
  <c r="A657" i="1"/>
  <c r="J656" i="1"/>
  <c r="A656" i="1"/>
  <c r="J655" i="1"/>
  <c r="A655" i="1"/>
  <c r="L654" i="1"/>
  <c r="K654" i="1"/>
  <c r="J654" i="1"/>
  <c r="A654" i="1"/>
  <c r="J653" i="1"/>
  <c r="A653" i="1"/>
  <c r="J652" i="1"/>
  <c r="A652" i="1"/>
  <c r="J651" i="1"/>
  <c r="A651" i="1"/>
  <c r="J650" i="1"/>
  <c r="A650" i="1"/>
  <c r="J649" i="1"/>
  <c r="A649" i="1"/>
  <c r="J648" i="1"/>
  <c r="A648" i="1"/>
  <c r="J647" i="1"/>
  <c r="A647" i="1"/>
  <c r="M646" i="1"/>
  <c r="L646" i="1"/>
  <c r="K646" i="1"/>
  <c r="J646" i="1"/>
  <c r="A646" i="1"/>
  <c r="J645" i="1"/>
  <c r="A645" i="1"/>
  <c r="K644" i="1"/>
  <c r="J644" i="1"/>
  <c r="A644" i="1"/>
  <c r="J643" i="1"/>
  <c r="A643" i="1"/>
  <c r="J642" i="1"/>
  <c r="A642" i="1"/>
  <c r="A641" i="1"/>
  <c r="K640" i="1"/>
  <c r="J640" i="1"/>
  <c r="A640" i="1"/>
  <c r="L639" i="1"/>
  <c r="K639" i="1"/>
  <c r="J639" i="1"/>
  <c r="A639" i="1"/>
  <c r="A638" i="1"/>
  <c r="M637" i="1"/>
  <c r="L637" i="1"/>
  <c r="K637" i="1"/>
  <c r="J637" i="1"/>
  <c r="A637" i="1"/>
  <c r="J636" i="1"/>
  <c r="A636" i="1"/>
  <c r="A635" i="1"/>
  <c r="J634" i="1"/>
  <c r="A634" i="1"/>
  <c r="A633" i="1"/>
  <c r="J632" i="1"/>
  <c r="A632" i="1"/>
  <c r="J631" i="1"/>
  <c r="A631" i="1"/>
  <c r="J630" i="1"/>
  <c r="A630" i="1"/>
  <c r="J629" i="1"/>
  <c r="A629" i="1"/>
  <c r="J628" i="1"/>
  <c r="A628" i="1"/>
  <c r="A627" i="1"/>
  <c r="J626" i="1"/>
  <c r="A626" i="1"/>
  <c r="A625" i="1"/>
  <c r="J624" i="1"/>
  <c r="A624" i="1"/>
  <c r="M623" i="1"/>
  <c r="L623" i="1"/>
  <c r="K623" i="1"/>
  <c r="J623" i="1"/>
  <c r="A623" i="1"/>
  <c r="J622" i="1"/>
  <c r="A622" i="1"/>
  <c r="A621" i="1"/>
  <c r="J620" i="1"/>
  <c r="A620" i="1"/>
  <c r="J619" i="1"/>
  <c r="A619" i="1"/>
  <c r="J618" i="1"/>
  <c r="A618" i="1"/>
  <c r="J617" i="1"/>
  <c r="A617" i="1"/>
  <c r="J616" i="1"/>
  <c r="A616" i="1"/>
  <c r="J615" i="1"/>
  <c r="A615" i="1"/>
  <c r="J614" i="1"/>
  <c r="A614" i="1"/>
  <c r="J613" i="1"/>
  <c r="A613" i="1"/>
  <c r="J612" i="1"/>
  <c r="A612" i="1"/>
  <c r="J611" i="1"/>
  <c r="A611" i="1"/>
  <c r="J610" i="1"/>
  <c r="A610" i="1"/>
  <c r="J609" i="1"/>
  <c r="A609" i="1"/>
  <c r="J608" i="1"/>
  <c r="A608" i="1"/>
  <c r="A607" i="1"/>
  <c r="J606" i="1"/>
  <c r="A606" i="1"/>
  <c r="L605" i="1"/>
  <c r="K605" i="1"/>
  <c r="J605" i="1"/>
  <c r="A605" i="1"/>
  <c r="J604" i="1"/>
  <c r="A604" i="1"/>
  <c r="J603" i="1"/>
  <c r="A603" i="1"/>
  <c r="J602" i="1"/>
  <c r="A602" i="1"/>
  <c r="J601" i="1"/>
  <c r="A601" i="1"/>
  <c r="J600" i="1"/>
  <c r="A600" i="1"/>
  <c r="J599" i="1"/>
  <c r="A599" i="1"/>
  <c r="J598" i="1"/>
  <c r="A598" i="1"/>
  <c r="J597" i="1"/>
  <c r="A597" i="1"/>
  <c r="J596" i="1"/>
  <c r="A596" i="1"/>
  <c r="L595" i="1"/>
  <c r="K595" i="1"/>
  <c r="J595" i="1"/>
  <c r="A595" i="1"/>
  <c r="J594" i="1"/>
  <c r="A594" i="1"/>
  <c r="J593" i="1"/>
  <c r="A593" i="1"/>
  <c r="J592" i="1"/>
  <c r="A592" i="1"/>
  <c r="A591" i="1"/>
  <c r="A590" i="1"/>
  <c r="J589" i="1"/>
  <c r="A589" i="1"/>
  <c r="J588" i="1"/>
  <c r="A588" i="1"/>
  <c r="J587" i="1"/>
  <c r="A587" i="1"/>
  <c r="A586" i="1"/>
  <c r="J585" i="1"/>
  <c r="A585" i="1"/>
  <c r="J584" i="1"/>
  <c r="A584" i="1"/>
  <c r="J583" i="1"/>
  <c r="A583" i="1"/>
  <c r="J582" i="1"/>
  <c r="A582" i="1"/>
  <c r="J581" i="1"/>
  <c r="A581" i="1"/>
  <c r="J580" i="1"/>
  <c r="A580" i="1"/>
  <c r="J579" i="1"/>
  <c r="A579" i="1"/>
  <c r="J578" i="1"/>
  <c r="A578" i="1"/>
  <c r="J577" i="1"/>
  <c r="A577" i="1"/>
  <c r="M576" i="1"/>
  <c r="L576" i="1"/>
  <c r="K576" i="1"/>
  <c r="J576" i="1"/>
  <c r="A576" i="1"/>
  <c r="J575" i="1"/>
  <c r="A575" i="1"/>
  <c r="A574" i="1"/>
  <c r="J573" i="1"/>
  <c r="A573" i="1"/>
  <c r="L572" i="1"/>
  <c r="K572" i="1"/>
  <c r="J572" i="1"/>
  <c r="A572" i="1"/>
  <c r="J571" i="1"/>
  <c r="A571" i="1"/>
  <c r="J570" i="1"/>
  <c r="A570" i="1"/>
  <c r="J569" i="1"/>
  <c r="A569" i="1"/>
  <c r="A568" i="1"/>
  <c r="L567" i="1"/>
  <c r="K567" i="1"/>
  <c r="J567" i="1"/>
  <c r="A567" i="1"/>
  <c r="A566" i="1"/>
  <c r="J565" i="1"/>
  <c r="A565" i="1"/>
  <c r="J564" i="1"/>
  <c r="A564" i="1"/>
  <c r="A563" i="1"/>
  <c r="A562" i="1"/>
  <c r="J561" i="1"/>
  <c r="A561" i="1"/>
  <c r="J560" i="1"/>
  <c r="A560" i="1"/>
  <c r="J559" i="1"/>
  <c r="A559" i="1"/>
  <c r="A558" i="1"/>
  <c r="J557" i="1"/>
  <c r="A557" i="1"/>
  <c r="A556" i="1"/>
  <c r="J555" i="1"/>
  <c r="A555" i="1"/>
  <c r="J554" i="1"/>
  <c r="A554" i="1"/>
  <c r="A553" i="1"/>
  <c r="J552" i="1"/>
  <c r="A552" i="1"/>
  <c r="J551" i="1"/>
  <c r="A551" i="1"/>
  <c r="K550" i="1"/>
  <c r="J550" i="1"/>
  <c r="A550" i="1"/>
  <c r="J549" i="1"/>
  <c r="A549" i="1"/>
  <c r="J548" i="1"/>
  <c r="A548" i="1"/>
  <c r="J547" i="1"/>
  <c r="A547" i="1"/>
  <c r="J546" i="1"/>
  <c r="A546" i="1"/>
  <c r="J545" i="1"/>
  <c r="A545" i="1"/>
  <c r="M544" i="1"/>
  <c r="L544" i="1"/>
  <c r="K544" i="1"/>
  <c r="J544" i="1"/>
  <c r="A544" i="1"/>
  <c r="J543" i="1"/>
  <c r="A543" i="1"/>
  <c r="J542" i="1"/>
  <c r="A542" i="1"/>
  <c r="A541" i="1"/>
  <c r="J540" i="1"/>
  <c r="A540" i="1"/>
  <c r="J539" i="1"/>
  <c r="A539" i="1"/>
  <c r="A538" i="1"/>
  <c r="J537" i="1"/>
  <c r="A537" i="1"/>
  <c r="J536" i="1"/>
  <c r="A536" i="1"/>
  <c r="J535" i="1"/>
  <c r="A535" i="1"/>
  <c r="J534" i="1"/>
  <c r="A534" i="1"/>
  <c r="A533" i="1"/>
  <c r="A532" i="1"/>
  <c r="A531" i="1"/>
  <c r="J530" i="1"/>
  <c r="A530" i="1"/>
  <c r="J529" i="1"/>
  <c r="A529" i="1"/>
  <c r="K528" i="1"/>
  <c r="J528" i="1"/>
  <c r="A528" i="1"/>
  <c r="J527" i="1"/>
  <c r="A527" i="1"/>
  <c r="J526" i="1"/>
  <c r="A526" i="1"/>
  <c r="A525" i="1"/>
  <c r="J524" i="1"/>
  <c r="A524" i="1"/>
  <c r="A523" i="1"/>
  <c r="M522" i="1"/>
  <c r="L522" i="1"/>
  <c r="K522" i="1"/>
  <c r="J522" i="1"/>
  <c r="A522" i="1"/>
  <c r="L521" i="1"/>
  <c r="K521" i="1"/>
  <c r="J521" i="1"/>
  <c r="A521" i="1"/>
  <c r="J520" i="1"/>
  <c r="A520" i="1"/>
  <c r="J519" i="1"/>
  <c r="A519" i="1"/>
  <c r="J518" i="1"/>
  <c r="A518" i="1"/>
  <c r="J517" i="1"/>
  <c r="A517" i="1"/>
  <c r="J516" i="1"/>
  <c r="A516" i="1"/>
  <c r="J515" i="1"/>
  <c r="A515" i="1"/>
  <c r="A514" i="1"/>
  <c r="J513" i="1"/>
  <c r="A513" i="1"/>
  <c r="J512" i="1"/>
  <c r="A512" i="1"/>
  <c r="J511" i="1"/>
  <c r="A511" i="1"/>
  <c r="J510" i="1"/>
  <c r="A510" i="1"/>
  <c r="J509" i="1"/>
  <c r="A509" i="1"/>
  <c r="J508" i="1"/>
  <c r="A508" i="1"/>
  <c r="J507" i="1"/>
  <c r="A507" i="1"/>
  <c r="A506" i="1"/>
  <c r="A505" i="1"/>
  <c r="J504" i="1"/>
  <c r="A504" i="1"/>
  <c r="J503" i="1"/>
  <c r="A503" i="1"/>
  <c r="J502" i="1"/>
  <c r="A502" i="1"/>
  <c r="J501" i="1"/>
  <c r="A501" i="1"/>
  <c r="J500" i="1"/>
  <c r="A500" i="1"/>
  <c r="J499" i="1"/>
  <c r="A499" i="1"/>
  <c r="K498" i="1"/>
  <c r="J498" i="1"/>
  <c r="A498" i="1"/>
  <c r="J497" i="1"/>
  <c r="A497" i="1"/>
  <c r="J496" i="1"/>
  <c r="A496" i="1"/>
  <c r="A495" i="1"/>
  <c r="J494" i="1"/>
  <c r="A494" i="1"/>
  <c r="J493" i="1"/>
  <c r="A493" i="1"/>
  <c r="J492" i="1"/>
  <c r="A492" i="1"/>
  <c r="J491" i="1"/>
  <c r="A491" i="1"/>
  <c r="J490" i="1"/>
  <c r="A490" i="1"/>
  <c r="J489" i="1"/>
  <c r="A489" i="1"/>
  <c r="J488" i="1"/>
  <c r="A488" i="1"/>
  <c r="J487" i="1"/>
  <c r="A487" i="1"/>
  <c r="J486" i="1"/>
  <c r="A486" i="1"/>
  <c r="J485" i="1"/>
  <c r="A485" i="1"/>
  <c r="J484" i="1"/>
  <c r="A484" i="1"/>
  <c r="J483" i="1"/>
  <c r="A483" i="1"/>
  <c r="A482" i="1"/>
  <c r="J481" i="1"/>
  <c r="A481" i="1"/>
  <c r="J480" i="1"/>
  <c r="A480" i="1"/>
  <c r="A479" i="1"/>
  <c r="J478" i="1"/>
  <c r="A478" i="1"/>
  <c r="J477" i="1"/>
  <c r="A477" i="1"/>
  <c r="J476" i="1"/>
  <c r="A476" i="1"/>
  <c r="A475" i="1"/>
  <c r="J474" i="1"/>
  <c r="A474" i="1"/>
  <c r="A473" i="1"/>
  <c r="J472" i="1"/>
  <c r="A472" i="1"/>
  <c r="A471" i="1"/>
  <c r="J470" i="1"/>
  <c r="A470" i="1"/>
  <c r="J469" i="1"/>
  <c r="A469" i="1"/>
  <c r="J468" i="1"/>
  <c r="A468" i="1"/>
  <c r="M467" i="1"/>
  <c r="L467" i="1"/>
  <c r="K467" i="1"/>
  <c r="J467" i="1"/>
  <c r="A467" i="1"/>
  <c r="J466" i="1"/>
  <c r="A466" i="1"/>
  <c r="J465" i="1"/>
  <c r="A465" i="1"/>
  <c r="J464" i="1"/>
  <c r="A464" i="1"/>
  <c r="J463" i="1"/>
  <c r="A463" i="1"/>
  <c r="K462" i="1"/>
  <c r="J462" i="1"/>
  <c r="A462" i="1"/>
  <c r="J461" i="1"/>
  <c r="A461" i="1"/>
  <c r="J460" i="1"/>
  <c r="A460" i="1"/>
  <c r="J459" i="1"/>
  <c r="A459" i="1"/>
  <c r="J458" i="1"/>
  <c r="A458" i="1"/>
  <c r="J457" i="1"/>
  <c r="A457" i="1"/>
  <c r="J456" i="1"/>
  <c r="A456" i="1"/>
  <c r="J455" i="1"/>
  <c r="A455" i="1"/>
  <c r="J454" i="1"/>
  <c r="A454" i="1"/>
  <c r="J453" i="1"/>
  <c r="A453" i="1"/>
  <c r="J452" i="1"/>
  <c r="A452" i="1"/>
  <c r="J451" i="1"/>
  <c r="A451" i="1"/>
  <c r="J450" i="1"/>
  <c r="A450" i="1"/>
  <c r="K449" i="1"/>
  <c r="J449" i="1"/>
  <c r="A449" i="1"/>
  <c r="J448" i="1"/>
  <c r="A448" i="1"/>
  <c r="J447" i="1"/>
  <c r="A447" i="1"/>
  <c r="A446" i="1"/>
  <c r="J445" i="1"/>
  <c r="A445" i="1"/>
  <c r="A444" i="1"/>
  <c r="A443" i="1"/>
  <c r="J442" i="1"/>
  <c r="A442" i="1"/>
  <c r="M441" i="1"/>
  <c r="L441" i="1"/>
  <c r="K441" i="1"/>
  <c r="J441" i="1"/>
  <c r="A441" i="1"/>
  <c r="J440" i="1"/>
  <c r="A440" i="1"/>
  <c r="J439" i="1"/>
  <c r="A439" i="1"/>
  <c r="J438" i="1"/>
  <c r="A438" i="1"/>
  <c r="J437" i="1"/>
  <c r="A437" i="1"/>
  <c r="J436" i="1"/>
  <c r="A436" i="1"/>
  <c r="J435" i="1"/>
  <c r="A435" i="1"/>
  <c r="K434" i="1"/>
  <c r="J434" i="1"/>
  <c r="A434" i="1"/>
  <c r="A433" i="1"/>
  <c r="J432" i="1"/>
  <c r="A432" i="1"/>
  <c r="J431" i="1"/>
  <c r="A431" i="1"/>
  <c r="J430" i="1"/>
  <c r="A430" i="1"/>
  <c r="J429" i="1"/>
  <c r="A429" i="1"/>
  <c r="A428" i="1"/>
  <c r="J427" i="1"/>
  <c r="A427" i="1"/>
  <c r="R195" i="1" l="1"/>
  <c r="J195" i="1"/>
  <c r="A195" i="1"/>
  <c r="R122" i="1"/>
  <c r="J122" i="1"/>
  <c r="A122" i="1"/>
  <c r="R154" i="1"/>
  <c r="A154" i="1"/>
  <c r="R51" i="1"/>
  <c r="J51" i="1"/>
  <c r="A51" i="1"/>
  <c r="R249" i="1"/>
  <c r="J249" i="1"/>
  <c r="A249" i="1"/>
  <c r="R185" i="1"/>
  <c r="J185" i="1"/>
  <c r="A185" i="1"/>
  <c r="R163" i="1"/>
  <c r="L163" i="1"/>
  <c r="K163" i="1"/>
  <c r="J163" i="1"/>
  <c r="A163" i="1"/>
  <c r="R134" i="1"/>
  <c r="J134" i="1"/>
  <c r="A134" i="1"/>
  <c r="R331" i="1"/>
  <c r="J331" i="1"/>
  <c r="A331" i="1"/>
  <c r="R157" i="1"/>
  <c r="J157" i="1"/>
  <c r="A157" i="1"/>
  <c r="R211" i="1"/>
  <c r="J211" i="1"/>
  <c r="A211" i="1"/>
  <c r="R19" i="1"/>
  <c r="K19" i="1"/>
  <c r="J19" i="1"/>
  <c r="A19" i="1"/>
  <c r="R9" i="1"/>
  <c r="K9" i="1"/>
  <c r="J9" i="1"/>
  <c r="A9" i="1"/>
  <c r="R232" i="1"/>
  <c r="J232" i="1"/>
  <c r="A232" i="1"/>
  <c r="R355" i="1"/>
  <c r="J355" i="1"/>
  <c r="A355" i="1"/>
  <c r="R305" i="1"/>
  <c r="J305" i="1"/>
  <c r="A305" i="1"/>
  <c r="R75" i="1"/>
  <c r="J75" i="1"/>
  <c r="A75" i="1"/>
  <c r="R265" i="1"/>
  <c r="J265" i="1"/>
  <c r="A265" i="1"/>
  <c r="R295" i="1"/>
  <c r="A295" i="1"/>
  <c r="R312" i="1"/>
  <c r="J312" i="1"/>
  <c r="A312" i="1"/>
  <c r="R128" i="1"/>
  <c r="J128" i="1"/>
  <c r="A128" i="1"/>
  <c r="R43" i="1"/>
  <c r="J43" i="1"/>
  <c r="A43" i="1"/>
  <c r="R114" i="1"/>
  <c r="M114" i="1"/>
  <c r="L114" i="1"/>
  <c r="K114" i="1"/>
  <c r="J114" i="1"/>
  <c r="A114" i="1"/>
  <c r="R203" i="1"/>
  <c r="K203" i="1"/>
  <c r="J203" i="1"/>
  <c r="A203" i="1"/>
  <c r="R340" i="1"/>
  <c r="A340" i="1"/>
  <c r="R289" i="1"/>
  <c r="J289" i="1"/>
  <c r="A289" i="1"/>
  <c r="R88" i="1"/>
  <c r="J88" i="1"/>
  <c r="A88" i="1"/>
  <c r="R190" i="1"/>
  <c r="A190" i="1"/>
  <c r="R298" i="1"/>
  <c r="J298" i="1"/>
  <c r="A298" i="1"/>
  <c r="R240" i="1"/>
  <c r="J240" i="1"/>
  <c r="A240" i="1"/>
  <c r="J396" i="1"/>
  <c r="A396" i="1"/>
  <c r="J356" i="1"/>
  <c r="A356" i="1"/>
  <c r="J193" i="1"/>
  <c r="A193" i="1"/>
  <c r="J167" i="1"/>
  <c r="A167" i="1"/>
  <c r="A127" i="1"/>
  <c r="J350" i="1"/>
  <c r="A350" i="1"/>
  <c r="J10" i="1"/>
  <c r="A10" i="1"/>
  <c r="J205" i="1"/>
  <c r="A205" i="1"/>
  <c r="J200" i="1"/>
  <c r="A200" i="1"/>
  <c r="L124" i="1"/>
  <c r="K124" i="1"/>
  <c r="J124" i="1"/>
  <c r="A124" i="1"/>
  <c r="A424" i="1"/>
  <c r="A392" i="1"/>
  <c r="J391" i="1"/>
  <c r="A391" i="1"/>
  <c r="J389" i="1"/>
  <c r="A389" i="1"/>
  <c r="J330" i="1"/>
  <c r="A330" i="1"/>
  <c r="J329" i="1"/>
  <c r="A329" i="1"/>
  <c r="J310" i="1"/>
  <c r="A310" i="1"/>
  <c r="J308" i="1"/>
  <c r="A308" i="1"/>
  <c r="J299" i="1"/>
  <c r="A299" i="1"/>
  <c r="A285" i="1"/>
  <c r="J284" i="1"/>
  <c r="A284" i="1"/>
  <c r="J269" i="1"/>
  <c r="A269" i="1"/>
  <c r="J257" i="1"/>
  <c r="A257" i="1"/>
  <c r="J256" i="1"/>
  <c r="A256" i="1"/>
  <c r="J251" i="1"/>
  <c r="A251" i="1"/>
  <c r="J230" i="1"/>
  <c r="A230" i="1"/>
  <c r="J223" i="1"/>
  <c r="A223" i="1"/>
  <c r="J218" i="1"/>
  <c r="A218" i="1"/>
  <c r="J204" i="1"/>
  <c r="A204" i="1"/>
  <c r="J184" i="1"/>
  <c r="A184" i="1"/>
  <c r="J182" i="1"/>
  <c r="A182" i="1"/>
  <c r="J159" i="1"/>
  <c r="A159" i="1"/>
  <c r="J149" i="1"/>
  <c r="A149" i="1"/>
  <c r="J142" i="1"/>
  <c r="A142" i="1"/>
  <c r="A141" i="1"/>
  <c r="A132" i="1"/>
  <c r="J131" i="1"/>
  <c r="A131" i="1"/>
  <c r="J117" i="1"/>
  <c r="A117" i="1"/>
  <c r="J111" i="1"/>
  <c r="A111" i="1"/>
  <c r="J98" i="1"/>
  <c r="A98" i="1"/>
  <c r="J90" i="1"/>
  <c r="A90" i="1"/>
  <c r="J89" i="1"/>
  <c r="A89" i="1"/>
  <c r="J70" i="1"/>
  <c r="A70" i="1"/>
  <c r="J69" i="1"/>
  <c r="A69" i="1"/>
  <c r="J55" i="1"/>
  <c r="A55" i="1"/>
  <c r="J54" i="1"/>
  <c r="A54" i="1"/>
  <c r="J46" i="1"/>
  <c r="A46" i="1"/>
  <c r="J45" i="1"/>
  <c r="A45" i="1"/>
  <c r="A34" i="1"/>
  <c r="A33" i="1"/>
  <c r="A26" i="1"/>
  <c r="A17" i="1"/>
  <c r="A16" i="1"/>
  <c r="J426" i="1"/>
  <c r="A426" i="1"/>
  <c r="J407" i="1"/>
  <c r="A407" i="1"/>
  <c r="A406" i="1"/>
  <c r="J390" i="1"/>
  <c r="A390" i="1"/>
  <c r="J381" i="1"/>
  <c r="A381" i="1"/>
  <c r="J380" i="1"/>
  <c r="A380" i="1"/>
  <c r="J371" i="1"/>
  <c r="A371" i="1"/>
  <c r="J367" i="1"/>
  <c r="A367" i="1"/>
  <c r="J354" i="1"/>
  <c r="A354" i="1"/>
  <c r="A343" i="1"/>
  <c r="A342" i="1"/>
  <c r="J341" i="1"/>
  <c r="A341" i="1"/>
  <c r="J328" i="1"/>
  <c r="A328" i="1"/>
  <c r="J311" i="1"/>
  <c r="A311" i="1"/>
  <c r="J304" i="1"/>
  <c r="A304" i="1"/>
  <c r="A302" i="1"/>
  <c r="J297" i="1"/>
  <c r="A297" i="1"/>
  <c r="A291" i="1"/>
  <c r="J288" i="1"/>
  <c r="A288" i="1"/>
  <c r="J279" i="1"/>
  <c r="A279" i="1"/>
  <c r="A268" i="1"/>
  <c r="J266" i="1"/>
  <c r="A266" i="1"/>
  <c r="J255" i="1"/>
  <c r="A255" i="1"/>
  <c r="A248" i="1"/>
  <c r="A247" i="1"/>
  <c r="A241" i="1"/>
  <c r="J239" i="1"/>
  <c r="A239" i="1"/>
  <c r="A238" i="1"/>
  <c r="J221" i="1"/>
  <c r="A221" i="1"/>
  <c r="J212" i="1"/>
  <c r="A212" i="1"/>
  <c r="J208" i="1"/>
  <c r="A208" i="1"/>
  <c r="A202" i="1"/>
  <c r="J198" i="1"/>
  <c r="A198" i="1"/>
  <c r="J196" i="1"/>
  <c r="A196" i="1"/>
  <c r="J189" i="1"/>
  <c r="A189" i="1"/>
  <c r="J180" i="1"/>
  <c r="A180" i="1"/>
  <c r="A165" i="1"/>
  <c r="J164" i="1"/>
  <c r="A164" i="1"/>
  <c r="A158" i="1"/>
  <c r="J156" i="1"/>
  <c r="A156" i="1"/>
  <c r="A151" i="1"/>
  <c r="J148" i="1"/>
  <c r="A148" i="1"/>
  <c r="J145" i="1"/>
  <c r="A145" i="1"/>
  <c r="J140" i="1"/>
  <c r="A140" i="1"/>
  <c r="J136" i="1"/>
  <c r="A136" i="1"/>
  <c r="A130" i="1"/>
  <c r="J129" i="1"/>
  <c r="A129" i="1"/>
  <c r="J125" i="1"/>
  <c r="A125" i="1"/>
  <c r="J120" i="1"/>
  <c r="A120" i="1"/>
  <c r="J115" i="1"/>
  <c r="A115" i="1"/>
  <c r="J109" i="1"/>
  <c r="A109" i="1"/>
  <c r="J106" i="1"/>
  <c r="A106" i="1"/>
  <c r="K105" i="1"/>
  <c r="J105" i="1"/>
  <c r="A105" i="1"/>
  <c r="J103" i="1"/>
  <c r="A103" i="1"/>
  <c r="J102" i="1"/>
  <c r="A102" i="1"/>
  <c r="J94" i="1"/>
  <c r="A94" i="1"/>
  <c r="A93" i="1"/>
  <c r="J82" i="1"/>
  <c r="A82" i="1"/>
  <c r="J81" i="1"/>
  <c r="A81" i="1"/>
  <c r="K77" i="1"/>
  <c r="J77" i="1"/>
  <c r="A77" i="1"/>
  <c r="J76" i="1"/>
  <c r="A76" i="1"/>
  <c r="J67" i="1"/>
  <c r="A67" i="1"/>
  <c r="J58" i="1"/>
  <c r="A58" i="1"/>
  <c r="J52" i="1"/>
  <c r="A52" i="1"/>
  <c r="J41" i="1"/>
  <c r="A41" i="1"/>
  <c r="A39" i="1"/>
  <c r="J38" i="1"/>
  <c r="A38" i="1"/>
  <c r="J30" i="1"/>
  <c r="A30" i="1"/>
  <c r="J24" i="1"/>
  <c r="A24" i="1"/>
  <c r="J23" i="1"/>
  <c r="A23" i="1"/>
  <c r="J14" i="1"/>
  <c r="A14" i="1"/>
  <c r="A13" i="1"/>
  <c r="A8" i="1"/>
  <c r="J4" i="1"/>
  <c r="A4" i="1"/>
  <c r="K3" i="1"/>
  <c r="J3" i="1"/>
  <c r="A3" i="1"/>
  <c r="A405" i="1"/>
  <c r="J404" i="1"/>
  <c r="A404" i="1"/>
  <c r="J400" i="1"/>
  <c r="A400" i="1"/>
  <c r="A397" i="1"/>
  <c r="A393" i="1"/>
  <c r="J388" i="1"/>
  <c r="A388" i="1"/>
  <c r="A387" i="1"/>
  <c r="A383" i="1"/>
  <c r="A382" i="1"/>
  <c r="J378" i="1"/>
  <c r="A378" i="1"/>
  <c r="A374" i="1"/>
  <c r="J372" i="1"/>
  <c r="A372" i="1"/>
  <c r="A370" i="1"/>
  <c r="J366" i="1"/>
  <c r="A366" i="1"/>
  <c r="A365" i="1"/>
  <c r="J361" i="1"/>
  <c r="A361" i="1"/>
  <c r="A360" i="1"/>
  <c r="A359" i="1"/>
  <c r="A353" i="1"/>
  <c r="J351" i="1"/>
  <c r="A351" i="1"/>
  <c r="A349" i="1"/>
  <c r="J336" i="1"/>
  <c r="A336" i="1"/>
  <c r="A333" i="1"/>
  <c r="A327" i="1"/>
  <c r="A326" i="1"/>
  <c r="A323" i="1"/>
  <c r="A318" i="1"/>
  <c r="K317" i="1"/>
  <c r="J317" i="1"/>
  <c r="A317" i="1"/>
  <c r="A314" i="1"/>
  <c r="A309" i="1"/>
  <c r="J307" i="1"/>
  <c r="A307" i="1"/>
  <c r="J303" i="1"/>
  <c r="A303" i="1"/>
  <c r="J301" i="1"/>
  <c r="A301" i="1"/>
  <c r="A296" i="1"/>
  <c r="J294" i="1"/>
  <c r="A294" i="1"/>
  <c r="A287" i="1"/>
  <c r="A286" i="1"/>
  <c r="K272" i="1"/>
  <c r="J272" i="1"/>
  <c r="A272" i="1"/>
  <c r="A264" i="1"/>
  <c r="A263" i="1"/>
  <c r="J262" i="1"/>
  <c r="A262" i="1"/>
  <c r="A261" i="1"/>
  <c r="A254" i="1"/>
  <c r="L252" i="1"/>
  <c r="K252" i="1"/>
  <c r="J252" i="1"/>
  <c r="A252" i="1"/>
  <c r="J246" i="1"/>
  <c r="A246" i="1"/>
  <c r="A244" i="1"/>
  <c r="J242" i="1"/>
  <c r="A242" i="1"/>
  <c r="J235" i="1"/>
  <c r="A235" i="1"/>
  <c r="J228" i="1"/>
  <c r="A228" i="1"/>
  <c r="A227" i="1"/>
  <c r="J226" i="1"/>
  <c r="A226" i="1"/>
  <c r="J217" i="1"/>
  <c r="A217" i="1"/>
  <c r="A213" i="1"/>
  <c r="K210" i="1"/>
  <c r="J210" i="1"/>
  <c r="A210" i="1"/>
  <c r="J207" i="1"/>
  <c r="A207" i="1"/>
  <c r="J201" i="1"/>
  <c r="A201" i="1"/>
  <c r="L199" i="1"/>
  <c r="K199" i="1"/>
  <c r="J199" i="1"/>
  <c r="A199" i="1"/>
  <c r="J194" i="1"/>
  <c r="A194" i="1"/>
  <c r="K187" i="1"/>
  <c r="J187" i="1"/>
  <c r="A187" i="1"/>
  <c r="A186" i="1"/>
  <c r="J178" i="1"/>
  <c r="A178" i="1"/>
  <c r="A168" i="1"/>
  <c r="K161" i="1"/>
  <c r="J161" i="1"/>
  <c r="A161" i="1"/>
  <c r="A153" i="1"/>
  <c r="K147" i="1"/>
  <c r="J147" i="1"/>
  <c r="A147" i="1"/>
  <c r="J144" i="1"/>
  <c r="A144" i="1"/>
  <c r="A139" i="1"/>
  <c r="J135" i="1"/>
  <c r="A135" i="1"/>
  <c r="J126" i="1"/>
  <c r="A126" i="1"/>
  <c r="J119" i="1"/>
  <c r="A119" i="1"/>
  <c r="J113" i="1"/>
  <c r="A113" i="1"/>
  <c r="J108" i="1"/>
  <c r="A108" i="1"/>
  <c r="J104" i="1"/>
  <c r="A104" i="1"/>
  <c r="J101" i="1"/>
  <c r="A101" i="1"/>
  <c r="J92" i="1"/>
  <c r="A92" i="1"/>
  <c r="L83" i="1"/>
  <c r="K83" i="1"/>
  <c r="J83" i="1"/>
  <c r="A83" i="1"/>
  <c r="A78" i="1"/>
  <c r="J74" i="1"/>
  <c r="A74" i="1"/>
  <c r="J68" i="1"/>
  <c r="A68" i="1"/>
  <c r="J62" i="1"/>
  <c r="A62" i="1"/>
  <c r="A61" i="1"/>
  <c r="L57" i="1"/>
  <c r="K57" i="1"/>
  <c r="J57" i="1"/>
  <c r="A57" i="1"/>
  <c r="A50" i="1"/>
  <c r="J49" i="1"/>
  <c r="A49" i="1"/>
  <c r="J37" i="1"/>
  <c r="A37" i="1"/>
  <c r="J36" i="1"/>
  <c r="A36" i="1"/>
  <c r="A29" i="1"/>
  <c r="J27" i="1"/>
  <c r="A27" i="1"/>
  <c r="A22" i="1"/>
  <c r="A21" i="1"/>
  <c r="K20" i="1"/>
  <c r="J20" i="1"/>
  <c r="A20" i="1"/>
  <c r="K12" i="1"/>
  <c r="J12" i="1"/>
  <c r="A12" i="1"/>
  <c r="J7" i="1"/>
  <c r="A7" i="1"/>
  <c r="J6" i="1"/>
  <c r="A6" i="1"/>
  <c r="M2" i="1"/>
  <c r="L2" i="1"/>
  <c r="K2" i="1"/>
  <c r="J2" i="1"/>
  <c r="A2" i="1"/>
  <c r="A422" i="1"/>
  <c r="J420" i="1"/>
  <c r="A420" i="1"/>
  <c r="A419" i="1"/>
  <c r="J415" i="1"/>
  <c r="A415" i="1"/>
  <c r="J399" i="1"/>
  <c r="A399" i="1"/>
  <c r="J386" i="1"/>
  <c r="A386" i="1"/>
  <c r="A377" i="1"/>
  <c r="A376" i="1"/>
  <c r="A375" i="1"/>
  <c r="A373" i="1"/>
  <c r="A364" i="1"/>
  <c r="A362" i="1"/>
  <c r="A358" i="1"/>
  <c r="A357" i="1"/>
  <c r="J348" i="1"/>
  <c r="A348" i="1"/>
  <c r="A347" i="1"/>
  <c r="A346" i="1"/>
  <c r="J345" i="1"/>
  <c r="A345" i="1"/>
  <c r="K332" i="1"/>
  <c r="J332" i="1"/>
  <c r="A332" i="1"/>
  <c r="J324" i="1"/>
  <c r="A324" i="1"/>
  <c r="A316" i="1"/>
  <c r="A315" i="1"/>
  <c r="A306" i="1"/>
  <c r="J293" i="1"/>
  <c r="A293" i="1"/>
  <c r="K283" i="1"/>
  <c r="J283" i="1"/>
  <c r="A283" i="1"/>
  <c r="J270" i="1"/>
  <c r="A270" i="1"/>
  <c r="J258" i="1"/>
  <c r="A258" i="1"/>
  <c r="J237" i="1"/>
  <c r="A237" i="1"/>
  <c r="J233" i="1"/>
  <c r="A233" i="1"/>
  <c r="K225" i="1"/>
  <c r="J225" i="1"/>
  <c r="A225" i="1"/>
  <c r="K216" i="1"/>
  <c r="J216" i="1"/>
  <c r="A216" i="1"/>
  <c r="J209" i="1"/>
  <c r="A209" i="1"/>
  <c r="J192" i="1"/>
  <c r="A192" i="1"/>
  <c r="K183" i="1"/>
  <c r="J183" i="1"/>
  <c r="A183" i="1"/>
  <c r="J177" i="1"/>
  <c r="A177" i="1"/>
  <c r="K160" i="1"/>
  <c r="J160" i="1"/>
  <c r="A160" i="1"/>
  <c r="J138" i="1"/>
  <c r="A138" i="1"/>
  <c r="K133" i="1"/>
  <c r="J133" i="1"/>
  <c r="A133" i="1"/>
  <c r="J123" i="1"/>
  <c r="A123" i="1"/>
  <c r="J118" i="1"/>
  <c r="A118" i="1"/>
  <c r="J99" i="1"/>
  <c r="A99" i="1"/>
  <c r="K91" i="1"/>
  <c r="J91" i="1"/>
  <c r="A91" i="1"/>
  <c r="J80" i="1"/>
  <c r="A80" i="1"/>
  <c r="J72" i="1"/>
  <c r="A72" i="1"/>
  <c r="J66" i="1"/>
  <c r="A66" i="1"/>
  <c r="J48" i="1"/>
  <c r="A48" i="1"/>
  <c r="K35" i="1"/>
  <c r="J35" i="1"/>
  <c r="A35" i="1"/>
  <c r="J25" i="1"/>
  <c r="A25" i="1"/>
  <c r="J18" i="1"/>
  <c r="A18" i="1"/>
  <c r="J423" i="1"/>
  <c r="A423" i="1"/>
  <c r="J421" i="1"/>
  <c r="A421" i="1"/>
  <c r="A408" i="1"/>
  <c r="J273" i="1"/>
  <c r="A273" i="1"/>
  <c r="J319" i="1"/>
  <c r="A319" i="1"/>
  <c r="J412" i="1" l="1"/>
  <c r="A412" i="1"/>
  <c r="J395" i="1"/>
  <c r="A395" i="1"/>
  <c r="J275" i="1"/>
  <c r="A275" i="1"/>
  <c r="J231" i="1"/>
  <c r="A231" i="1"/>
  <c r="J219" i="1"/>
  <c r="A219" i="1"/>
  <c r="J162" i="1"/>
  <c r="A162" i="1"/>
  <c r="J100" i="1"/>
  <c r="A100" i="1"/>
  <c r="J95" i="1"/>
  <c r="A95" i="1"/>
  <c r="J84" i="1"/>
  <c r="A84" i="1"/>
  <c r="A425" i="1"/>
  <c r="J28" i="1"/>
  <c r="A28" i="1"/>
  <c r="J411" i="1"/>
  <c r="A411" i="1"/>
  <c r="J384" i="1"/>
  <c r="A384" i="1"/>
  <c r="J363" i="1"/>
  <c r="A363" i="1"/>
  <c r="A352" i="1"/>
  <c r="J344" i="1"/>
  <c r="A344" i="1"/>
  <c r="J334" i="1"/>
  <c r="A334" i="1"/>
  <c r="A300" i="1"/>
  <c r="J271" i="1"/>
  <c r="A271" i="1"/>
  <c r="J250" i="1"/>
  <c r="A250" i="1"/>
  <c r="J245" i="1"/>
  <c r="A245" i="1"/>
  <c r="A234" i="1"/>
  <c r="J224" i="1"/>
  <c r="A224" i="1"/>
  <c r="J197" i="1"/>
  <c r="A197" i="1"/>
  <c r="A191" i="1"/>
  <c r="J175" i="1"/>
  <c r="A175" i="1"/>
  <c r="J150" i="1"/>
  <c r="A150" i="1"/>
  <c r="A146" i="1"/>
  <c r="J137" i="1"/>
  <c r="A137" i="1"/>
  <c r="A121" i="1"/>
  <c r="J112" i="1"/>
  <c r="A112" i="1"/>
  <c r="J97" i="1"/>
  <c r="A97" i="1"/>
  <c r="J86" i="1"/>
  <c r="A86" i="1"/>
  <c r="J79" i="1"/>
  <c r="A79" i="1"/>
  <c r="J71" i="1"/>
  <c r="A71" i="1"/>
  <c r="A65" i="1"/>
  <c r="J60" i="1"/>
  <c r="A60" i="1"/>
  <c r="A53" i="1"/>
  <c r="J47" i="1"/>
  <c r="A47" i="1"/>
  <c r="J44" i="1"/>
  <c r="A44" i="1"/>
  <c r="A15" i="1"/>
  <c r="A11" i="1"/>
  <c r="A5" i="1"/>
  <c r="A339" i="1"/>
  <c r="A337" i="1"/>
  <c r="A335" i="1"/>
  <c r="A325" i="1"/>
  <c r="A322" i="1"/>
  <c r="A313" i="1"/>
  <c r="A292" i="1"/>
  <c r="A290" i="1"/>
  <c r="A282" i="1"/>
  <c r="A281" i="1"/>
  <c r="A280" i="1"/>
  <c r="A278" i="1"/>
  <c r="A277" i="1"/>
  <c r="A274" i="1"/>
  <c r="A260" i="1"/>
  <c r="A259" i="1"/>
  <c r="A253" i="1"/>
  <c r="A243" i="1"/>
  <c r="A236" i="1"/>
  <c r="A229" i="1"/>
  <c r="A222" i="1"/>
  <c r="A220" i="1"/>
  <c r="A215" i="1"/>
  <c r="A214" i="1"/>
  <c r="A206" i="1"/>
  <c r="A181" i="1"/>
  <c r="A179" i="1"/>
  <c r="A173" i="1"/>
  <c r="A172" i="1"/>
  <c r="A171" i="1"/>
  <c r="J166" i="1"/>
  <c r="A166" i="1"/>
  <c r="A155" i="1"/>
  <c r="A152" i="1"/>
  <c r="A143" i="1"/>
  <c r="J116" i="1"/>
  <c r="A116" i="1"/>
  <c r="A110" i="1"/>
  <c r="A107" i="1"/>
  <c r="A96" i="1"/>
  <c r="A87" i="1"/>
  <c r="A85" i="1"/>
  <c r="A73" i="1"/>
  <c r="A64" i="1"/>
  <c r="J63" i="1"/>
  <c r="A63" i="1"/>
  <c r="A59" i="1"/>
  <c r="A56" i="1"/>
  <c r="A42" i="1"/>
  <c r="J40" i="1"/>
  <c r="A40" i="1"/>
  <c r="A32" i="1"/>
  <c r="A31" i="1"/>
  <c r="J398" i="1" l="1"/>
  <c r="A398" i="1"/>
  <c r="A410" i="1"/>
  <c r="A394" i="1"/>
  <c r="A176" i="1"/>
  <c r="A403" i="1"/>
  <c r="A402" i="1"/>
  <c r="A188" i="1"/>
  <c r="A267" i="1"/>
  <c r="A417" i="1"/>
  <c r="J338" i="1"/>
  <c r="A338" i="1"/>
  <c r="A169" i="1"/>
  <c r="A413" i="1"/>
  <c r="A385" i="1"/>
  <c r="J174" i="1"/>
  <c r="A174" i="1"/>
  <c r="A321" i="1"/>
  <c r="J416" i="1"/>
  <c r="A416" i="1"/>
  <c r="A276" i="1"/>
  <c r="A170" i="1"/>
  <c r="A401" i="1"/>
  <c r="A418" i="1"/>
  <c r="A320" i="1"/>
  <c r="A379" i="1"/>
  <c r="A369" i="1"/>
  <c r="A414" i="1"/>
  <c r="A409" i="1"/>
  <c r="A368" i="1"/>
</calcChain>
</file>

<file path=xl/sharedStrings.xml><?xml version="1.0" encoding="utf-8"?>
<sst xmlns="http://schemas.openxmlformats.org/spreadsheetml/2006/main" count="9189" uniqueCount="3097">
  <si>
    <t>id</t>
  </si>
  <si>
    <t>screen_name</t>
  </si>
  <si>
    <t>created_at</t>
  </si>
  <si>
    <t>type</t>
  </si>
  <si>
    <t>fav</t>
  </si>
  <si>
    <t>rt</t>
  </si>
  <si>
    <t>RTed</t>
  </si>
  <si>
    <t>text</t>
  </si>
  <si>
    <t>media1</t>
  </si>
  <si>
    <t>media2</t>
  </si>
  <si>
    <t>media3</t>
  </si>
  <si>
    <t>media4</t>
  </si>
  <si>
    <t>compound</t>
  </si>
  <si>
    <t>neg</t>
  </si>
  <si>
    <t>neu</t>
  </si>
  <si>
    <t>pos</t>
  </si>
  <si>
    <t>BibBeaune</t>
  </si>
  <si>
    <t>resource</t>
  </si>
  <si>
    <t>Les aventures de #Tintin en podcast ! Écoutez les péripéties du plus célèbre des journalistes grâce à @franceculture.
Rendez-vous sur https://t.co/P0u9ImDIeq pour découvrir les 5 épisodes (et d'autres histoires en lien en bas de la page ! 😃😉)</t>
  </si>
  <si>
    <t>Un peu de géographie ancienne avec @GallicaBnF !
P.S. : pour les personnes qui se posent la question, il faut bien cliquer sur l'outil 3D dans la barre de menu à gauche pour manipuler les globes, sinon ça ne marche pas ! 🌎🌒 https://t.co/TJXTxZ4y8P</t>
  </si>
  <si>
    <t>Pas besoin de sortir pour profiter des magnifiques spectacles de l'Opéra de Paris ! https://t.co/5Xx6rM1t7c</t>
  </si>
  <si>
    <t>Des activités à faire chez vous, pour développer sa curiosité artistique en s'amusant. Merci @la_minoterie !  #cultureàlamaison #jeunesse https://t.co/hm0ZLxiAGj</t>
  </si>
  <si>
    <t>De la lecture et des ressources pédagogiques pour parler d'écologie et d'histoire avec vos enfants ! Merci aux Editions Poulpe Fictions pour la mise en ligne de ces ouvrages de leurs collections ! #jeunesse #littérature #CultureAlaMaison 
https://t.co/jbik4Fc3ej</t>
  </si>
  <si>
    <t>Un chouette jeu pour comprendre le principe de l'évolution, jouable sur tous les supports ou presque ! Pour concurrencer #Darwin, c'est par ici : 
https://t.co/9nB8FTKarw
#jeuxvideos #cultureàlamaison</t>
  </si>
  <si>
    <t>operations update</t>
  </si>
  <si>
    <t>En raison de l'épidémie de COVID-19, la Bibliothèque Gaspard Monge centre ville et la Bibliothèque Saint-Jacques sont fermées jusqu'à nouvel ordre.
Prenez soin de vous et à bientôt !</t>
  </si>
  <si>
    <t>Hier, on a partagé des applications pour jouer de la musique depuis votre téléphone ou votre tablette, voici donc des partitions pour compléter cette recommandation ! 🎹🎼🎧 https://t.co/yrUWx3LNvm</t>
  </si>
  <si>
    <t>Une nouvelle par jour pour découvrir ou redécouvrir les auteurs et les autrices qui ont marqué dix ans de littératures de l'imaginaire ! https://t.co/7zLD2xhQj5</t>
  </si>
  <si>
    <t>event</t>
  </si>
  <si>
    <t>A la recherche du code secret... #fakenews #médias #ressources https://t.co/o6lMpsx2K2</t>
  </si>
  <si>
    <t>Deux applications pour s'essayer au synthétiseur ! A installer sur tablette ou téléphone, pour vous entraîner à reproduire vos morceaux préférés 🎼🎹🥁
L'appli de Moog (Apple) https://t.co/5V4kJYzsO4
L'appli de Korg (Android) https://t.co/WQjAh97345
[Photo : Anton Shuvalov] https://t.co/ndVUGBGqZ8</t>
  </si>
  <si>
    <t>Des Bds, en intégralité en ligne, à lire dès maintenant ! #Scorpion #Sardinedelespace #LongJohnSilver et bien d'autres 😮👌#littérature #cultureàlamaison Merci @EditionsDargaud !
https://t.co/bnxlz6YdKx</t>
  </si>
  <si>
    <t>#Beaune a bien changé depuis cette période... Saurez-vous retrouver la ville dans la carte de Cassini ? Pour le savoir, rendez-vous sur @GallicaBnF : https://t.co/3gWZVQoux3
#monbleddanscassini https://t.co/yV0oig484c</t>
  </si>
  <si>
    <t>Une petite pause lecture ? @Rocamboleapp vous propose gratuitement pendant la durée de la crise des séries à dévorer, en petits épisodes de 5 minutes. Bonne lecture ! https://t.co/mf4YxPrcm8 https://t.co/2oiMgdFW2Z</t>
  </si>
  <si>
    <t>Pour préparer le goûter cet après-midi #cuisineenfamille #mercredidespetits https://t.co/CMTekDjuv3</t>
  </si>
  <si>
    <t>Des comics (mais pas que) à découvrir pendant le confinement ! https://t.co/j0kCHKaDFW</t>
  </si>
  <si>
    <t>Livraison poétique du jour par le Théâtre Universitaire de Dijon. N'hésitez pas à les appeler pour découvrir par téléphone une œuvre poétique de votre choix ! #Culturecheznous #litterature #PrintempsdesPoètes2020 https://t.co/awCObAWXay</t>
  </si>
  <si>
    <t>@sparsemagazine partage son dernier numéro ! Toutes les informations de la région #BourgogneFrancheComte sont disponibles sur vos supports numériques favoris ! https://t.co/a28oqxJbVq</t>
  </si>
  <si>
    <t>L'opéra à la maison ! https://t.co/DzHiTtI5GO</t>
  </si>
  <si>
    <t>Pour découvrir les coulisses et les acteurs du monde du jeu vidéo, ça se passe par là !
🔽 https://t.co/hTUUNATXYW</t>
  </si>
  <si>
    <t>#Beaune hier, aujourd'hui, chez vous ! Pour voir l'évolution des lieux emblématiques beaunois, rendez-vous sur le site des @ArchivesBeaune : https://t.co/NiXIa4pqsR
#CultureAlaMaison</t>
  </si>
  <si>
    <t>community building</t>
  </si>
  <si>
    <t>On a trouvé quoi faire de votre superbe carnet vide qui reste dans une étagère car vous ne savez pas pour quel projet l'utiliser ! https://t.co/joP77swIaF</t>
  </si>
  <si>
    <t>Bidouilles et expériences à réaliser à la maison pour découvrir les sciences grâce à la @citedessciences ! Pour les curieuses et les curieux, ça se passe par ici : https://t.co/VttLO8ADne 
#cultureàlamaison #sciences</t>
  </si>
  <si>
    <t>Un petit jeu pour réfléchir à la manière dont les éléments se combinent pour en créer de nouveaux ! De quoi quoi coopérer ensemble pour créer la vie, les animaux, le métal... Rendez-vous sur https://t.co/keGTQJ0AiV !</t>
  </si>
  <si>
    <t>Avec la suppression de nos soirées jeux, il faut bien continuer les traditions ! #loupgarou #undernierjeuetonferme https://t.co/SjTJNaw5WA</t>
  </si>
  <si>
    <t>Une nouvelle par jour sur le site des @EditionsZulma ! De beaux textes, des couvertures incroyables... Bonne lecture ! #litterature #cultureàlamaison https://t.co/xSZPUJ0qIZ</t>
  </si>
  <si>
    <t>BibHavel</t>
  </si>
  <si>
    <t>Après la pluie le beau temps ? 🌈🧐 Aujourd'hui, on décompose la lumière blanche et on perce le mystère des arcs-en-ciel grâce aux expériences de la @bibliothequeBSI !  A partir de 5 ans ! #photométéore https://t.co/h1d4NLGWWl</t>
  </si>
  <si>
    <t>"Une histoire de la surveillance [...] aujourd'hui, c'est nous qui nous exposons volontiers." ▶️ Allez, on essaie de comprendre pourquoi 🧐. Merci @franceinter "le code a changé" et @FestivalNumok 👏. https://t.co/bMSJ1KAZRT</t>
  </si>
  <si>
    <t>Que va dire le Choixpeau magique 🧐 ? Faites entrer la magie de Poudlard chez vous en téléchargeant gratuitement les activités magiques Harry Potter. Merci @GallimardJeun  #RestezChezVous 
https://t.co/OdaYYDmDqN https://t.co/8OnEDpf80U</t>
  </si>
  <si>
    <t>[Alerte JV] - Tic tac tic tac...⏰. Vous avez jusqu'à ce soir ! Go, Go, Go ! #RestezChezVous 😉 https://t.co/Tz3XfnJMAl</t>
  </si>
  <si>
    <t>[A partir de 3 ans] - Pas toujours facile de mettre des mots sur ses émotions. Voici une activité qui permettra d'apporter quelques éclaircies tout au long de la journée🌈. Merci la @bibliothequeBSI pour cet atelier "Météo des émotions" ! #aprèslapluielebeautemps #RestezChezVous https://t.co/oKjVujoIGC</t>
  </si>
  <si>
    <t>[Alerte JV] - Joyeux anniversaire la #Gamecube 🎂 ! 18 ans 🤟 @NintendoFrance #Dolphin #retrogaming https://t.co/zZMcxBrxay</t>
  </si>
  <si>
    <t>Promenez-vous dans @Paris sans vous faire d'ampoules aux pieds et (re)découvrez les 4e et 11e arr. Attention, qq secrets sur les @BibParis seront révélés😉 ! &amp;gt;&amp;gt;@bibhistorique, bibliothèque Violette Leduc. 👏aux usagers et @UnendlicheStudi  @FestivalNumok 
 https://t.co/AvsHEBzhuz https://t.co/GgENXM6p4Q</t>
  </si>
  <si>
    <t>Mais c'est quoi ce virus qui fait qu'on peut plus se faire de bisous comme avant ? &amp;gt;&amp;gt;&amp;gt; Le corona virus expliqué aux enfants. Merci la @bibliothequeBSI et @GallimardJeun ! #RestezChezVous 😘 https://t.co/8hARiiBDjB</t>
  </si>
  <si>
    <t>A vos casques 🎧 ! Pas besoin de masque pour cette balade😉. Pour débuter le joli mois de mai, écoutez les #ConstellationsSonores et découvrez des quartiers de Paris. Merci et 👏@UnendlicheStudi @FestivalNumok @bibliocite et les @BibParis ❤️ https://t.co/PLVbEY6wnm</t>
  </si>
  <si>
    <t>[ALerte musicale] - Vous vous sentez créatifs ? La @MmpParis vous propose de mixer et de (re)composer à partir de ses pépites musicales ! #RestezChezVous https://t.co/CWlC0FIEFg</t>
  </si>
  <si>
    <t>Makers en bibliothèques au service des besoins de la communauté ! C'est aussi ça les bibliothèques 😉👏👍❤️ https://t.co/Zs32X21BL0</t>
  </si>
  <si>
    <t>[Alerte JV] - "Total War Shogun" &amp;gt;&amp;gt;&amp;gt; gratuit sur Steam ! Vous avez jusqu'au 1er mai ! A vos agendas ! #RestezChezVous https://t.co/y8PtbKbb9o</t>
  </si>
  <si>
    <t>Partez en balade depuis chez vous ! Ouvrez les oreilles et (re)découvrez des quartiers parisiens et leurs #ConstellationsSonores ! Chaque semaine, de nouvelles balades à faire 😀👍 ! Stay tuned ! Merci @UnendlicheStudi @FestivalNumok @BibParis @bibliocite 👏⬇️ https://t.co/Cn23oaMn7C</t>
  </si>
  <si>
    <t>[Alerte JV] &amp;gt;&amp;gt;&amp;gt;&amp;gt; Le @CentrePompidou vous propose de plonger dans l'univers de l'art contemporain avec son jeu video #Prisme7. Avec l'@Ircam au design sonore 👏. https://t.co/uXmIRpzTYn</t>
  </si>
  <si>
    <t>On vous l’avez promis, les voilà! En exclusivité, voici les #ConstellationsSonores composées par @LadoireEddie de @UnendlicheStudi dans le cadre du @festivalnumok des @BibParis . Aujourd’hui, découvrez l’Est parisien (et la bibliothèque Vaclav Havel 😉)! 
https://t.co/AvsHEBzhuz https://t.co/TwD65SM6tX</t>
  </si>
  <si>
    <t>Bravo le @FestivalNumok pour cette adaptation hybride 👏! Le festival plein de ressources 😀🧐 : à la fois en ligne et sur le terrain avec des actions solidaires. @APHP #COVID19 #RestezChezVous https://t.co/dEn1sWtXps</t>
  </si>
  <si>
    <t>👏👍🤟 https://t.co/uLipfgCBsg</t>
  </si>
  <si>
    <t>#Numokforever 👏 #évadezvous #RestezChezVous https://t.co/WcZ7jNDtsk</t>
  </si>
  <si>
    <t>"Jouer, découvrir, comprendre, transmettre"❤️! Découvrez le genre littéraire de la Fantasy grâce à @laBnF 👏!  Pour un retour aux sources et une expérience vidéoludique qui vous déconfinera au Royaume merveilleux d'Istyald, c'est par là &amp;gt;&amp;gt;https://t.co/pYupkaKdEr
@PascaleIssarte1 https://t.co/BgGLAaXJJz</t>
  </si>
  <si>
    <t>Bibliothèque et #LSF &amp;gt;&amp;gt;&amp;gt; à vous de jouer ! 😀 https://t.co/gltIbezlsX</t>
  </si>
  <si>
    <t>[Moment lecture] - 🧐 Déconfinons-nous l'esprit😀grâce au philosophe @pottebonneville ! Merci au @FestivalNumok qui continue de nous accompagner ! ⬇️⬇️⬇️#RestezChezVous #depuischezvous https://t.co/l3v7oS3qRk</t>
  </si>
  <si>
    <t>[Alerte JV] - Partez en voyage spatio-temporel ! C'est jusqu'à demain !! #Restezchezvous #depuischezvous https://t.co/fx5F2TorQ5</t>
  </si>
  <si>
    <t>Idées lecture ! 3 tomes des aventures d'Akissi disponibles sur la bibliothèque numérique @BibNum2Paris 😀 &amp;gt;&amp;gt;&amp;gt; https://t.co/qE7hxilf9x #restezchezvous 🧐 https://t.co/q5TiUwK1Hm</t>
  </si>
  <si>
    <t>Rien de tel qu'une illusion d'optique pour s'évader en ces temps confinés 🧐😉! Merci la @bibliothequeBSI ! #RestezChezVous @BibParis @FestivalNumok https://t.co/nr2K6Lg3O6</t>
  </si>
  <si>
    <t>[Pour les 6-10 ans] - Le coronavirus, qu'est-ce que c'est ?🧐 Merci la @citedessciences d'éclairer les plus jeunes (et les moins jeunes) d'entre nous. #LaScienceEstLà #culturechezvous @BibParis @APHP @EducationFrance 
https://t.co/1lExtH2s3Z</t>
  </si>
  <si>
    <t>[Alerte JV] - Mais.... mais comment peut-on faire un jeu video avec #Scratch ? Merci @FestivalNumok ! C'est par là ⬇️ #ScratchAtHome https://t.co/iLoHCYSzBm</t>
  </si>
  <si>
    <t>On s'informe depuis chez soi 🧐 grâce au @FestivalNumok en version dématérialisée.... pour le moment.... 😉. https://t.co/8WVIQDfpVE</t>
  </si>
  <si>
    <t>Un moment coloriage et jeux video pour petits et grands ! Parfait pour se détendre et revoir les classiques de l'art vidéoludique. #RestezChezVous https://t.co/8sRGaFgu2h</t>
  </si>
  <si>
    <t>[Oyé Oyé] c'est demain !! Poke poke poke 😉 ! https://t.co/shypnEhsoP</t>
  </si>
  <si>
    <t>Le @FestivalNumok continue !! 🎮🧐 #RestezChezVous https://t.co/IPYDai6mpA</t>
  </si>
  <si>
    <t>L'intelligence artificielle/IA .... 🧐 mais de quoi s'agit-il au juste ? &amp;gt;&amp;gt;&amp;gt; voici un mooc qui vous permettra d'y voir plus clair 🧐 et tout ça #depuischezvous ! Le @FestivalNumok, ça continue😀! @BibParis https://t.co/xSzJTAPiGq</t>
  </si>
  <si>
    <t>Le @FestivalNumok continue 🎮🧐 et vous accompagne😀
#depuischezvous #depuischeznous #restezchezvous #culturechezvous ⬇️⬇️⬇️⬇️ https://t.co/1E1F7Wi6oG</t>
  </si>
  <si>
    <t>#Depuischezvous ! https://t.co/Qt9gVCEm5d</t>
  </si>
  <si>
    <t>[Alerte JV] - C'est le moment tuto jeu video, grâce au @FestivalNumok et @Dezzzea ! What a team😀 ! Et c'est parti, cliquez et découvrez "Into the Breach" ! Laissez-vous (trans)porter ! ⬇️ https://t.co/9vvTrudM7q</t>
  </si>
  <si>
    <t>Même confiné, le @FestivalNumok continue de nous surprendre 😃! Plongez dans l'univers de la création des jeux video 🎮et découvrez la profession de narrative designer 🧐 ! https://t.co/s9r5UkxcCA</t>
  </si>
  <si>
    <t>Le @FestivalNumok se poursuit ! #Comprendre https://t.co/hHCQ6Gvv7h</t>
  </si>
  <si>
    <t>Pendant ce temps là sur l'interweb ... la vie continue (aussi) grâce aux jeux video 😀🎮. #RestezChezVous https://t.co/uKS8QQpomK</t>
  </si>
  <si>
    <t>[Alerte JV] - Joie ! @Cactuceratops continue de nous faire découvrir les BO de nos jeux vidéo préférés !!! ⬇️⬇️⬇️               1 jour / 1 épisode &amp;gt;&amp;gt;&amp;gt;&amp;gt;&amp;gt; stay tuned !! #RestezChezVous @FestivalNumok @BibParis https://t.co/PwtuDmPjSF</t>
  </si>
  <si>
    <t>#écologienumérique #vertfutur https://t.co/wQ6qtjc5sF</t>
  </si>
  <si>
    <t>[Alerte JV] -  @UbisoftFR vous offre le jeu Rayman Legends (sur PC) et c'est jusqu'au 3 avril !!! &amp;gt;&amp;gt;&amp;gt;&amp;gt;&amp;gt; Ceci n'est pas un poisson 😉
@FestivalNumok @bibYourcenar https://t.co/bWWBfLmchX</t>
  </si>
  <si>
    <t>Le @FestivalNumok continue sur la toile ! #culturechezvous  #culturepartout #culturepourtous. Quand le numérique nous donne des ailes ! https://t.co/D6xYK9kKQN</t>
  </si>
  <si>
    <t>[Alerte JV] - Venez « chiller » en écoutant Fanny Rebillard qui nous parle de la musique des sessions de yoga de Wii Fit. Merci @Cactuceratops pour cette pause ludo musicale ! Stay tuned &amp;gt;&amp;gt;&amp;gt;&amp;gt;&amp;gt; d’autres épisodes à venir :) @festivalNumok @BibParis #musiqueetjeuxvideo https://t.co/EL1N5XQHPn</t>
  </si>
  <si>
    <t>#Restezchezvous ;) https://t.co/bfBKN7C3CK</t>
  </si>
  <si>
    <t>[Alerte JV] - 🎮Retrouvez notre sélection de jeux vidéo (Switch/PS4/Xbox One) sur le thème de la cuisine, spécialement concoctée pour vous. Vous allez vous régaler! En attendant de se retrouver en vrai dans notre salle JV🎮. @FestivalNumok &amp;gt;&amp;gt;&amp;gt;&amp;gt;&amp;gt; C’est qui le chef?😉⬇️</t>
  </si>
  <si>
    <t>Pendant ce temps-là.... le @FestivalNumok continue de nous informer :) @BibParis #CultureChezVous https://t.co/Iw5Bk7IuMQ</t>
  </si>
  <si>
    <t>Restez créatifs pendant le confinement grâce à l'application #BDnF de la @laBnF ! #RestezChezVous #CultureChezVous https://t.co/0L7kInMHf8</t>
  </si>
  <si>
    <t>@FestivalNumok 😉 https://t.co/fUHgmuS5hw</t>
  </si>
  <si>
    <t>Des envies de jeux video pendant la période de confinement ? Voici une sélection de jeux devenus gratuits ! Merci @pixelsfr ! @BibParis @FestivalNumok #culturechezvous #RestezChezVous https://t.co/ljAwlLniMJ</t>
  </si>
  <si>
    <t>1/4 Dans le cadre des consignes du gouvernement, la bibliothèque est fermée jusqu'à nouvel ordre.
Les retours des prêts seront prolongés automatiquement jusqu’à la réouverture.
Nous reviendrons vers vous pour vous informer de la date de réouverture.</t>
  </si>
  <si>
    <t>biblideols</t>
  </si>
  <si>
    <t>1,2,3 albums à la maison d’enfants de Déols https://t.co/vqO0g6fPcq https://t.co/23rDhV11bm</t>
  </si>
  <si>
    <t>Le Café-Lecture confiné, épisode 11 https://t.co/HPD35pzZBQ</t>
  </si>
  <si>
    <t>Un peu d’histoire locale en images… https://t.co/sfcWllhWge</t>
  </si>
  <si>
    <t>Le Muz, le musée virtuel des oeuvres des enfants https://t.co/TRdhhsG1HM https://t.co/MadaNJ7g5S</t>
  </si>
  <si>
    <t>Le Café-Lecture confiné, épisode 10 https://t.co/wcXGfnvu9k https://t.co/qMpJwrlZbJ</t>
  </si>
  <si>
    <t>Des lectures en ligne gratuites… https://t.co/54k0TrmUiy</t>
  </si>
  <si>
    <t>Le Café-Lecture confiné, épisode 9 https://t.co/yelygW0bpg https://t.co/pqg8URkxrn</t>
  </si>
  <si>
    <t>Le Confi-Blog de La Bouinotte https://t.co/POhVGryxYr</t>
  </si>
  <si>
    <t>Le Café-Lecture confiné, épisode 8 https://t.co/HkTl2Nl9rt https://t.co/bbmqLY6gLI</t>
  </si>
  <si>
    <t>Le Café-Lecture confiné, épisode 7 https://t.co/H4RlYUQ2w7 https://t.co/xtOM9WWFVz</t>
  </si>
  <si>
    <t>1,2,3 Albums 2020… une lecture numérique offerte https://t.co/YfrJ2Ub1Qm https://t.co/06DxlVatpc</t>
  </si>
  <si>
    <t>Un film d’animation français : Les Hirondelles de Kaboul https://t.co/Kp8AaVOmLm https://t.co/z5Bj3Jm32y</t>
  </si>
  <si>
    <t>Le Café-Lecture confiné, épisode 6 https://t.co/DNFkjpOg9H https://t.co/zjBaluuncT</t>
  </si>
  <si>
    <t>Comment choisir un film à regarder avec ses enfants ? https://t.co/cLgtYtDTxo</t>
  </si>
  <si>
    <t>Le Café-Lecture confiné, épisode 5 https://t.co/6dcEWzPNU8 https://t.co/4oOiFylPgU</t>
  </si>
  <si>
    <t>Musique ! https://t.co/SHY24boSzu</t>
  </si>
  <si>
    <t>Le Café-Lecture confiné, épisode 4 https://t.co/aIp14Mrfwb https://t.co/vaRCDzLLgA</t>
  </si>
  <si>
    <t>Le Café-Lecture confiné, épisode 3 https://t.co/obyPrgxl6V https://t.co/zfFBKvZ0ro</t>
  </si>
  <si>
    <t>Le Café-Lecture confiné, épisode 2 https://t.co/5MnEfRmhcl</t>
  </si>
  <si>
    <t>Du rôle de la culture en ces temps troublés… https://t.co/KmuzPfLvvm https://t.co/uH9dI5zT8R</t>
  </si>
  <si>
    <t>Le Café-Lecture confiné, épisode 1 https://t.co/hn9vXdtBPd https://t.co/g7dIbL1jsz</t>
  </si>
  <si>
    <t>Petit moment de tendresse pour tenir sur la durée… https://t.co/sFC1n0T9Rs</t>
  </si>
  <si>
    <t>Un conte par jour… et de qualité ! https://t.co/E3geEArg7b https://t.co/ES3gF6YSaY</t>
  </si>
  <si>
    <t>Un aperçu des ressources numériques gratuites sur Biblio36… https://t.co/zLO7f8xlnS https://t.co/3wcPgNAfYx</t>
  </si>
  <si>
    <t>Chacun à sa fenêtre, mais un peu ensemble… https://t.co/wshUj2vQ14 https://t.co/SCUasvtZfc</t>
  </si>
  <si>
    <t>Lecture de Ma Vallée, de Claude Ponti https://t.co/BONeVgxsk9</t>
  </si>
  <si>
    <t>Milan presse met à disposition tous ses magazines gratuitement https://t.co/CbBnbc2gba https://t.co/Y0gXShfPMW</t>
  </si>
  <si>
    <t>Un roman de Vincent Villeminot à suivre chaque jour… https://t.co/fxMejo2FPI https://t.co/iSq9euPf1I</t>
  </si>
  <si>
    <t>Joli moment de musique et de partage… https://t.co/AKaHYXmck0</t>
  </si>
  <si>
    <t>Une sélection variée de lecture en ligne… https://t.co/cM6bfmWDbU https://t.co/PT9pxO5Scb</t>
  </si>
  <si>
    <t>Une ressource en ligne gratuite pour les enfants : Whisperies https://t.co/9JsM8Aa57r https://t.co/n583cQiMcp</t>
  </si>
  <si>
    <t>Organisons ensemble notre confinement https://t.co/zm08w9Si3L https://t.co/E1vkHhVUZ5</t>
  </si>
  <si>
    <t>bibliolocmine</t>
  </si>
  <si>
    <t>➡️A partir du 12 mai, réouverture avec 1 seul sens de circulation : retours des documents dans le hall extérieur, prêts dans la salle du fond et sortie par le jardin. résa en ligne avec retrait sur place
➡️Horaires : mardi,vendredi : 14h-17h, mercredi,samedi : 10h-12h /14h-17h https://t.co/6A3kthNN4I</t>
  </si>
  <si>
    <t>A partir du lundi 16 mars 2020, la médiathèque de Locminé est fermée jusqu'à nouvel ordre pour répondre aux instructions du gouvernement : https://t.co/irDFcCkOp7
#luttecontrecoronavirus</t>
  </si>
  <si>
    <t>➡️Connaissez-vous la famille Tout-ecran ?  fake news, rumeur, harcèlement, jeux vidéo…. Découvrez les pratiques responsables... Pour voir la série : https://t.co/MSvIZRXOqw
Pour télécharger le guide n°1 : https://t.co/tbz6yRxsvs
ou le guide n°2 : https://t.co/8tDG9NJX8c https://t.co/oICXeAtN11</t>
  </si>
  <si>
    <t>➡️Connaissez-vous la Bibliothèque numérique mondiale ?
Elle met une documentation considérable en provenance des pays et des cultures du monde entier sur :
https://t.co/Co1R5arUxm https://t.co/nLRvWVSjuT</t>
  </si>
  <si>
    <t>➡️Découvrez les radios du monde ! 🌍
https://t.co/yBKrzVBOi4 https://t.co/JyJzR0GrTw</t>
  </si>
  <si>
    <t>Centre d'aide pour les démarches en ligne essentielles : https://t.co/Eq8sPCamEJ Faire des démarches pour sa famille, voir un médecin, télétravail et des outils pour communiquer, l'école à la maison, trouver des infos vérifiées...ou appeler au 01 70 772 372 (lun. au ven. 9h-18h). https://t.co/c35A281yNz</t>
  </si>
  <si>
    <t>➡️ Découvrez gratuitement 20 films📽️🎞️ cultes tombés dans le domaine public, des œuvres d’immenses réalisateurs tel que Alfred Hitchcock, Carl Theodor Dreyer, Luis Buñuel, Henri Verneuil, François Truffaut ou plus récemment Michel Hazanavicius :
https://t.co/LirZCp7aFF https://t.co/XpdXz1O0T9</t>
  </si>
  <si>
    <t>➡️Gallica, késaco ?  https://t.co/r4VFztts5q Plusieurs millions de documents consultables, téléchargeables gratuitement : livres, manuscrits, cartes et plans, photos, affiches, revues, journaux...de la Bibliothèque nationale de France  : https://t.co/2XHZV9nxXj https://t.co/Zist6BHCPZ</t>
  </si>
  <si>
    <t>➡️Découvrez la plateforme des ressources numériques💻 en ligne du Ministère de la Culture pour les enfants, les parents et tout public : https://t.co/s2HKly39zF  #gratuit #culture https://t.co/kC1Gzs6KtF</t>
  </si>
  <si>
    <t>➡Connaissez-vous le site "Chine ancienne" ? #Chine
Il présente une bibliothèque d'ouvrages du domaine public sur la Chine impériale : https://t.co/eQftfcVZtA https://t.co/jr79TbzoRg</t>
  </si>
  <si>
    <t>➡️Découvrez les ressources en ligne du Maillon dans l'onglet "En ligne 24h/24". #curieux #lecture #jeux #voir #apprendre #écouter #sinformer https://t.co/PugPexC0s0</t>
  </si>
  <si>
    <t>bibvaugirard</t>
  </si>
  <si>
    <t>Je soutiens ma librairie | Agir, maintenant https://t.co/amgJpx70oj</t>
  </si>
  <si>
    <t>Superbe initiative de nos voisins #paris15 #dansmonquartier  https://t.co/zAKLo5iRQ7</t>
  </si>
  <si>
    <t>SOUTIEN AUX LIBRAIRIES / réouverture lundi 11 mai
Achetons et offrons de livres! #TousEnLibrairie https://t.co/yp7EiX4RIm</t>
  </si>
  <si>
    <t>#Merciàvous les factrices qui exercez un métier essentiel qui nous permet de nous tenir informé-e-s et de garder des contacts!
Service de l'Identité judiciaire, Paris, Gare de Lyon, femmes facteurs, 1917 https://t.co/ahYpkFMDZ9 @bibhistorique @BibParis https://t.co/3QotLlHvVD</t>
  </si>
  <si>
    <t>VOTE EN LIGNE prolongé jusqu'au 5/06/2020
Le Prix des Lecteurs est décerné chaque année par les lecteurs/trices des @BibParis à 1 premier roman adulte écrit par 1 auteur/ autrice francophone. Certains textes sont sur la @BibNum2Paris https://t.co/bA1HW64KlY @bibliocite https://t.co/kqEED27OHQ</t>
  </si>
  <si>
    <t>Bon week-end de Pâques : 3 jours on en rêvait!😉 #confinement 🐣🐟https://t.co/76JbSrBrQA https://t.co/3qgRGUpivm</t>
  </si>
  <si>
    <t>#fenêtresurlautre : un défi créatif et participatif ⁦@QueFaireAParis⁩  https://t.co/xoSyaMF81O</t>
  </si>
  <si>
    <t>Librairies en Click &amp;amp; Collect
Soutenons les librairies grâce à la carte interactive Click &amp;amp; Collect. Repérez une librairie proche de chez vous, commandez puis convenez d'un créneau horaire pour le retrait https://t.co/iL9MoxuBDy</t>
  </si>
  <si>
    <t>RDV à la Comédie Française ce soir à 20h30😉@ComedieFr https://t.co/fdpT7u5ek7</t>
  </si>
  <si>
    <t>DICTEE
Mercredi 6 mai à 13h45 en ligne et sur @France3tv 
Envie de réactiver votre plume et vos méninges?
Pour cette édition 2020, le comédien Edouard Baer endossera le rôle de lecteur d'un texte de niveau du brevet. https://t.co/yIQwkrJLEI https://t.co/hJshFFJdPj</t>
  </si>
  <si>
    <t>Les petites reines au théâtre @ParisVillette 
Découvrez la pièce adaptée du roman de Clémentine Beauvais. Suivez les aventures de Mireille Laplanche et de ses 2 copines dans un road-trip à vélo à destination de la garden-party du 14 juillet à l'Elysée. https://t.co/qVudGsrk9l https://t.co/uAkEF6MDz3</t>
  </si>
  <si>
    <t>GRATUIT
La Fabrique vous offre 10 livres en téléchargement libre et gratuit. https://t.co/hgAKsbW4D5 @_La_fabrique https://t.co/IsJk4bjBVN</t>
  </si>
  <si>
    <t>@parismusees Découvrez les oeuvres des 14 musées de la Ville de Paris @Paris et leurs riches collections depuis chez vous!https://t.co/a0Xy00CfhI https://t.co/b4tGoKbxSP</t>
  </si>
  <si>
    <t>Prendre le temps de cuisiner : CURRYment FACILE ! Nos différences sont nos richesses 😉#confinement #journeemondialedelatrisomie21 #chaussettesdepareillees https://t.co/JfYwjhwIv0</t>
  </si>
  <si>
    <t>Claude Angeli, le Canard et la plume
Figure de l'investigation au Canard enchaîné, le rédacteur en chef pendant 30 ans de l'hebdo revient sur sa vie, sa carrière, les anecdotes et les grandes affaires de la Vè république ; à écouter en 5 épisodes. https://t.co/SVX1S0NdYP https://t.co/tUzWvpDkcG</t>
  </si>
  <si>
    <t>#MercrediBD
Thérapie de groupe : tome 1 : L'étoile qui danse/Larcenet
La tablette graphique lui permet de s'interroger sur les affres de la création en convoquant l'histoire de l’art et sa dépression sur fond d’autodérision. Drôle et touchant! https://t.co/KVl5vXSAx5 https://t.co/ovvNDdbg68</t>
  </si>
  <si>
    <t>Expo en ligne : Notre-Dame de Paris en plus de 100 œuvres ⁦@QueFaireAParis⁩  https://t.co/pB57kJt8sE</t>
  </si>
  <si>
    <t>EXPOSITION 
Qui a donné en 1988 à la Médiathèque musicale de Paris une collection d’environ 200 disques de musique classique indienne, dont certains rarissimes ? Début de réponse sous forme d’exposition https://t.co/EAooyQfnMI @MmpParis dès que possible!🤞#RESTEZCHEZVOUS https://t.co/jvgL6u6p38</t>
  </si>
  <si>
    <t>#Vendredilecture
Otages / Nina Bouraoui
Le patron de Sylvie se sert d'elle et l'oblige à dresser la liste des personnes à licencier. L'écriture ciselée rend palpable la souffrance des invisibles. Un roman social sensible et fort https://t.co/J4ad8NQel2 https://t.co/esBXElgjzQ</t>
  </si>
  <si>
    <t>Harry Potter at Home, un site spécial confinement avec des idées d’activités et pour réviser son anglais👍 ⁦@jk_rowling⁩  https://t.co/FdkXj5PTL0</t>
  </si>
  <si>
    <t>Voici les #vendredilecture du mois de mars 2020 sélectionnés par l’équipe.
https://t.co/TYhEKhptfy https://t.co/Q0YLP6RHso</t>
  </si>
  <si>
    <t>Chers / chères collègues @BibChampsLibres, il nous tarde de retrouver la forêt de Brocéliande et ses druides!  #BonsBaisersDesBibliothèquesDeParis @BibParis 
Carte postale de @bibforney Moeurs et coutumes. France. Bretagne https://t.co/qtPuo78oAg https://t.co/OxGbzC5xBB</t>
  </si>
  <si>
    <t>Voici les #vendredilecture du mois de février 2020 sélectionnés par l’équipe. A emprunter ou réserver à la bibliothèque quand vous pourrez! https://t.co/uP8tcFD29R https://t.co/5kIlPj75Ye</t>
  </si>
  <si>
    <t>JEUNESSE
Salut l'info ! Une histoire et...OLI, Les Odyssées,... @radiofrance propose aux enfants des émissions et des podcasts pour s'informer, se divertir et voyager : https://t.co/50vYs94Xbs https://t.co/YrGbtLIj23</t>
  </si>
  <si>
    <t>Strip-Tease, l'émission  qui vous déshabille
La RTBF, radio télévision belge francophone partage sur sa plateforme Sonuma la fameuse émission culte. De courts épisodes tournés entre 1985 et 2012 à savourer. https://t.co/zswDxopze6 https://t.co/YMkTwQZlOK</t>
  </si>
  <si>
    <t>Une affiche de soutien aux libraires | ⁦@livreshebdo⁩  https://t.co/1exEkhrEur</t>
  </si>
  <si>
    <t>JEUNESSE
Vos enfants n'ont plus rien à lire ? Pas de panique, vous pouvez emprunter des romans et des BD jeunesse sur la bibliothèque numérique @BibNum2Paris avec un abonnement adulte. Voici une petite sélection, il y en a pour tous les goûts : https://t.co/aP3W8IxmSc https://t.co/TH2SnlbuWd</t>
  </si>
  <si>
    <t>#MercrediBD : Quand y en a plus, y en a encore de Marion Montaigne
La professeure Moustache répond à des questions pointues grâce à des démonstrations surprenantes et farfelues : pigeon voyageur vs corbeau, le passif-agressif, la non-photogénie https://t.co/rEISZqtopy https://t.co/71UTV9oNUj</t>
  </si>
  <si>
    <t>#VENDREDILECTURE
La haine : les années Sarko / Gérard Davet et Fabrice Lhomme  
Un livre édifiant qui révèle une part de l'envers du décor de la vie politique française entre les années 2007 et 2014 https://t.co/BXKAy2HWKx https://t.co/ycBHOMS1Y9</t>
  </si>
  <si>
    <t>JEUNESSE
L'auteur jeunesse Vincent Villeminot offre à ses lecteurs son roman en cours d'écriture, à raison d’1 épisode par jour. "L'île" relate les aventures de 8 enfants...confinés sur une île. A lire dès 13 ans sur les réseaux sociaux de @pocket_jeunesse https://t.co/no8JiDeSWY https://t.co/wOayLUttq6</t>
  </si>
  <si>
    <t>Super initiative de @EditionsZulma : chaque jour, une nouvelle est mise en ligne gratuitement. Merci à notre libraire de quartier Voyelle d’avoir partagé cette info. Bonne lecture ! https://t.co/M4Y55hYxGH #dansmonquartier #paris15 https://t.co/8Ny5P4QFVB</t>
  </si>
  <si>
    <t>Cinéma en ligne : petit écran, grandes émotions
Les bibliothécaires de la ville de Paris vous proposent une sélection de ressources en ligne autour du 7è art : films, conférences, documentaires, livres numériques. https://t.co/00zfZMaDS4 @BibParis @Paris https://t.co/3YozeIPZ0r</t>
  </si>
  <si>
    <t>BD 
Chaque mardi, découvrez gratuitement 3 titres de La petite Bédéthèque des Savoirs : 1 spécialiste et 1 dessinateur s'unissent pour décrypter le monde! https://t.co/Z71A74MftH Au menu cette semaine : l'univers, le féminisme et le minimalisme @LeLombard  Aussi sur @BibNum2Paris https://t.co/d9M9DPX2Sz</t>
  </si>
  <si>
    <t>👍https://t.co/gIz7ori5Do https://t.co/f5N7OTeUT1</t>
  </si>
  <si>
    <t>MANGAS
 #Restecheztoi avec un manga @Glenat_Manga 
Chaque jour, un tome d'une des séries incontournables des éditions Glénat est en libre accès pendant 48h. https://t.co/8G7eHUDSs8 https://t.co/PB6eJMn9SK</t>
  </si>
  <si>
    <t>Cinq podcasts pour fuir l’ennui et se cultiver sans bouger ⁦@Telerama⁩  https://t.co/XxOzIfgpmQ</t>
  </si>
  <si>
    <t>JEUNESSE
Pas simple le confinement avec des enfants ! Chaque jour l’ @ecoledesloisirs 👏propose des activités pour s'occuper, des lectures pour s'évader, des héros et des auteurs jeunesse pour égayer le quotidien https://t.co/Juregz3fzR https://t.co/p9HeMcy3T6</t>
  </si>
  <si>
    <t>Que Faire à Paris, site culture, sorties et loisirs de la Ville de Paris ⁦@Paris⁩ ⁦@QueFaireAParis⁩ 👏 https://t.co/FfH9UWjNyt</t>
  </si>
  <si>
    <t>Créez vos productions musicales
La médiathèque musicale de Paris @MmpParis met à votre disposition 75 samples de disques 78 tours et attend vos meilleures créations sonores. A vous de jouer ! https://t.co/p28AbHcmRA ou https://t.co/SwDxbUB70H https://t.co/iVMZId3KJa</t>
  </si>
  <si>
    <t>#StreetArt #graffiti #fulcro
Une source d'inspiration qui se renouvèle toujours!
Notre sélection ici https://t.co/UWZdEqzIj3
et sur la Bibliothèque Numérique par là https://t.co/gfWVIg8rog
#DANSMONQUARTIER #PARIS15 https://t.co/M9nfEiPfvR</t>
  </si>
  <si>
    <t>(Ré)écoutez 5 conférences retraçant les savoirs sur le genre dont celle de Françoise Héritier « Aux origines de l'inégalité entre les sexes » ou de Geneviève Fraisse « Les excès du genre » ⁦⁦@sciencespo⁩ https://t.co/OgH5o8zbcG https://t.co/MSi4uGv6Mr</t>
  </si>
  <si>
    <t>RESSOURCES NUMÉRIQUES 
Il faut être inscrit en bibliothèque et se connecter à son compte. Soutien scolaire, livres numériques, BD, musique, documentaires, il y en a pour tous les goûts! 
#MEDIATION https://t.co/KMGPajPMMD</t>
  </si>
  <si>
    <t>Cité des sciences et de l'industrie vs Confinement @citedessciences 
A réaliser en famille, 1 jour 1 activité (amusante et surprenante) https://t.co/WeGuBrvPQu
Pour les adultes, assistez aux conférences en ligne de la saison 2019-2020 https://t.co/osWfrbwUyC https://t.co/nDnLlVqbes</t>
  </si>
  <si>
    <t>#MercrediBD
Retrouvez notre compilation du mois précédent!
https://t.co/CO3TWC1bt1 https://t.co/S2GPwFct8O</t>
  </si>
  <si>
    <t>LE JUKEBOX DES CONFINES
Et si on profitait du confinement pour découvrir les dernières tendances musicales ? Chaque semaine, des bibliothécaires vous proposent une playlist de nouveautés à écouter https://t.co/dHOYJHator https://t.co/iUIBFYSFLz</t>
  </si>
  <si>
    <t>Festival d'Avignon
@FestivalAvignon met en ligne des captations de spectacles des éditions passées en replay sur sa WebTv. RDV dans la cour d'honneur du Palais des papes https://t.co/8XTToF6gye https://t.co/VEx4XRyyl6</t>
  </si>
  <si>
    <t>@GroupeLaPoste Merci de mettre à jour la liste des bureaux ouverts ou fermés afin d’éviter tout déplacement inutile #paris15 https://t.co/cJ0TJ63pl1</t>
  </si>
  <si>
    <t>Voici les #mercrediBD du mois de mars 2020 sélectionnés par l’équipe. A emprunter à la bibliothèque ou sur la Bibliothèque Numérique quand vous pourrez!
https://t.co/9jHmcXlgN8 https://t.co/VeWSaXBv6y</t>
  </si>
  <si>
    <t>#MercrediBD Delacroix /Catherine Meurisse
D'après 1 causerie d'A. Dumas, la bédéiste dresse 1 vibrant portrait du peintre. Agrémenté d'anecdotes, sa vie, ses œuvres, son talent de coloriste révèlent la virtuosité de l'artiste et sa personnalité toute dédiée à la peinture. https://t.co/Ktb54QqyI3</t>
  </si>
  <si>
    <t>INA Kids @Inafr_officiel 
Retrouvez et faites découvrir les héros des années 70-80 tels que les Quat'z'amis, les Patapluches, Titus le petit lion, le Petit écho de la forêt... Place aux souvenirs &amp;amp; à la nostalgie ! https://t.co/ZpgWoIo9OA https://t.co/Ld2IQZZYPR</t>
  </si>
  <si>
    <t>#Vendredilecture Refuge : dans l'intimité de l'exil de Bruno Fert
Raconter l'exil, tel est l'objectif du photographe. Abri de fortune, lieu de transition, chambre, chaque intérieur est associé aux portraits &amp;amp; aux témoignages de ses habitants.Essentiel https://t.co/LVMmeXiEh6 https://t.co/5tDszyFlya</t>
  </si>
  <si>
    <t>Les enfants et le coronavirus / Julia Donaldson et Axel Scheffler
Expliquez les gestes barrières en compagnie de Gruffalo, du Rat Scélérat ou de Zébulon le dragon https://t.co/X6neQndr0N &amp;amp; téléchargez le livre Le coronavirus expliqué aux enfants https://t.co/gOUuyAMnfM https://t.co/JxLaWSsHvO</t>
  </si>
  <si>
    <t>#vendredilecture La mort de Mrs Westaway / Ruth Ware
Une jeune fille orpheline endettée, un héritage qui viendrait à point nommé, 3 indices pour percer le secret d’une famille. Un excellent suspense psychologique. A emprunter sur @BibNum2Paris https://t.co/Vo3lRQbGd1 https://t.co/a8hBgLujIr</t>
  </si>
  <si>
    <t>LECTURES
La collection "Tracts de crise" propose gratuitement des textes brefs et inédits d'auteur.e.s qui posent 1 regard singulier sur le moment que nous traversons. Retrouvez Annie Ernaux, Nancy Huston, Sylvain Tesson, Erri de Luca https://t.co/8LVtUqilwn @Gallimard https://t.co/ItOCwWHw5N</t>
  </si>
  <si>
    <t>SAVOIR / DESSINER
Au menu du confinement, la talentueuse équipe ne manque pas d'idées : cours en ligne gratuits, défis dessin, en attendant de les retouver pour de vrai dans leur atelier près de la bibliothèque https://t.co/oPzPuFuNv6 https://t.co/Tr3HYvu526</t>
  </si>
  <si>
    <t>#MercrediBD le Detection Club / Jean Harambat
7 maîtres du roman policier dont Agatha C. sont invités par 1 milliardaire qui les met au défi face à 1 robot capable de résoudre les énigmes littéraires https://t.co/nB8fhzIaDH et @BibNum2Paris https://t.co/997nhf1tjR https://t.co/gPvGq0P46H</t>
  </si>
  <si>
    <t>Sept podcasts pour enfants confinés : faites avec eux le plein d’histoires… et d’info ! https://t.co/PvgkQpQ61q</t>
  </si>
  <si>
    <t>EN ACCÈS LIBRE 
Découvrez des auteurs et les univers emblématiques des éditions Au diable vauvert grâce à une sélection de titres éclectiques spécial "confinement et survie" https://t.co/5ubOEf2YRY @AuDiableVauvert https://t.co/HziNE3blyA</t>
  </si>
  <si>
    <t>#Vendredilecture 
La vraie gloire est ici / François Cheng
Un poète rare qui insuffle des pulsions de vie d'une acuité foudroyante et d'une grande délicatesse, avec une économie de mots remarquable https://t.co/bRDlkXOchS
Aussi sur @BibNum2Paris https://t.co/WTqi1CNGfq https://t.co/aSiD1VLa7D</t>
  </si>
  <si>
    <t>#mercrediBD Dans la forêt/Lomig
Après l'effondrement de la civilisation, 2 sœurs doivent apprendre à survivre dans la nature.Une adaptation fidèle du texte de Jean Hegland https://t.co/XMLV8vYblQ Lisez aussi le roman, en version papier, audio et numérique https://t.co/NqHWZzowtz https://t.co/p0GiCcG3fX</t>
  </si>
  <si>
    <t>#mercrediBD : Akissi de Marguerite Abouet et Mathieu Sapin
Découvrez les aventures d'Akissi, une petite fille espiègle et curieuse habitant en Côte d'Ivoire. Une BD drôle, impertinente et joyeuse par l'auteur de Aya de Yopugon, à lire à partir de 8 ans. https://t.co/NvDc3SncBF</t>
  </si>
  <si>
    <t>#Vendredilecture Mictlán / Sébastien Rutés
Le Vieux &amp;amp; le Gros doivent convoyer 157 cadavres sans cesser de rouler. La police et les narcos veillent. L'écriture est fiévreuse, puissante, une lecture en apnée. Impitoyable. Sur @BibNum2Paris https://t.co/dhKWQSapou https://t.co/eT2Jww5cz7</t>
  </si>
  <si>
    <t>Les activités magiques de Harry Potter
Faites entrer la magie chez vous &amp;amp; transformez votre maison en Poudlard en téléchargeant gratuitement les activités magiques Harry Potter. https://t.co/3a0Auw1QLa https://t.co/uzfZrATZPo</t>
  </si>
  <si>
    <t>Italiebib</t>
  </si>
  <si>
    <t>#RestezChezVous #challenge #ConfinementJour52
Pour le plaisir des yeux : un superbe #chat portant magnifiquement le nœud pap', entouré de ses chatons, et un petit goupil facétieux ! Par Sarah, Nathan et leur #supermaman Corinne. 🤗
#loisirscreatifs #1jour1création https://t.co/bGTy77DAEF</t>
  </si>
  <si>
    <t>😅 Pourtant, Martine est plutôt bien lotie! #confinement de luxe tout de même! 😅 https://t.co/VHZqU25cGU</t>
  </si>
  <si>
    <t>#RestezChezVous #challenge #ConfinementJour48 
Ce dimanche, c'est cookies ! 😃 Pépites de chocolat et chocolat/cranberry. 😏
Bon dimanche à tou.te.s !
#cuisine #cookies #goûter https://t.co/sbHWz3fEgz</t>
  </si>
  <si>
    <t>#StayHomeChallenge #ConfinementJour22
Voici l'ange Gabriel, tiré des "Grandes heures" d'Anne de Bretagne, consultable sur @GallicaBnF &amp;gt; https://t.co/5ZQGkYd3mB (folio 167v).
Il nous est envoyé par Amanda M., d'#Angers, pour embellir cette journée ! 🤩 🤗 https://t.co/6TQWHJmu83</t>
  </si>
  <si>
    <t>#RestezChezVous #challenge #ConfinementJour37 
En ce beau #JourdelaTerre, voici ceux qui l'habitent avec grâce et en harmonie avec elle : pas les humains, non non, les animaux !
🐙🐝🐘
#loisirscreatifs #EarthDay https://t.co/rUO4NfpKXp</t>
  </si>
  <si>
    <t>#StayAtHomeChallenge #ConfinementJour16
Les créations du jour tiennent dans un bocal ! 🐟🐠 Et s'accrochent innocemment sur le tee-shirt d'une #supermaman en #confinement...🤭 Ce qui n'empêche pas de faire des #decorations maison!
Joyeux #1eravril ! https://t.co/zhQbe92uDe</t>
  </si>
  <si>
    <t>#restezchezvouschallenge #confinementjour29
Brûlure en cuisinant = gribouillis au tournant ! 💨🔥🖊
C'est reparti jusqu'au #11mai2020 mais on ne craque PAS !
#cuisine #vilainebrulure #mechantevapeur #creation quand même ! #RestezChezVous 💪🏼 https://t.co/47GPMQZMPc</t>
  </si>
  <si>
    <t>#restezchezvouschallenge #ConfinementJour35
Aujourd'hui, rédaction d'une lettre à une personne isolée en EHPAD grâce à cette très belle initiative : #1lettre1sourire !📬😃❤
Pour participer, c'est très simple et c'est ici:https://t.co/ijQMNly5Pq
@BibParis @QueFaireAParis @Paris</t>
  </si>
  <si>
    <t>#RestezChezVous #challenge #ConfinementJour43
Voici un petit collage facétieux de Julmise, mi-père Tanguy, mi-panda, en cette journée mi-figue, mi-raisin. 🙃
Poke @MuseeRodinParis
#ContinuitePedagogique #creativity https://t.co/d0r0x5znRL</t>
  </si>
  <si>
    <t>Et si nous tirions parti de la situation pour créer et partager ? @Italiebib se lance dans un mini-challenge : 1jour/1création, ou 1jour/1livre ! Ouvert à tou.te.s, go! #COVID19 #confinementjour2 #CoronaVirusChallenge #Culturecheznous</t>
  </si>
  <si>
    <t>❤ @jk_rowling Different and united, right ? (Différent.e.s et solidaires, n'est-ce pas?) 😉
#JourneeDeLaTrisomie21 #WorldDownSyndromeDay2020 https://t.co/94gLd7TO8Y https://t.co/kDbj8chG2U</t>
  </si>
  <si>
    <t>On commence ce #CoronaVirusChallenge de @Italiebib avec un magnifique cerisier en fleurs réalisé hier par Julmise !
#loisirscréatifs testé et approuvé ! #CONFINEMENTJOUR1 #Culturecheznous https://t.co/ecDewB7f3z</t>
  </si>
  <si>
    <t>#CoronaVirusChallenge
#ConfinementJour3 
Quand les collègues sont des #superheros du confinement avec leurs #enfants, voilà ce que ça donne ! 🤗 On a hâte de l'utiliser à la #bibliotheque dès que ce sera possible ! 🤩 #loisirscréatifs https://t.co/Jn8jLNEPeL</t>
  </si>
  <si>
    <t>"I-solation.Les enfants, dessinez-vous!"
La bibliothèque de Munich (@IJBib) propose aux enfants d'envoyer leur #autoportrait de #confinement afin d'en faire une exposition!👨🏾‍🎨👩🏻‍🎨 &amp;gt;https://t.co/cNYYb11aCD
Pour participer : #creation + prénom, âge et pays à envoyer à direktion@ijb.de</t>
  </si>
  <si>
    <t>#RestezChezVous #challenge #ConfinementJour45
Deux interprétations aussi poétiques l'une que l'autre d'un même sujet, par les sœurs Emma et Inès ! 😃
Mélange de peinture et collage de fleurs et de feuilles. 🎨🌼🍃
#loisirscréatifs #famille #sororité https://t.co/ftESd6IoCE</t>
  </si>
  <si>
    <t>@LaGrandeLessive, c'est dans toute la France que ça se passe! Ces très jolies fleurs suspendues nous viennent de #Nice ! Merci à Anouk et sa maman! 🤗😘 #FleurirEnsemble #CONFINEMENTJOUR10
#StayAtHomeChallenge https://t.co/s9cW6rU5bN</t>
  </si>
  <si>
    <t>#StayAtHomeChallenge #confinementjour26
Inspiration #Tudors pour cette magnifique création de Solène C., parisienne en #confinementtotal qui occupe ses petits doigts talentueux ! 😍 #dotwork 
Be #Creative et #RestezChezVous! https://t.co/943BeYP6Hd</t>
  </si>
  <si>
    <t>#StayAtHomeChallenge #ConfinementJour4
#1jour1création
Est-ce que ceci n'est pas la chose la plus adorable que vous ayez vue aujourd'hui, franchement ? 😊
Chouette activité pour #occupersesenfants inspirée d'un album jeunesse, avez-vous deviné lequel ? #émotions #fruitsetlégumes https://t.co/RwntfxzCf8</t>
  </si>
  <si>
    <t>#StayAtHomeChallenge #ConfinementJour24
Voici la petite création du jour! 😬 La #BD, ce n'est toutefois pas pour demain, en tout cas pas sans l'appli #BDnF ! #bravolesbedeistes
#RestezChezVous #CultureChezNous https://t.co/al5l1WPrEu</t>
  </si>
  <si>
    <t>#CONFINEMENTJOUR8 Notre #stayhomechallenge d'aujourd'hui prend la forme d'un modeste hommage.
Nous aussi, nous sommes las, las, las... Et "ça veut dire quoi je suis lalala?" Ça veut dire trop de tristesse aujourd'hui, Obélix. #ManuDibango #Uderzo https://t.co/zxz6vye3Q0</t>
  </si>
  <si>
    <t>Adorable! 🥰❤ Tou.te.s dans la même tanière... #confinementjour6 https://t.co/WG0QA8Lbut</t>
  </si>
  <si>
    <t>#RestezChezVous #challenge #confinementjour55
En ce #dernierjour de #confinement, on joue avec "Les mystère de Harris Burdick"!
À partir des illustrations et de leur en-tête laissées par l'impalpable auteur, inventez les histoires perdues! Voici celle, sombre, de @JeanColombani1 https://t.co/FLAUmyYCuL</t>
  </si>
  <si>
    <t>#StayAtHomeChallenge #Confinementjour12
Voici la dernière #création de notre très talentueuse collègue Noémie !😊
Elle a réalisé des #logos et des #affiches magnifiques pour notre #bibliothèque : merci! 🤗😘 
Découvrez des œuvres plus personnelles ici: https://t.co/deDrXfEtsq https://t.co/iehJEmRp1E</t>
  </si>
  <si>
    <t>#StayAtHomeChallenge #confinementjour18
Toujours avoir un #puzzle 500 pièces chez soi en cas de #confinement lié à une #Pandemie ... Terminé aujourd'hui. Encore 12 jours à tenir... Reste plus qu'à le défaire pour le refaire! 😅🧩 https://t.co/LqwC81FbGa</t>
  </si>
  <si>
    <t>#StayAtHomeChallenge #CONFINEMENTJOUR27
Nous souhaitons à toutes et tous un très heureux dimanche de #Paques, embelli par ces merveilleux #bouquets que nous envoie Maud M. du côté de #Nantes! 😍
Belle journée ! 😃 https://t.co/Sf7odaXbAw</t>
  </si>
  <si>
    <t>#StayAtHomeChallenge #ConfinementJour20 En ce beau dimanche ensoleillé, de petites kokeshis de papier sont venues admirer le cerisier en fleur! Bravo à Julmise! 🤗 #loisirscréatifs https://t.co/0CofsPzpHY</t>
  </si>
  <si>
    <t>#RestezChezVous #challenge #CreateAtHome 
Inspiration #landart pour cette paisible réalisation de Lylia ! On y séjournerait bien dans cette jolie maisonnette, non? 😊🦥
#loisirscreatifs https://t.co/FswNlGSsop</t>
  </si>
  <si>
    <t>#RestezChezVous #challenge #ConfinementJour41
À partir d'1 consigne de @lepetitcarteron ds le n°1 du Manuel ludique de survie dans 10m2 (N°3:https://t.co/uKpUV603tT), ré #écriture d'«Une allée du Luxembourg»de Gérard de Nerval sans utiliser les lettres COVID, par @JeanColombani1! https://t.co/bqkqjgtczL</t>
  </si>
  <si>
    <t>Suivez le #LiveBibliothon et soutenez auteur.e.s et libraires si cela vous est possible ! 😀
En ce moment : petite séance de yoga, puis un live dessin de @YeahCy et encore plein de chouettes échanges! 🥰 https://t.co/gYNoZHkC8o</t>
  </si>
  <si>
    <t>#StayAtHomeChallenge En ce #ConfinementJour21 si gris, on vous suggère la #lecture de "Dracula!"🧛C'est le moment de se plonger dans ce roman épistolaire qui vous fera voyager entre Transylvanie et Angleterre au XIXe siècle. Frissons en vue! @BibNum2Paris&amp;gt;https://t.co/LFpSPJUf5P https://t.co/YowXlv9PeG</t>
  </si>
  <si>
    <t>C'est maintenant ! Go! https://t.co/MhEXV0Og5Q</t>
  </si>
  <si>
    <t>Aujourd'hui, sur @lemondefr LIVE : "À partir de 15 heures, #ChristelleDabos, romancière, sera notre invitée pour un tchat. L'auteure de la saga "#LaPasseMiroir" nous donnera quelques tuyaux sur comment mettre à profit le confinement pour écrire." &amp;gt;
https://t.co/EiofYxg8kq https://t.co/FpcqBTNujZ</t>
  </si>
  <si>
    <t>Q&amp;A</t>
  </si>
  <si>
    <t>Si vous voulez faire une suggestion d'achat pour la @BibNum2Paris, c'est comme ça que ça se passe! 😉
(Ne soyez pas trop gourmands non plus, hein, il ne s'agirait pas de faire planter les serveurs et de submerger les collègues par trop de demandes! 😋 Merci! ❤) #Culturecheznous https://t.co/73ioPHU9RD</t>
  </si>
  <si>
    <t>Encore une initiative à saluer! #JeResteChezMoi et je bouquine "Chez soi" de @monachollet par exemple! Plutôt pertinent, non? 😉 https://t.co/kfFpaZdjxO</t>
  </si>
  <si>
    <t>#RestezChezVous #challenge #ConfinementJour54
C'est long mais c'est bon! Quoi donc? Les #melonpan, ces petites brioches #japonaises sucrées en forme...ben de melon! 😁
Faites la pâte sucrée la veille, puis travaillez vos biceps en pétrissant!
La #recette: https://t.co/vyid1EseGW https://t.co/5ixjaXWdyU</t>
  </si>
  <si>
    <t>Des activités gratuites pour les 3 à 10 ans, c'est là que ça se passe : https://t.co/q35NYqrFjn ! #Culturecheznous #confinement https://t.co/KdYuOqPG9Z</t>
  </si>
  <si>
    <t>#RestezChezVous #challenge #ConfinementJour44
Très jolie découverte que cette "Histoire à 4 voix", une vidéo réalisée à partir de titres de #livres par Léandre, Julia, Samuel et Sabrina! Un voyage intergénérationnel sans bouger de chez soi, en 2min30. ❤
&amp;gt; https://t.co/wvxV5HDLir https://t.co/zTrgqVTAqX</t>
  </si>
  <si>
    <t>❤ https://t.co/Uvv5s78PPh</t>
  </si>
  <si>
    <t>Un article intéressant en cette journée de sensibilisation à l'#autisme. 🙂 https://t.co/HssfWyj5RA</t>
  </si>
  <si>
    <t>Chouette ! 😯 On peut y jouer aussi quand on est pas un.e #ado, hein ? 😏 En #confinement, #jeuxvideos pour tou.te.s ! 😬 https://t.co/gIoD5Zqdgq</t>
  </si>
  <si>
    <t>Pour les personnes qui ne sont pas déjà inscrites dans une #bibliothèque de prêt #parisienne et qui souhaiteraient accéder à nos #ressourcesnumériques ! 👨🏾‍💻👩🏼‍💻🎁 #RestezChezVous #CultureChezNous https://t.co/4g3UC4tFCf</t>
  </si>
  <si>
    <t>A voir sur #lesyeuxdoc (après connexion à votre compte sur https://t.co/K1oINUrj7V):
«Derniers jours à Shibati». Ce #film mélancolique nous fait vivre les derniers jours d’un Hutong, quartier traditionnel chinois, entre course à la modernité, humanité et émotion.#CultureCheznous</t>
  </si>
  <si>
    <t>#restezchezvouschallenge #CONFINEMENTJOUR30 #partagezlaculture
Admirez la merveilleuse adaptation dansée d'Akiko l'amoureuse, un très poétique album d'#AntoineGuilloppé ! Un beau cadeau, par @AndoDanseCie.
😊🌕🌳💓👫🏻 https://t.co/2tLY26f13D https://t.co/ufaIcDdCdP</t>
  </si>
  <si>
    <t>Ou alors... Du #pain ET des #jeux! (ça rappelle quelque chose, cette formule, non..? 🧐🏟️). https://t.co/gKUGsuqTak</t>
  </si>
  <si>
    <t>#restezchezvouschallenge #ConfinementJour34
#Ideelecture "Histoire d'un chien mapuche"Un conte merveilleux en l'honneur de la #nature et de ses aïeux,les indiens mapuche.Une facette de Luis Sepúlveda, qui nous a quittés trop tôt, à découvrir @BibNum2Paris &amp;gt;https://t.co/NFJbALB24Z https://t.co/jqemy4AzYV</t>
  </si>
  <si>
    <t>Dans une petite heure, sur l'appli Bayam à télécharger gratuitement! 🙂 https://t.co/Ys7eKV7KnF https://t.co/MbMWShMydF</t>
  </si>
  <si>
    <t>Pour comprendre un peu mieux le quotidien d'une personne avec un trouble du spectre de l' #autisme (#TSA ). https://t.co/g8zBNjT5ZT</t>
  </si>
  <si>
    <t>#StayAtHomeChallenge #ConfinementJour23 #livreaudio "La première gorgée de bière et autres plaisirs minuscules" Émotions et sensations fugaces dépeintes au fil des pages. Une invitation à apprécier le quotidien et tous ses petits bonheurs.🍺🥚@BibNum2Paris&amp;gt;https://t.co/gkotNjysou https://t.co/dYKkrxipZq</t>
  </si>
  <si>
    <t>"C'est une bonne situation ça, mafieux?"
Mieux vaut s'armer d'une plume et d'un appareil photo ! 😎✍📷 https://t.co/qcBLqjQQ5R</t>
  </si>
  <si>
    <t>#RestezChezVous #challenge #ConfinementJour49
"Qaanaaq"Un #polar qui fait frissonner d'horreur autant que de froid!Mo Malø nous entraîne vers des contrées glacées tachées de sang et d'or noir, qui recèlent des secrets enfouis depuis longtemps
@BibNum2Paris https://t.co/d7w4SF3Vly https://t.co/s31R0kiG8L</t>
  </si>
  <si>
    <t>Une belle sélection de plateformes pour le plaisir des oreilles, dont les ressources de la @philharmonie. 🎼🎧 #JeResteChezMoi et je révise les classiques ! https://t.co/Db52mfIet4</t>
  </si>
  <si>
    <t>Passionnant et enthousiasmant ! 😯🤗 https://t.co/tbB4Hj7R8n</t>
  </si>
  <si>
    <t>😢 https://t.co/qDixOdSPQv</t>
  </si>
  <si>
    <t>#restezchezvouschallenge #ConfinementJour31
Aujourd'hui, on a testé le jeu "Concept", dispo en Print&amp;amp;Play sur le site d'@Asmodee_fr, et on recommande! Ça fait travailler les méninges ! 🤪
D'autres petits #jeux dispos ici : https://t.co/4LwaX2IXvH 😉 https://t.co/dHRNNMZ6bc</t>
  </si>
  <si>
    <t>#CoronaVirusChallenge #confinementjour2 Elle nous a quitté il y'a peu:(re)découvrez la vie de Katherine Johnson magnifiquement racontée par @CaroleTrebor. L'importance de sa famille, son éducation;la réalité de la ségrégation. À lire à tout âge ! #conseildelecture #àlaréouverture https://t.co/qdeUqdXCYr</t>
  </si>
  <si>
    <t>Spotted dans une anthologie de littérature #écossaise! 🧐🏴󠁧󠁢󠁳󠁣󠁴󠁿🤭 https://t.co/tPwUT2vuQX</t>
  </si>
  <si>
    <t>#StayAtHomeChallenge  Une #lecture feel good idéale en ce #ConfinementJour19 : "Le vieil homme et son chat" Douceur de vivre et tendresse à l'état pur dans ces saynètes illustrant la vie de Daikichi, 75 ans, et de son chat Tama, 10 ans.👴😺@BibNum2Paris&amp;gt;https://t.co/4MKKFCOqPC https://t.co/OaouXZIbW0</t>
  </si>
  <si>
    <t>Accio baguette! 🧙🏼‍♀️
On commence tout de suite! ⚡ https://t.co/UK6BUpXG0b</t>
  </si>
  <si>
    <t>#RestezChezVous #Challenge #ConfinementJour42 #facilidys «35kg d’espoir» d’Anna Gavalda. Une très jolie histoire sur le lien qui unit Grégoire, 13 ans, qui n’aime pas l’école, à son grand-père qui lui transmet sa passion pour le bricolage.🙂 Un aperçu ici: https://t.co/FFLa32JT9G https://t.co/L9CnxvzeWg</t>
  </si>
  <si>
    <t>#CONFINEMENTJOUR7 &amp;gt; #ConseilMusique #PhilharmoniedeParis🎶On bichonne ses oreilles avec la voix et le oud envoûtants de Waed Bouhassoun qui interprète des titres de la chanteuse Oum Kalthoum, icône de la musique arabe : https://t.co/Rx07f8WzDg  💕#Intalhub #TuEslAmour 💕 https://t.co/ncZ0LqnsZA</t>
  </si>
  <si>
    <t>Le magazine Baïka emmène les 8-12 ans faire un tour du monde des mythes et légendes!
2 histoires racontées offertes ici :
https://t.co/R56bA9KzC9
Des activités à télécharger là :
https://t.co/IfRQHEmHaO
Un magazine montreuillois qui promeut la #diversitéculturelle, on aime! 😃 https://t.co/8Ldi573yjY</t>
  </si>
  <si>
    <t>🎶 Ta tataa tata tataa tata tatata tataaaa...🎶 Vous l'avez? 😅
#JohnWilliams #HarryPotter
Merci la @philharmonie !
#Culturecheznous https://t.co/kDr4OHCxwH</t>
  </si>
  <si>
    <t>Krzysztof #Penderecki (1933-2020), compositeur et chef d'orchestre #polonais, aura su nous faire frissonner notamment dans "Twin Peaks, "Shining" ou encore "Shutter Island". Dziękujemy ! (Merci!) &amp;gt; https://t.co/DsOdgdHuXQ</t>
  </si>
  <si>
    <t>#StayAtHomeChallenge #CONFINEMENTJOUR15 #LectureConfinement
Si vous avez vous aussi envie de #nature en ce moment, évadez-vous en lisant "Walden ou la vie dans les bois" de H.D.Thoreau. Il y est question d'isolement mais au grand air...🧘🏻‍♂️🏕 @BibNum2Paris &amp;gt; https://t.co/zokm8x7g7d</t>
  </si>
  <si>
    <t>#StayAtHomeChallenge #Confinementjour13 #CoupdeCoeur «Les espionnes racontent»Excellente série #animée diffusée sur @ARTEfr,adaptée du #livre éponyme de @ChloeAeberhardt,co-écrite avec Aurélie Pollet. Des anciennes espionnes de la guerre froide témoignent! https://t.co/klVgyf0vSy https://t.co/leTjmV3rFq</t>
  </si>
  <si>
    <t>#StayAtHomeChallenge #Confinementjour17 #CultureCheznous
S'isoler pendant des semaines? Sylvain Tesson l'a fait, 6 mois durant, dans une cabane au bord du lac Baïkal.🐾🌲"Dans les forêts de Sibérie", une aventure à découvrir en #audio, sur la @BibNum2Paris&amp;gt;https://t.co/dtBxF8kMyR https://t.co/vOvZMLrNsP</t>
  </si>
  <si>
    <t>Ne manquez pas cette passionnante vidéo qui dépoussière notre vision de l'#archéologie! 🌬🦴😌
Explications claires, simples, le tout très bien documenté (sources dispo sous la vidéo).
Avec une cheffe de guerre #viking dedans. #badass https://t.co/6DXFXvwXiQ</t>
  </si>
  <si>
    <t>#StayAtHomeChallenge #ConfinementJour28 #LectureConfinement 
« Ceci est mon sang ».😇🍷
Une histoire des #règles passionnante et parsemée de touches d’humour, pour briser les tabous autour du #sexeféminin. @BibNum2Paris &amp;gt;https://t.co/RvHhTWJwOM https://t.co/wUJJj8oTQZ</t>
  </si>
  <si>
    <t>Coloriages, fonds d'écran, quiz et autres #activités bien cool autour des super-héros, c'est par ici !
🦸🏿‍♀️🦸‍♂️😎 : https://t.co/NkzRGs7b4P
Merci @UrbanComics ! 😃 https://t.co/kh1cvAzmsj</t>
  </si>
  <si>
    <t>#RestezChezVous #challenge #ConfinementJour53
"Marzi, t.1" Souvenirs d'enfant doux-amers, dans une Pologne communiste où 🍊 et 🍫 font rêver. Entre une maman dure, très croyante, et un papa plus solaire, Marzi fait des bêtises avec ses amis! @BibNum2Paris https://t.co/VlQ0N2F7Ul https://t.co/EVA1NlgtWA</t>
  </si>
  <si>
    <t>#restezchezvouschallenge #ConfinementJour32 
#Hommage #Christophe Plongez-vous dans son univers 🎵musical🎶 si particulier en visionnant son concert enregistré en 2010 à la Cité de la Musique, dispo sur le site de la @philharmonie &amp;gt; https://t.co/ZtEi9yX421</t>
  </si>
  <si>
    <t>#StayAtHomeChallenge #confinementjour6
Voici un brin de ☀️soleil☀️(solis flos) pour éclairer un peu ce dimanche !
Pioché dans l’un des albums de #coloriage de @GallicaBnF
&amp;gt;https://t.co/lpop9naSzS #ColorOurCollections #Culturecheznous https://t.co/vu7m09k0xV</t>
  </si>
  <si>
    <t>Bravo à elles ! 😃👏 https://t.co/3XbxbOzLwN</t>
  </si>
  <si>
    <t>Un petit #jeu de cartes offert comme ça, ça ne se refuse pas! 🤗
#confinement #RestonsChezNous https://t.co/DUs1iRLoJs</t>
  </si>
  <si>
    <t>#StayAtHomeChallenge #ConfinementJour25 #lecture "Le restaurant de l'amour retrouvé"Écriture délicate et sensible,de bons petits plats,ou quand la cuisine a le pouvoir de guérir les cœurs. Un récit poétique qui vous mettra l'eau à la bouche! @BibNum2Paris https://t.co/IjB64m9fAZ https://t.co/DnSsNvBNKG</t>
  </si>
  <si>
    <t>De petites #histoires à recevoir par mail ou à télécharger gratuitement, pour les 8-12 ans, par de supers auteur.e.s #jeunesse, c'est par ici :
https://t.co/SI7PdMCDhn  ! 🎁📚</t>
  </si>
  <si>
    <t>#restezchezvouschallenge #ConfinementJour40 #lecture «Stolen»Pascale Perrier aborde avec une grande justesse le sujet des enfants aborigènes enlevés par le gouvernement australien, ainsi que la question du racisme, des origines, de l’adoption.@BibNum2Paris&amp;gt;https://t.co/ScYLoVYl5i https://t.co/fukqBYfEa5</t>
  </si>
  <si>
    <t>media_hyeres</t>
  </si>
  <si>
    <t>Concours de nouvelles, dernière ligne droite : https://t.co/rCVYiAfPxP https://t.co/tYDaNPwvG0</t>
  </si>
  <si>
    <t>https://t.co/pTgTGfmuKs</t>
  </si>
  <si>
    <t>Durant cette période de fermeture, les adhérents de la médiathèque peuvent continuer à se former en se connectant avec leur identifiant à la plateforme  https://t.co/VdVY3308hI : https://t.co/33DHg38ttJ</t>
  </si>
  <si>
    <t>https://t.co/QTZ79ZGa5K</t>
  </si>
  <si>
    <t>https://t.co/cBcSIUfkeO</t>
  </si>
  <si>
    <t>Fonds patrimonial : durant le #confinement, petite rétrospective des articles consacrés aux "Trésors et curiosités du Fonds Patrimonial", avec aujourd'hui "Iconographie des orchidées" par Jean-Baptiste Barla : https://t.co/qp8VhMzrXC https://t.co/zgYpGFvM8E</t>
  </si>
  <si>
    <t>Idée lecture : rester encore un peu confiné chez soi, en pleine jungle malaise, en (re)découvrant "La folie Almayer" de Conrad https://t.co/BYjCKmVMTI</t>
  </si>
  <si>
    <t>Une idée de film à voir en période de confinement ? Non, deux, en fonction de votre état d'esprit : "Comment c'est loin ?" ou "Une journée particulière". https://t.co/kBbBtxTX4O</t>
  </si>
  <si>
    <t>Aujourd'hui, zoom sur "Le mot d'Abel" de Véronique Petit (sélection 5e/4e du Prix @LesIncos). https://t.co/MaQsiuVB35</t>
  </si>
  <si>
    <t>Biblio-Covid, un site pour accompagner élus et professionnels dans le déconfinement des bibliothèques : https://t.co/L1Kq8sqHZS https://t.co/WIJMjWlpuH</t>
  </si>
  <si>
    <t>Fonds patrimonial : durant le #confinement, petite rétrospective des articles consacrés au patrimoine local, avec aujourd'hui "Giulio Vittini, un Maître italien à Hyères" 🌴🌞 https://t.co/GIdFYvT7HX https://t.co/0PSgBmAk7Q</t>
  </si>
  <si>
    <t>Idée lecture : rester confiné chez soi, dans son divan, en (re)découvrant "Oblomov" de Gontcharov. https://t.co/nKv0FQdpWd</t>
  </si>
  <si>
    <t>Une idée de disque à écouter en période de confinement ? Non, deux, en fonction de votre état d'esprit : "The Queen is dead" de The Smiths et "Tout sera comme avant" de Dominique A 🎸🎹📀 https://t.co/sDJkwCiM8T</t>
  </si>
  <si>
    <t>Aujourd'hui, zoom sur "Le chant noir des baleines" de Nicolas Michel (sélection 5e/4e du Prix @LesIncos). https://t.co/27kUrmLKsY</t>
  </si>
  <si>
    <t>Fonds patrimonial : durant le #confinement, petite rétrospective des articles consacrés au patrimoine local, avec aujourd'hui "Les hivernants botanistes de Costebelle" 🌴🌞🌸🌷🌹🌺 https://t.co/EtB5hB3yxC https://t.co/wE7QQMGxOf</t>
  </si>
  <si>
    <t>Idée lecture : rester confiné chez soi, dans sa baignoire, en (re)découvrant "La salle de bain" de Jean-Philippe Toussaint. https://t.co/FPGsnEzj9M</t>
  </si>
  <si>
    <t>Une idée de film qui fait froid dans le dos à voir en période de confinement ? Non, deux, en fonction de votre état d'esprit : "Shining" ou "Délivrance" https://t.co/aeNl9HEddO</t>
  </si>
  <si>
    <t>Aujourd'hui, zoom sur "Vue sur mer" de Jo Hoestlandt (sélection CM2/6e du Prix @LesIncos). Espace Jeunesse : https://t.co/sSf5EhyrDG https://t.co/XFeQ8yyHD9</t>
  </si>
  <si>
    <t>Fonds patrimonial : durant le #confinement, petite rétrospective des articles consacrés au patrimoine local, avec aujourd'hui "L'autre homme de #Porquerolles : Georges #Simenon" https://t.co/VFvASMDAzD 🏝️ https://t.co/a00HPm6wTK</t>
  </si>
  <si>
    <t>Idée lecture : l'Irlande à bicyclette pour rire en période de confinement avec "Mercier et Camier" de Samuel Beckett. https://t.co/uo00sqol9c</t>
  </si>
  <si>
    <t>Une idée de disque à écouter en période de confinement ? Non, deux, en fonction de votre état d'esprit : The Space Between us" de Craig Armstrong ou "Boire" de #Miossec 📀🎹🎸🍺 https://t.co/Rwh0mIwVVJ</t>
  </si>
  <si>
    <t>Aujourd'hui, zoom sur "Ma gorille et moi" de Myriam Gallot (sélection CM2/6e du Prix @LesIncos). Espace Jeunesse : https://t.co/eXPG7Dvrsg https://t.co/cq0JUm7NKS</t>
  </si>
  <si>
    <t>Fonds patrimonial : durant le #confinement, petite rétrospective des articles consacrés aux trésors et curiosités de nos collections, avec aujourd'hui "Les collections des grands hôtels #hyérois" : https://t.co/8IcCovRtcP 📚🌞🌴 https://t.co/OtQRBECLxS</t>
  </si>
  <si>
    <t>L'aventure ou le confinement, la jungle ou la chambre, deux idées de lecture en période de confinement : "Au cœur des ténèbres" de Conrad ou "La Métamorphose" de Kafka. https://t.co/91Yr57u5o3</t>
  </si>
  <si>
    <t>Une idée de film à voir en période de confinement ? Non, deux, en fonction de votre état d'esprit : "Gerry" ou "Dans la maison" 📽️🎞️ https://t.co/M4eGGp7ibR</t>
  </si>
  <si>
    <t>Aujourd'hui, zoom sur "Le retour de la bête" de Jean-Luc Marcastel, illustrations de Lionel Marty et de Cécile (sélection CM2/6e du Prix @LesIncos). Espace Jeunesse : https://t.co/2zSY8sCQll https://t.co/w5i1z4MM9P</t>
  </si>
  <si>
    <t>De nouvelles formations et de nouveaux cours disponibles en ligne pour nos adhérents : https://t.co/33DHg38ttJ https://t.co/tFD6WVmwDf</t>
  </si>
  <si>
    <t>Fonds patrimonial : durant le #confinement, petite rétrospective des articles consacrés aux trésors et curiosités de nos collections, avec aujourd'hui "Les Hespérides de la Côte d'Azur" 🍊🍋 https://t.co/0KiGGpSzor</t>
  </si>
  <si>
    <t>Idée lecture : "Les essais" de Montaigne, puisqu'il est bon de philosopher en période de #confinement https://t.co/upNAnRBJSZ https://t.co/Dyfdc2WKdQ</t>
  </si>
  <si>
    <t>Une idée de disque à écouter en période de confinement ? Non, deux, en fonction de votre état d'esprit : "The Great Escape" de #Blur ou "At Folsom prison" de #JohnyCash 🎸📀 https://t.co/2NpGLuotu9</t>
  </si>
  <si>
    <t>Aujourd'hui, zoom sur "Le grand voyage de Figgy" de Tamsin Janu, traduit de l'anglais (Australie) par Pascale Jusforgues (sélection CM2/6e du Prix @LesIncos). Espace Jeunesse : https://t.co/SfRAjIKssv https://t.co/gK5QaXjgty</t>
  </si>
  <si>
    <t>"Lis-moi une histoire", des auteurs qui chaque jour lisent leurs livres sur @RTLFrance : https://t.co/m9OuifLxBJ</t>
  </si>
  <si>
    <t>Fonds patrimonial : durant le #confinement, petite rétrospective des articles consacrés aux trésors et curiosités de nos collections, avec aujourd'hui "Les collections des grands hôtels #hyérois" https://t.co/8IcCow94Bp 🌴🙂</t>
  </si>
  <si>
    <t>Mise en ligne de films accessibles gratuitement sur le site d'Images en bibliothèque @MoisDuDoc : https://t.co/IBdiGcWE7B</t>
  </si>
  <si>
    <t>Idée lecture en période de confinement ? "Le Décaméron" de Boccace, cent nouvelles au temps de la peste noire qui frappa Florence en 1348 : https://t.co/pazkL7fY9B https://t.co/hUDMqm4m5p</t>
  </si>
  <si>
    <t>Une idée de film à voir en période de confinement ? Non, deux, en fonction de votre état d'esprit : "Le Grand bleu" ou "Panic Room" 📽️🎞️ https://t.co/3hQBpEBsjq</t>
  </si>
  <si>
    <t>Présentation de "La force vient « Je révèle mon apparence »" (livre d'artistes) : https://t.co/F9pNdYdPfQ https://t.co/gWBENxk0yz</t>
  </si>
  <si>
    <t>Les auto-formations en ligne pour les adhérents de la médiathèque, c'est ici : https://t.co/33DHg38ttJ</t>
  </si>
  <si>
    <t>Tous les jours à 9h sur le site de @ecoledesloisirs, retrouvez des activités, des lectures et plein d'autres bonnes idées pour amuser vos enfants : https://t.co/AgEUFDqKeN cc @SoniaLubrano1</t>
  </si>
  <si>
    <t>Aujourd'hui, zoom sur "Jefferson" de Jean-Claude Mourlevat, illustré par Antoine Ronzon (sélection CM2/6e du Prix @LesIncos). Espace Jeunesse : https://t.co/efX5VGnjtX https://t.co/DPmJCYFq4l</t>
  </si>
  <si>
    <t>Aujourd'hui, découvrez ou redécouvrez également les "inclassables" de l'espace jeunesse : https://t.co/ZA0x02MlD4</t>
  </si>
  <si>
    <t>Idée lecture de confinement : "À rebours" de J. K. Huysmans https://t.co/PWWPpXaZnU l'histoire d'un homme cloitré chez lui à la recherche de la perfection esthétique</t>
  </si>
  <si>
    <t>La sorcière de San Salvadour 🧙‍♀️🌴, une vieille - mais incroyable ! - histoire #hyéroise que vous pouvez découvrir ou redécouvrir sur notre site durant la période de #confinement : https://t.co/mdyfgJExCl #Hyères #légende</t>
  </si>
  <si>
    <t>Un passionnant documentaire à voir sur @ARTEfr : https://t.co/myByf6UhyI https://t.co/MYE2V4oiPa</t>
  </si>
  <si>
    <t>Pour passer le week-end, retrouvez les coups de cœur romans de notre équipe pour février https://t.co/XaZJE8pkLr et même ceux de janvier https://t.co/h5PwFTPhND Peut-être en avez-vous certains dans votre bibliothèque en attente de lecture ? 😉</t>
  </si>
  <si>
    <t>Applithèque https://t.co/Ba1uxLIyBx</t>
  </si>
  <si>
    <t>Télécharger des ebooks libres de droit https://t.co/5q6kuhL5zW</t>
  </si>
  <si>
    <t>AUTO-FORMATIONS EN LIGNE - MODE D'EMPLOI https://t.co/33DHg38ttJ</t>
  </si>
  <si>
    <t>Fonds patrimonial : durant cette période de confinement, pourquoi ne pas redécouvrir les articles consacrés à nos trésors et curiosités, comme l'"Hortus Indicus Malabaricus" https://t.co/JMAhjIWA13 ou "Le Marteau des Sorcières" https://t.co/n7oDvGs7Ep https://t.co/8ivNUYcJGF</t>
  </si>
  <si>
    <t>Idée lecture du jour en temps de confinement : "Le Guépard" de Giuseppe Tomasi di Lampedusa, nouvelle traduction de Jean-Paul Manganaro (éd. du Seuil). https://t.co/trAYkhmTV4</t>
  </si>
  <si>
    <t>Aujourd'hui, zoom sur "Magdalene" de #FkaTwigs. Espace Cinémusique : https://t.co/VaL5vJG4FT https://t.co/dqFFRxxO6c</t>
  </si>
  <si>
    <t>Coronavirus : les bibliothécaires et les documentalistes témoignent (ou s'interrogent) https://t.co/yrfERZCPTQ via @ArchimagRedac</t>
  </si>
  <si>
    <t>Aujourd'hui, zoom sur "Ameline, joueuse de flûte" de Clémentine Beauvais, illustré par Antoine Déprez (sélection CM2/6e du Prix @LesIncos). Espace Jeunesse : https://t.co/P2IN8E02jK https://t.co/XLv7fAF0kz</t>
  </si>
  <si>
    <t>#Hyères Informations sur le Coronavirus - COVID-19  https://t.co/VjkdEgd91E</t>
  </si>
  <si>
    <t>🤭😂 https://t.co/LjRJsanq2T</t>
  </si>
  <si>
    <t>#RestezChezVous  #challenge #ConfinementJour51 "Syngué sabour",un hymne à la liberté. Une femme afghane veille son mari dans le coma. Au fil des pages,la parole se libère,le cœur s'exprime,la colère remonte à la surface.Palpitant et poignant. @BibNum2Paris https://t.co/B1LApVdHoe https://t.co/a39VkoGher</t>
  </si>
  <si>
    <t>#RestezChezVous #challenge #ConfinementJour50
Voici les petites bêbêtes de Noémie, que vous pourrez venir découvrir dès que possible et colorier si le cœur vous en dit! Cela fera écho à une jolie #expo que nous vous préparons tranquillement...😉Patience!
#Bibliotheques #surprise https://t.co/Kph2fCcmoC</t>
  </si>
  <si>
    <t>#RestezChezVous #Challenge #ConfinementJour47"L'île-Louvre" Découvrez le Louvre comme vous ne l'avez jamais vu au travers des dessins de Florent Chavouet, qui nous livre un carnet de voyage coloré et fourmillant de détails, joyeusement décalé.@BibNum2Paris https://t.co/N8c1BeiKPX https://t.co/OE8F2EBoFG</t>
  </si>
  <si>
    <t>#RestezChezVous #Challenges #ConfinementJour46 
Un très joyeux #1ermai2020 à toutes les travailleuses et tous les travailleurs, passé, présent et futur! Ces clochettes porteuses d'espoir nous sont offertes par Julmise aux doigts d'or... 😊🤗
#fetedutravail #muguet https://t.co/eRw5B9Yd0j</t>
  </si>
  <si>
    <t>#restezchezvouschallenge #ConfinementJour38 #JourneeMondialedulivre«Les années douces»Récit simple et empreint de tranquillité,tissé au fil des rencontres entre 2 êtres solitaires,au cœur des ruelles,des gargotes et de la nature japonaises.🎋 @BibNum2Paris https://t.co/Gf5FVjvxaf https://t.co/ZMQa42eGVV</t>
  </si>
  <si>
    <t>#restezchezvouschallenge #ConfinementJour36 #lecture «Brexit romance»Écriture déliée et humour irrésistible: la recette de Clémentine Beauvais! Saupoudrés ici de positionnement politique et de jeux de langues, un vrai régal à l’heure du thé.😉@BibNum2Paris https://t.co/inW2WHcMB0 https://t.co/KSBW1GCJe1</t>
  </si>
  <si>
    <t>#restezchezvouschallenge #ConfinementJour33
Aujourd'hui, on a fait des marques-pages en #origami, très simples et rigolos à faire!😃
#DIY #loisirscréatifs 
On a piqué l'idée ici:
https://t.co/8FvNALxwZG
Les livres: #Lesfiancesdelhiver, C. Dabos #LesRoyaumesduNord @PhilipPullman❤ https://t.co/kQV1pI2iRj</t>
  </si>
  <si>
    <t>😂Excellent! Merci pour le partage!🚗💦 https://t.co/YxfFgSUQuS</t>
  </si>
  <si>
    <t>#StayAtHomeChallenge #ConfinementJour14
Parce que des fois "On se fâche", voici un super #collage de Catherine L. sur les petites #colères qui nous animent!
Parce qu'il est nécessaire d'accepter ses #émotions, même négatives, pour grandir.
(Après on se réconcilie ! 😉) https://t.co/0IjqspnExB</t>
  </si>
  <si>
    <t>#StayAtHomeChallenge #CONFINEMENTJOUR11 #lecture "La forêt millénaire" D'un trait sensible, Jirô Taniguchi nous livre ici son ultime récit, malheureusement inachevé. A la découverte de la campagne japonaise, de ses forêts et de leurs mystères.@BibNum2Paris https://t.co/XaNWF4stVH https://t.co/W7TJFFJSuF</t>
  </si>
  <si>
    <t>Découvrir un livre en pleine écriture, super expérience ! Merci M. Villeminot! #confinement #VendrediLecture #Culturecheznous https://t.co/7en7lSglwd</t>
  </si>
  <si>
    <t>#Lecture #StayAtHomeChallenge #confinementjour9 :
"Les crocodiles"
Issu du "Projet crocodiles" sur Tumblr, ce recueil de témoignages mis en BD dénonce la #misogynie et les violences sexistes. Pour un éveil des consciences."Les Crocodiles sont toujours là", dispo sur @BibNum2Paris</t>
  </si>
  <si>
    <t>Des histoires originales, certaines bilingues (anglais, espagnol, japonais...), d'autres pour les enfants dyslexiques, c'est par ici :  https://t.co/Zz3HWICd2Q
Et c'est gratuit pendant le #confinement. Profitez-en! 😃 https://t.co/i1fosl4piA</t>
  </si>
  <si>
    <t>Alors ça, c'est encore une offre qui ne se refuse pas! D'autant qu'il y en a pour tous les goûts ! 😮😃
#ResterAlaMaison #jeuxvideos #gratuit https://t.co/krW8DvoEcY</t>
  </si>
  <si>
    <t>#StayAtHomeChallenge #ConfinementJour5 #ConseilLecture @BibNum2Paris «L’obsolescence programmée de nos sentiments» de Zidrou. Cette BD poétique nous rappelle qu’il n’y a pas d’âge pour aimer. Une jolie bulle de tendresse, de fragilité et d'espoir.&amp;gt;https://t.co/byxBAEFFyf #culture https://t.co/ul4UaRiet5</t>
  </si>
  <si>
    <t>Mais oui! Mettons un peu de couleurs dans nos vies!
#printemps https://t.co/O9f0eQajoz</t>
  </si>
  <si>
    <t>C'est l'occasion d'aller jeter un œil à notre catalogue en ligne!
https://t.co/Q0aJfjEgh0
 #JeResteChezMoi et je bouquine! On est d'ailleurs sur le pont pour vous préparer des bibliographies thématiques sympa! #stayconnected https://t.co/DSQiLpjVQc</t>
  </si>
  <si>
    <t>Paris aux couleurs de l'Europe ⁦@QueFaireAParis⁩ ⁦@Paris⁩ A cette occasion, une "Journée des Européens solidaires" 100% en ligne est organisée. Au programme, animations, surprises, concours et concerts. https://t.co/hsqiGn945O https://t.co/9hZV3aUk4b</t>
  </si>
  <si>
    <t>Pour les personnels soignants
Pendant le confinement, les bibliothécaires de la Ville de Paris se sont mobilisé.e.s pour produire masques, blouses, visières dans un fablab hébergé par la Médiathèque Marguerite Duras @DurasBib https://t.co/r1ovdTqWTd @BibParis https://t.co/zFSrljxIiT</t>
  </si>
  <si>
    <t>FABRIQUE TON ALBUM 
En attendant de découvrir le prochain album de Claude Ponti, "Voyage au pays des monstres", l'illustrateur met tous les jours à votre disposition 1 Chozafère : 1 dessin à colorier qui permet à chaque enfant de fabriquer son propre album https://t.co/IJ4a6dKYUn https://t.co/irxSsHfTAt</t>
  </si>
  <si>
    <t>#MercrediBD : l'Age d'or / Roxanne Moreil et Cyril Pedrosa
Dans 1 monde médiéval, 1 princesse à la recherche d'1 mystérieux trésor... Univers graphique coloré &amp;amp; enchanteur, sur la soif de pouvoir &amp;amp; de liberté https://t.co/lZgOMVyTCg et @BibNum2Paris https://t.co/U9KYiddoZ5 https://t.co/2oO6tvxDf1</t>
  </si>
  <si>
    <t>JEUNESSE
Le Journal Spirou propose chaque jour des jeux, des masterclass, des coloriages et la lecture du Journal de Spirou de la semaine, à retrouver sur leur page facebook ou ici : https://t.co/xSwZUGYAIa https://t.co/Eza2DESdtw</t>
  </si>
  <si>
    <t>CHANTONS À VAUGIRARD / BEETHOVEN
Retrouvez l'enregistrement sonore du dernier concert du Conservatoire Frédéric Chopin à la bibliothèque Vaugirard @bibvaugirard C’était début mars🙄 https://t.co/D5e1ACLQJ9 #paris15 🎼🎹 https://t.co/52v2s8zaPA</t>
  </si>
  <si>
    <t>COMICS
Deux fois par semaine, les éditions Urban comics vous proposent de découvrir un chapitre complet d'une série indé. https://t.co/i24sTsFw77 @UrbanComics https://t.co/3vPsniYHhp</t>
  </si>
  <si>
    <t>Confinement et enfants : comment (bien) les occuper ? ⁦@QueFaireAParis⁩  https://t.co/bB4nJqoEjd</t>
  </si>
  <si>
    <t>Retrouvez quelques titres de ce grand écrivain sur la Bibliothèque Numérique @BibNum2Paris https://t.co/zUOsowAwQK https://t.co/VF3L4fDqJ8</t>
  </si>
  <si>
    <t>@sciencespo (Ré)écoutez 5 conférences retraçant le parcours du programme de recherche et d'enseignement des savoirs sur le genre dont celle de Françoise Héritier Aux origines de l'inégalité entre les sexes ou de Geneviève Fraisse Les excès du genre https://t.co/OgH5o8zbcG</t>
  </si>
  <si>
    <t>BIBLIOTHÉCAIRES CONFINÉ-E-S
Parce que confinement ne veut pas dire inaction!
Face à cette situation inédite, l'équipe s'est creusée les méninges pour faire avancer à distance un certain nombre de sujets.On espère vous retrouver vite, prenez soin de vous!😀
https://t.co/cLPV3eoGne https://t.co/I6EDpkEdK1</t>
  </si>
  <si>
    <t>#vendredilecture
Vie de Gérard Fulmard / Jean Echenoz
Une parodie de polar politique où l'on suit les tribulations d'un anti-héros entraîné dans des évènements qui le dépassent. Une lecture savoureuse, jubilatoire ! https://t.co/qtiUiDR9J4 https://t.co/slkKN2Hwxv</t>
  </si>
  <si>
    <t>mediateyran</t>
  </si>
  <si>
    <t>Ecouter des histoires https://t.co/XBIszEoooz</t>
  </si>
  <si>
    <t>Défis sciences à la maison https://t.co/BqrIVp9ckS</t>
  </si>
  <si>
    <t>Réouverture progressive https://t.co/keNfYaj0Ip</t>
  </si>
  <si>
    <t>Bouger en famille https://t.co/i6uxfAYSFG</t>
  </si>
  <si>
    <t>A vos crayons ! https://t.co/dTCNxDUhb8</t>
  </si>
  <si>
    <t>Le coronavirus expliqué aux enfants https://t.co/k4nD9LCJA7 https://t.co/lExR3WmioF</t>
  </si>
  <si>
    <t>Ressources en ligne pierresvives https://t.co/cGze5W1MBr https://t.co/I77BaPTDhm</t>
  </si>
  <si>
    <t>Recettes illustrées https://t.co/UzonV5PxXj https://t.co/4Ph3jCTJAl</t>
  </si>
  <si>
    <t>Quizz jeunesse Gilles Bachelet https://t.co/CrI1sFKMc9 https://t.co/UAcYL2oyhO</t>
  </si>
  <si>
    <t>Musique https://t.co/UmAmqrspOG https://t.co/gHMehAItZf</t>
  </si>
  <si>
    <t>Toute la France dessine ! (BD) https://t.co/qmJmRJ7B7C https://t.co/SXXkJBkjaV</t>
  </si>
  <si>
    <t>Histoires… de magie https://t.co/JE6My5GpXu https://t.co/EhpzEOU9Lc</t>
  </si>
  <si>
    <t>Atelier Illusions d’optique https://t.co/AiXKEF2vGc https://t.co/vP429NDaEe</t>
  </si>
  <si>
    <t>Smartphotos https://t.co/6keWqy8QLJ https://t.co/KdRYPQBezj</t>
  </si>
  <si>
    <t>Courts métrages jeunesse et tout public https://t.co/E3zLEeqA9j https://t.co/JiGNDeJlqA</t>
  </si>
  <si>
    <t>Activités manuelles https://t.co/KKdqvb2R0c https://t.co/birgEK4oA9</t>
  </si>
  <si>
    <t>LEGO® https://t.co/tth4u9CZnh https://t.co/COgfah8UYO</t>
  </si>
  <si>
    <t>Initiation à OpenOffice Calc https://t.co/NkOAVsA0sZ</t>
  </si>
  <si>
    <t>Essayez le jeu vidéo “CHUT” https://t.co/xITv9mRcdY https://t.co/Q6B4FPPyeo</t>
  </si>
  <si>
    <t>Petits curieux https://t.co/wY5TsIq4t6 https://t.co/cUDCH9xCff</t>
  </si>
  <si>
    <t>Quizz animaux ! https://t.co/Oh8mva50Xs https://t.co/6KKhPlbiwN</t>
  </si>
  <si>
    <t>Serious games et webdocumentaires https://t.co/qmHxXamyaV https://t.co/uBbnOWaW6n</t>
  </si>
  <si>
    <t>Histoires pour tous https://t.co/9k8K5apvFE https://t.co/vpcQm5cngs</t>
  </si>
  <si>
    <t>Jeux de société https://t.co/l85trSqOIO https://t.co/N28mjkQwU2</t>
  </si>
  <si>
    <t>Montage photo à la manière de JR https://t.co/oEx2QtnDnt https://t.co/PKyjhPhHrt</t>
  </si>
  <si>
    <t>La bande dessinée https://t.co/uufYLmOUIq https://t.co/qR4mul8NvE</t>
  </si>
  <si>
    <t>Les chats… jeux, dessins animés, lectures https://t.co/wDS0N6CESp https://t.co/zMiPjIkDNl</t>
  </si>
  <si>
    <t>ArTeyran 2020 : appel à candidatures https://t.co/YBPDQoIxzN https://t.co/rR0L2O4Gbu</t>
  </si>
  <si>
    <t>Radio Clapas https://t.co/eE2gGPaCCo https://t.co/HnjL60jf9P</t>
  </si>
  <si>
    <t>Montpellier Danse https://t.co/GYBE97hSGh https://t.co/ZuwMd7Y6Ii</t>
  </si>
  <si>
    <t>Concerts filmés https://t.co/jRd4Yg3d18 https://t.co/2NMsAhJy8g</t>
  </si>
  <si>
    <t>Ressources en ligne jeunesse #3 https://t.co/KTKkhmXhCv https://t.co/cc5uODdNrH</t>
  </si>
  <si>
    <t>Ateliers multimédia https://t.co/iV3PtTgrN8 https://t.co/IJ95LhotyA</t>
  </si>
  <si>
    <t>Tout-petits clics ! https://t.co/Umm0n84y2R https://t.co/dKmQ5xXGgY</t>
  </si>
  <si>
    <t>Ressources en ligne jeunesse #2 https://t.co/szLf5glcyO https://t.co/Iqz3O9BaYD</t>
  </si>
  <si>
    <t>#Culturecheznous https://t.co/wlRLV2eNGe https://t.co/aaZCyjAqwp</t>
  </si>
  <si>
    <t>Ressources en ligne pierresvives https://t.co/a4WhjVB0QF https://t.co/4XsGA7tlaj</t>
  </si>
  <si>
    <t>Tout petits-clics ! https://t.co/MScyx2Gb7o https://t.co/vfIY41BumI</t>
  </si>
  <si>
    <t>Ressources en ligne jeunesse https://t.co/lejvY5cHKK https://t.co/sJYh5DQGQ7</t>
  </si>
  <si>
    <t>Tout-petits clics ! https://t.co/g0Bc8KhKSe https://t.co/VQwT6aFoWW</t>
  </si>
  <si>
    <t>La Fête du court… à la maison ! https://t.co/Qg29Qwhaxv https://t.co/FmvweSmOBn</t>
  </si>
  <si>
    <t>COVID-19 – Télétravail https://t.co/j8JWvjLGBe</t>
  </si>
  <si>
    <t>COVID-19 – Fermeture temporaire https://t.co/IxHXXz5k63</t>
  </si>
  <si>
    <t>MediathequeC</t>
  </si>
  <si>
    <t>💡Les astuces des médiathécaires💡
Envoyez-nous votre #Bookface  ou l’art de réaliser un portrait photo, en plaçant une couverture de livre devant son visage.
par mail 📧mediatheque@chateaurenard.com
Quelques exemples en images pour vous donner l'envie d'en faire autant !😁 https://t.co/Kw4Cg6nSJL</t>
  </si>
  <si>
    <t>Demain   #dimanche   #12avril 
#ChasseAuxOeufs dans la bibliothèque numérique #Gallica. 
#Connectez vous sur #Twitter et #Instagram de la #BnF 
pour récolter des #indices qui vous guideront dans votre chasse 
🐣🐰 Que le meilleur gagne ! 🐣🐰 https://t.co/AoIRAvirr1</t>
  </si>
  <si>
    <t>Les astuces des médiathécaires #CHASSEauxŒUFSVirtuelle
Aujourd'hui #samedi #11avril à partir de #12h
Rdv ici : https://t.co/PxM4RywmCA
Cliquez sur la #maison de #Pâques du jour
et lancez la visite virtuelle 3D.
Parcourez toutes les pièces de la maison et fouillez bien partout! https://t.co/fMzkoWJKz2</t>
  </si>
  <si>
    <t>Infos importantes ! https://t.co/WjbpSnvSik</t>
  </si>
  <si>
    <t>💡INFOS pour nos adhérents 💡
Conservez vos documents jusqu'à la réouverture de la médiathèque. Vos prêts sont prolongés automatiquement. https://t.co/ZUMVqGuOhu</t>
  </si>
  <si>
    <t>💡Les astuces des médiathécaires💡
#Confinement : les éditeurs offrent des livres, pour ne jamais manquer de lecture
https://t.co/FnGOaNjbGA
 #Culturechezvous #lecture #ressourcesenligne #restezchezvous</t>
  </si>
  <si>
    <t>De nouvelles ressources en ligne à découvrir !
Avec l'offre #Toutapprendre, nos usagers peuvent désormais
faire du #fitness, apprendre la langue des signes (#LSF) ... et bien d'autres choses encore !
https://t.co/JNiWAHz7AT https://t.co/UQL3ayQv8L</t>
  </si>
  <si>
    <t>Toutes 💡les astuces des médiathécaires💡
sur notre site internet :  
https://t.co/uxweU6HVfK https://t.co/NnenhA3KDs</t>
  </si>
  <si>
    <t>💡Les Astuces des médiathécaires💡
Nous vous invitons à des petites balades virtuelles....
https://t.co/3MLiF0oRf8
#culture #musées #onpenseàvous #mêmeàdistance https://t.co/T4XaeTLG2G</t>
  </si>
  <si>
    <t>PETITE IDÉE pour occuper vos enfants ou vous-même d'ailleurs 🙂👍 : amusez-vous à créer votre propre BD 👍🤩
#activitécréatrice #ludique #BD #lecture #enfants #ados #pourtous
https://t.co/bVNgPnRcSP! https://t.co/5eqjjQRSM3</t>
  </si>
  <si>
    <t>MMSenlis</t>
  </si>
  <si>
    <t>#partageonsnoslectures, envoyez avant le 12/04 sur bibliotheque@ville-senlis.fr un texte de 15 lignes max présentant le livre que vous avez aimé. Le livret sera publié sur notre site et disponible en médiathèque. 📚
https://t.co/5HUVTxXLcA #senlis #culturecheznous https://t.co/Un6ITO8TqA</t>
  </si>
  <si>
    <t>#partageonsnoslectures, envoyez avant le 12/04 sur bibliotheque@ville-senlis.fr un texte de 15 lignes max présentant le livre que vous avez aimé. Le livret sera publié sur notre site et disponible en médiathèque. 📗📚https://t.co/5HUVTxXLcA 
#senlis #culturecheznous https://t.co/0SVcZSdUeZ</t>
  </si>
  <si>
    <t>Mesures exceptionnelles COVID-19 : fermeture de la médiathèque jusqu'à nouvel ordre.
Retrouvez l'arrêté municipal sur le site de la médiathèque: https://t.co/M9Fed3zLzg Les documents à rendre sont prolongés jusqu'à fin mai et les animations sont annulées.</t>
  </si>
  <si>
    <t>Retrouvez toutes nos recettes sur: https://t.co/sM3Yn356oK
Aujourd'hui la tarte à la rhubarbe!🍛🍴
#partageonsnoslectures #senlis #cuisinepicarde #rhubarbe #bonneton #culturecheznous https://t.co/M5oYnTCfTm</t>
  </si>
  <si>
    <t>Et si nous faisions de la pâte à modeler pour occuper nos bambins. Retrouvez dans le livre " Animaux en pâte à modeler, de Rony Oren, éd. Père Castor-Flammarion " des idées pour vos réalisations.
#partageonsnosidees#senlis#pateamodeler#culture chez nous https://t.co/5m3AwE1tth</t>
  </si>
  <si>
    <t>Vous cherchez des histoires pour vos enfants ? A partager avec eux, sur le site de la médiathèque en cliquant sur https://t.co/PQQb8y2EyL 
plus de 700 livres téléchargeables gratuitement  📱#partageonsnosidées #senlis #culturecheznous https://t.co/6eKI7lnqIl</t>
  </si>
  <si>
    <t>Vous aimez Harry Potter, voici de quoi partager du temps avec ce personnage emblématique
#HarryPotterAtHome #HarryPotter #CultureChezNous https://t.co/T8dL4KdABc</t>
  </si>
  <si>
    <t>Rien ne pourra remplacer nos séances d'histoires à la médiathèque, tous ces moments d'émotions partagées avec vos enfants, en attendant voici :
https://t.co/NlyyVPnTRg
https://t.co/ZhefFcTh7J
https://t.co/QLEkpKsJF7
https://t.co/A4MTIAearw
#senlis #mediatheque #culturecheznous https://t.co/L5KrsqFPGK</t>
  </si>
  <si>
    <t>L’Ecole des loisirs, met en ligne l’univers d’un auteur 👫ou d’un personnage 🐺🐹de la littérature jeunesse
https://t.co/uB8L5xHFH9
Et aussi des albums filmés : https://t.co/y7xIHHd4T6
#senlis #culturecheznous @ecoledesloisirs #ecoledesloisirs https://t.co/kv3fNNlnVQ</t>
  </si>
  <si>
    <t>Vous cherchez des activités pour vos enfants ? Mômes propose des fiches pratiques et totalement gratuites d’activités manuelles pour les enfants de 2 à 12 ans😍c’est fait par des papas, des mamans et des enseignants :
https://t.co/diNXIA5kFI
#senlis #activites #culturecheznous https://t.co/HfMXNnDzwg</t>
  </si>
  <si>
    <t>Retrouvez sur https://t.co/M9Fed3zLzg quelques idées d’activités à réaliser en famille : une maison à doudous 🧸🐟ou encore des poissons d’avril ! Et vous quelles activités faites-vous ? #partageonsnoslectures #senlis #bayardjeunesse #culturecheznous https://t.co/QMnqoG40AF</t>
  </si>
  <si>
    <t>La médiathèque vous propose une sélection d’applications, d'activités et de sites qui vous aidera à vous détendre, chasser le stress…😀Retrouvez toutes nos idées sur https://t.co/M9Fed3zLzg
#partageonsnoslectures #senlis #activités #culturecheznous</t>
  </si>
  <si>
    <t>Nous avons collecté pour vous des sites 🖱️pour vous aider à accompagner les devoirs de vos enfants👩‍👩‍👧‍👧 : https://t.co/GIgKzwttSe
#CultureChezNous #senlis #aide https://t.co/wjKOny58nz</t>
  </si>
  <si>
    <t>Tolkien et son univers... retrouvez un commentaire de l'expo, des podcasts, le jeu en ligne de la bnf... sur le lien suivant https://t.co/677fB2nFzu
@gallimard #Tolkien #senlis #CultureChezNous https://t.co/kBdxlxFsoN</t>
  </si>
  <si>
    <t>Poème de Pierre Loti (1850-1923) écrit au cours de ses voyages dans le Pacifique ☀️et publié dans le Mariage de Loti en 1882. Cet autographe fait partie du fonds patrimonial de la médiathèque de Senlis #partageonsnoslectures #senlis #culturecheznous https://t.co/09xoNUNEP0</t>
  </si>
  <si>
    <t>Une histoire d’amour filial incroyablement émouvante portée par l’espoir des deuxièmes chances. Des personnages hauts en couleur, une histoire émouvante d’un père pour son fils. Et vous que lisez-vous ?... #partageonsnoslectures #senlis #anneicart #robertlaffont #culturecheznous https://t.co/ai5LTZcoac</t>
  </si>
  <si>
    <t>#partageonsnoslectures Suspens et rebondissements dans le thriller 📚« Les Passagers » de John Marrs. 8 voitures sans chauffeur détournées par un hacker. Un seul Passager pourra en sortir vivant. A vous de choisir ! 
#Senlis #JohnMarrs #Hugothriller #CultureChezNous https://t.co/xEhANUyHEz</t>
  </si>
  <si>
    <t>Pour terminer la semaine, la médiathèque vous propose de quoi varier vos activités🎨 en famille 👨‍👨‍👦‍👦 : 
https://t.co/DBEFeaaOQ2
#senlis #CultureChezNous #activitesenfants https://t.co/NIKQNVWG8V</t>
  </si>
  <si>
    <t>La médiathèque a sélectionné pour vous des sites pour vous divertir autour de la bd 📚 jeunesse.  : lectures gratuites en lignes, activités...
https://t.co/aNCtM3a1gm
#senlis #culturechezvous #bandedessinee https://t.co/ufQ3fKaKl1</t>
  </si>
  <si>
    <t>Laissez-vous entraîner dans le quotidien des élèves de 2e année : F. Gayral, médecin généraliste, a choisi de se pencher sur son vécu et ses souvenirs pour nous livrer son premier roman à destination des adolescents (mais pas que). #culturecheznous #FannyGayral #RageotEditeur https://t.co/EG9mIrzGDI</t>
  </si>
  <si>
    <t>Senlis, comme toutes les villes d’une certaine importance, eut son lieu d’échanges de première nécessité et ceci dès une époque reculée. Pour découvrir l’Histoire des foires et marchés à Senlis, retrouvez-nous sur https://t.co/spkaoWWXAb 
#Senlis #culturecheznous #Histoire https://t.co/W4EMgRUTRt</t>
  </si>
  <si>
    <t>Voici le printemps ! Découvrez dans ce guide pratique, des plantes utiles, favoriser la biodiversité, obtenir un jardin équilibré et sain. Et vous quels sont vos astuces ?#partageonsnoslectures #senlis #jardins #insectes #catherinedelvaux #larousse #culturecheznous🍃🌺🌳 https://t.co/9iVFb8xJx8</t>
  </si>
  <si>
    <t>Le Collège de France rend près de 200 livres 📗 à lire en ligne et librement téléchargeables📲pendant le temps du confinement. Des leçons à la portée de tous par de grands spécialistes : https://t.co/ay1s4DDVOv
#senlis #collegedefrance #partageonsnossavoirs #culturecheznous https://t.co/Q6nsTGa4iW</t>
  </si>
  <si>
    <t>Allez, un petit conte en écoute d'Henri Gougaud où l'on apprend que finalement nos failles sont notre force https://t.co/zvYPwLo5Nv et une expérience potagère dans un sac, en images : il en faut peu pour être heureux !
#senlis #mediatheque #audiolib #nathan #CultureChezNous https://t.co/sRb04n9dqU</t>
  </si>
  <si>
    <t>Des histoires à écouter pour vos enfants, en podcasts par France Inter😉 de 10 minutes chacune. juste avant d'aller dormir.... 💤
https://t.co/HVOkUG6Kri. #senlis #franceinter #culturecheznous https://t.co/V6lsG48fJa</t>
  </si>
  <si>
    <t>Une sélection de sites proposant des aides au devoir📘, des activités🎨, des lectures gratuites📚🗞️🎞️, etc... à retrouver sur notre site : https://t.co/GIgKzwL5gO
Chacun devrait y trouver son bonheur. 
A bientôt
#lectures #senlis #jeux #activites #CultureChezNous https://t.co/KVgiIlbz7E</t>
  </si>
  <si>
    <t>Pour que vous, parents, grands-parents grâce au téléphone 📞ou autre moyen à distance 💻📲, continuiez à lire des histoires à vos enfants et petits-enfants, pensez à la Boîte à outils de Didier Jeunesse en libre accès 😃 https://t.co/tR0ssKDE41 #culturecheznous #didierjeunesse https://t.co/t2FxDbVqfM</t>
  </si>
  <si>
    <t>Pour découvrir la poésie autrement, voici une rencontre avec le poète et rappeur Dooz Kawa lors d'une conférence donnée par les étudiants de l'ENS dans le cadre d'un cycle intitulé "la plume et le bitume"🤓
 https://t.co/vkQBdAwJXJ
#senlis #mediatheque #doozkawa #normalesup</t>
  </si>
  <si>
    <t>Pour découvrir l’histoire de la bibliothèque de Senlis retrouvez nous sur https://t.co/XmDnHhDQNv
Et retrouvez de nombreuses photos de Senlis sur https://t.co/adh2FzWRmj📸📚
#Senlis #culturecheznous #Histoire https://t.co/sUFF8RMgVL</t>
  </si>
  <si>
    <t>Puisque la forêt est interdite, transportons-la dans notre salon. Laissez-vous conter. Promenons-nous dans les bois 🙃😉
https://t.co/k5sv8ETqkE
https://t.co/J0AByUG8V7
https://t.co/wonv7LiumH
https://t.co/XJqJKxu54p
#senlis  #contes  #syros  #lejardindesmots  #culturecheznous https://t.co/Qa8mWENdiE</t>
  </si>
  <si>
    <t>LaMejanes</t>
  </si>
  <si>
    <t>https://t.co/8QjXS7IvzM</t>
  </si>
  <si>
    <t>https://t.co/qILHoycL0G</t>
  </si>
  <si>
    <t>INFO ⚠️
Annulation
de l'atelier d'écriture et la scène ouverte SLAM de demain. https://t.co/D6vMGTlAzv</t>
  </si>
  <si>
    <t>study support</t>
  </si>
  <si>
    <t>MAXICOURS : accédez-y avec vos identifiants médiathèque.
ici : https://t.co/PChfPbA98p
#covid19 #mediatheque #ecole #college #lycee https://t.co/xxGhsxnNUG</t>
  </si>
  <si>
    <t>Visages de la poésie https://t.co/twQ3QPgJ6x https://t.co/sQWh0hDzFc</t>
  </si>
  <si>
    <t>Coronavirus : arrêté préfectoral https://t.co/a1RNBmJydj https://t.co/N6laHHMXm1</t>
  </si>
  <si>
    <t>Ne vous inquiétez pas, les documents qui devaient être rendus durant cette période sont prolongés jusqu'au 28 mars !</t>
  </si>
  <si>
    <t>Conformément à l'arrêté municipal du 11 mars, la médiathèque sera fermée au public jusqu'au 21 mars inclus. Toutes les animations sont également annulées. Nous vous informerons de l'évolution de la situation.
Merci de votre compréhension. #senlis #Covid_19 #coronavirus https://t.co/qcgd9Pd4Dd</t>
  </si>
  <si>
    <t>De nouvelles ressources en ligne pour les abonnés de la bibliothèque ! https://t.co/ysPuWV6YVC https://t.co/rBmJFof9KQ</t>
  </si>
  <si>
    <t>A l'occasion de l'inauguration de notre nouvel établissement Michel Vovelle - Bibliothèque patrimoniale et archives municipales, découvrez jusqu'au 20 juin l'exposition "Morceaux choisis" de Nicolas Clauss
https://t.co/bYyujyaUtY https://t.co/D2MUQNZQQI</t>
  </si>
  <si>
    <t>En ce moment à la Méjanes ... Paroles de femmes du 10 au 14 mars
Retrouvez toute notre programmation ici : https://t.co/BxWiK9jCvW https://t.co/lRjIEZZqwb</t>
  </si>
  <si>
    <t>Côté Méjanes mars avril 2020
https://t.co/xanc9V5kO2 https://t.co/CYyGbCdrfy</t>
  </si>
  <si>
    <t>Actuellement à la médiathèque : semaine 11 https://t.co/LbWeE8Og8B</t>
  </si>
  <si>
    <t>BibMolleges</t>
  </si>
  <si>
    <t>Il reste quelques places pour la mix-conférence de Nassim DJ "la place des femmes dans l'histoire de la chanson française" jeudi 12 mars à 19h ! https://t.co/HjzLeMKfO9</t>
  </si>
  <si>
    <t>Dimanche 8 mars, journée de lutte pour les droits de la femme. Notre offre de lecture en section adulte et en jeunesse. En attendant une journée de lutte pour le droit des petites filles de le rester. Mettons, par exemple, un 28 février, si la misère de notre époque l'exige... https://t.co/PJrxeORNTa</t>
  </si>
  <si>
    <t>A découvrir dès maintenant 🙂 https://t.co/m3KlAmsD0Y</t>
  </si>
  <si>
    <t>Le nouveau décret concernant les bibliothèques est en ligne ! https://t.co/fH4yYqBTAi</t>
  </si>
  <si>
    <t>mediatheque_dz</t>
  </si>
  <si>
    <t>https://t.co/bi6tDWm6TH</t>
  </si>
  <si>
    <t>🎼 Notre nouvelle sélection de disques "Une petite histoire du reggae : mento, ska, rocksteady, reggae" vous attend !
🎧 Du mois de mars au mois de mai, vibrez aux sons de la Jamaïque. #musiqueenbibliothèque @bibliocite @MmpParis https://t.co/5mrTEghyms</t>
  </si>
  <si>
    <t>Ne vous inquiétez pas, les documents qui devaient être rendus durant cette période sont prolongés jusqu'au 21 mars !</t>
  </si>
  <si>
    <t>Conformément à cet arrêté municipal, la médiathèque sera fermée au public jusqu'au 14 mars inclus. Toutes les animations sont également annulées. Nous vous informerons de l'évolution de la situation.
Merci de votre compréhension. #senlis #Covid_19 #coronavirus https://t.co/ynlI9eI6cf</t>
  </si>
  <si>
    <t>#Vendredilecture : Posada, génie de la gravure de Laetitia Bianchi
Ce livre aux remarquables illustrations offre un vaste panorama de l'oeuvre de ce dessinateur, caricaturiste et graveur mexicain. Superbe! https://t.co/1trtiLe1ny https://t.co/W4hfitAu95</t>
  </si>
  <si>
    <t>Collage de sons, collage d'images, collage de mots : le retentissement de la Ville, c'est en ce moment à la Bibliothèque Italie...🇮🇹
L'affiche de présentation de la table thématique est une œuvre collective de la bibliothèque. Vous pouvez en admirer quelques autres en jeunesse.✂️ https://t.co/XCk5c6lr8T</t>
  </si>
  <si>
    <t>Envie de rester sous la couette par ce temps hivernal ? ça tombe bien on va vous parler de .... lit ! 🛌🛌🛌Attention fil #chapnum avec des archives de @LeCnam et @GallicaBnF Aujourd'hui : le lit vertical ! @BibParis @Marie18Paris @bibliocite https://t.co/cE4x7imPgM https://t.co/6AhgIAZCuJ</t>
  </si>
  <si>
    <t>Pour rappel samedi c'est jeux de société ! 
Venez rencontrer les Joueurs Nés pour un moment de détente ou de défis autour d'une table ! 🎲
Entré libre de 14h30 à 17h. https://t.co/yvG3TgVcHO</t>
  </si>
  <si>
    <t>Le rendez-vous incontournable pour les enfants, samedi 29 février avec une séance pour les 4-7 ans. 🎉. 
Un moment à partager pour voyager dans le monde des histoires 📚 et de l’imaginaire dès le plus jeune âge…
Les séances sont gratuites sur inscriptions, enfants accompagnés 👨‍👩‍👧‍👦 https://t.co/QgiDlSHEzH</t>
  </si>
  <si>
    <t>#MercrediBD : Waldo / Lorraine Les Bains
Waldo Maelfait, chanteur populaire odieux meurt effroyablement. Qui l'a tué ? Rumeurs, hypothèses se succèdent de maison en maison. Une belle réussite! https://t.co/MSFGQaF5vK https://t.co/tYJOtkWOSp</t>
  </si>
  <si>
    <t>Partez en balade à la découverte des arbres 🌳de Senlis avec les jardiniers du service Paysage. Apprenez à les reconnaitre et venez découvrir leur rôle essentiel dans nos écosystèmes🌎. Mercredi 18 mars de 14h30 à 16h30. Gratuit sur inscription A partir de 6 ans. https://t.co/1XUap2npeP</t>
  </si>
  <si>
    <t>Bébés joueurs https://t.co/RUIiLNPtnr https://t.co/FjwnVHHAgW</t>
  </si>
  <si>
    <t>Spectacle musical https://t.co/nOVElenOYz https://t.co/QdkXNvax49</t>
  </si>
  <si>
    <t>Exposition Anne Marie Gibelin https://t.co/iQ9uKdBGOc https://t.co/Dq3DISGz2j</t>
  </si>
  <si>
    <t>Atelier de bande dessinée https://t.co/c5m3sR3o8O https://t.co/wAx8WIRtmp</t>
  </si>
  <si>
    <t>Envie d’écrire 🖊️ ?
Exercer votre plume en vous inscrivant au stage d’écriture du samedi 7 mars de 9h à 16h45 « Nature et poésie », animé par l’écrivain Cédric Bonfils. 👨Sur inscription.🏫Infos pratiques : https://t.co/ipUrn411j9 https://t.co/Df6ayugyy2</t>
  </si>
  <si>
    <t>Fabriquons nos produits naturels
Atelier de fabrication DIY de produits ménagers🧴, moins chers et plus écologiques🌎. Inscrivez-vous dès aujourd’hui pour le samedi 14 mars de 14h30 à 16h à la médiathèque de Senlis😀. En partenariat avec le CPIE de l'Oise https://t.co/0l0da8UMw1 https://t.co/DfBWX0qQe8</t>
  </si>
  <si>
    <t>Le prix MOTAMO 2020 poursuit son chemin, les élèves des classes participantes ont échangé leurs avis sur les titres en compétition cette année.📕📗📘 #senlis #livresjeunesse
Plus di'nfos sur : https://t.co/nYo2QkITPR https://t.co/nOND70x1rk</t>
  </si>
  <si>
    <t>Les animations de MARS 2020 dans votre médiathèque😊🙃
#animations #cinéma #atelierdecriture #lecture #enfants #SLAM #Dizzylez #StreetArt #Châteaurenard #médiathèque https://t.co/okko123rBX</t>
  </si>
  <si>
    <t>#VENDREDILECTURE
Retrouvez sur notre blog nos #vendredilecture de janvier
https://t.co/JRNjHQwMrb https://t.co/EkUhEHygqQ</t>
  </si>
  <si>
    <t>#mercrediBD : "La quête d'Albert" d'Isabelle Arsenault
Albert aimerait bien lire au calme, mais ses amis arrivent les uns après les autres et viennent troubler son moment de tranquillité. Un petit bijou à lire dès 5/6 ans https://t.co/HoRhek9C4t https://t.co/ppT6X4aD5H</t>
  </si>
  <si>
    <t>En avant-première voici un avant goût visuel
des nouveautés disponibles bientôt....
dans votre médiathèque préférée 🙃😍🤩😊🥰
#enviedelecture #nouveauté #détente https://t.co/uBatJZFWzV</t>
  </si>
  <si>
    <t>La médiathèque passe aux horaires de vacances scolaires : mardi et vendredi de 14h à 17h, mercredi de 10h à 12h30 et 13h30 à 18h, samedi de 10h à 12h30 et de 13h30 à 17h. https://t.co/hQYwouQLWB</t>
  </si>
  <si>
    <t>Un bout de bois, une paire de chaussettes, un peu d'imagination, quelques gouttes de poésie...Tandis que les vacances de février battent leur plein, vous voilà, grâce à nos tables thématiques, parés pour l'hiver !  A bientôt en jeunesse dans notre bibliothèque.❄️⛄️✂️🖌️ https://t.co/lvsNGrvcpu</t>
  </si>
  <si>
    <t>Un film pendant les vacances, ça vous dit ? https://t.co/HwiYa7Y63C https://t.co/WFoFnaNCRt</t>
  </si>
  <si>
    <t>Après midi jeux de société ! 🎲
A la médiathèque on profite du 29ème jour de février pour inviter les Joueurs Nés qui vous proposeront une multitude de jeux !
Alors rendez vous samedi 29 février de 14h30 à 17h ! 😁 https://t.co/rzb8uQrQyY</t>
  </si>
  <si>
    <t>Le rendez-vous incontournable pour les enfants, samedi 29 février, séance pour les 4-7 ans. 🎉
Un moment à partager pour voyager dans le monde des histoires 📚 et de l’imaginaire dès le plus jeune âge…
Les séances sont gratuites sur inscriptions, enfants accompagnés.👨👨👧 https://t.co/tGqRxneIsj</t>
  </si>
  <si>
    <t>Ces personnes sont formidables et font un travail exceptionnel ! https://t.co/HHwg5HbiXT @eurekoi ❤️</t>
  </si>
  <si>
    <t>Après-midi Jeux, le premier d’une longue série ? https://t.co/v145lFK3DC https://t.co/VJfNCXggWT</t>
  </si>
  <si>
    <t>https://t.co/Mg6RaMCyER</t>
  </si>
  <si>
    <t>#MERCREDIBD
Undertaker T.5 : l'Indien blanc de Xavier Dorison et Ralph Meyer
Plongée sur les plateaux enneigés d'Arizona, territoire du redoutable Salvaje, entre coups bas, surprises et roublardise. https://t.co/MysQb8UOZ2 https://t.co/Sitd3j1uav</t>
  </si>
  <si>
    <t>Avec “Agrippine” ou “Les Frustrés”, Claire Bretécher avait élevé l’étude de mœurs dessinée au rang d’art https://t.co/uo6EmTyqfP</t>
  </si>
  <si>
    <t>▶️Venez vous détendre mercredi 26 février de 17h à 20h en jouant🎲♟️ un moment en famille ou entre amis à la médiathèque, soirée animée par Ludis Factory. 
Sur inscription. A partir de 8 ans.
(Durant la soirée, les enfants sont sous la responsabilité des parents.) https://t.co/usqfScHThj</t>
  </si>
  <si>
    <t>SAMEDI 15 FÉVRIER  15h30
Conférence musicale l’Opéra
par Cédric DOL
Entrée libre et gratuite
#mediatheque #Châteaurenard #conférence #opéra https://t.co/MmV6qS25Kh</t>
  </si>
  <si>
    <t>Aujourd'hui, zoom sur "La princesse aux doigts d'or" de Christian Jolibois, illustré par He Zhihong (sélection CE2/CM1 du Prix @LesIncos). Espace Jeunesse : https://t.co/SvaueDF46y https://t.co/AXA6xv40WG</t>
  </si>
  <si>
    <t>Merci Rachelle😻😻😻 Heureusement qu'il y a des gens comme toi sur cette terre pour faire avancer les choses https://t.co/jH4oO1T9G2</t>
  </si>
  <si>
    <t>Parce qu'ils ont encore beaucoup à donner, venez vite découvrir ces livres en manque d'affection!
ps pour les bibliothécaires: c'est pas parce qu'on est au dessus du KFC qu'il faut leur donner du pilon😉🐓 https://t.co/yKQfSUv72Z</t>
  </si>
  <si>
    <t>Une exposition sur la mixité dans le sport… https://t.co/NwL5DERF17 https://t.co/LSxolQVapW</t>
  </si>
  <si>
    <t>survey</t>
  </si>
  <si>
    <t>Pour tous les collègues qui travaillent en BU ! https://t.co/2huHJxgstX</t>
  </si>
  <si>
    <t>Forêt de manteaux dans l’espace Jeunesse hier mercredi @bibvaugirard ! Une fois de plus. https://t.co/Kk8gEgUzW6</t>
  </si>
  <si>
    <t>Aujourd'hui, zoom sur "La fabrique du crétin digital : les dangers des écrans pour nos enfants" de Michel Desmurget. Espace Grand public : https://t.co/c75mBtrZV0 https://t.co/OnWY5qQHj1</t>
  </si>
  <si>
    <t>#MERCREDIBD
Fatma au parapluie T. 1 / Mahmoud Benameur, Soumeya Ouarezki
https://t.co/pcXt2AiDwp
Cette BD chorale et foisonnante nous invite à partager la vie des habitants de la Casbah, quartier populaire des hauteurs d’Alger où pauvreté et débrouillardise se côtoient. https://t.co/I1ipUgnih4</t>
  </si>
  <si>
    <t>ATELIER D’ÉCRITURE 
Bégayer avec style
Mercredi 5 février : COMPLET https://t.co/P5SILcRhg8 https://t.co/0CsqG2v1zL</t>
  </si>
  <si>
    <t>▶Réalisez votre affiche ven. 7 fév. 17h à l'espace numérique. Réaliser une affiche, insérer une image libre de droits, écrire du texte de présentation, déplacer, positionner un ou plusieurs visuels au choix dans l'affiche. Récupérer le tout en pdf. https://t.co/EVoMq0ufwg</t>
  </si>
  <si>
    <t>JEUNESSE
De mots en images : 100 titres pour les enfants de 3 à 6 ans. Découvrez la nouvelle sélection des bibliothécaires jeunesse et venez les emprunter ! https://t.co/S36wAUFSUd #bib2paris https://t.co/1jH0VGBktX</t>
  </si>
  <si>
    <t>Rendez-vous incontournable, mercredi 12/02 avec une séance pour les 4 - 7 ans. 🎉
Un moment à partager pour voyager dans le monde des histoires 📚 et de l’imaginaire.
Séances gratuites sur inscription, enfants accompagnés.👨‍👨‍👧 #senlis #Jeunesse #livres https://t.co/Yw03QVXJNM</t>
  </si>
  <si>
    <t>Ludothèque https://t.co/Si0Aj0jedb https://t.co/Ag1Zt81p9F</t>
  </si>
  <si>
    <t>Multimédia Vacances https://t.co/LkACSJgv9j https://t.co/ASgFmhEq9M</t>
  </si>
  <si>
    <t>Cinéma https://t.co/2jO5I7v8Ws https://t.co/F72hQ9604F</t>
  </si>
  <si>
    <t>Aux livres les petits ! https://t.co/AA1GZ0YouV https://t.co/4PPBqNavdI</t>
  </si>
  <si>
    <t>Ateliers Furoshiki ⛩️à la médiathèque, un retour en images #senlis https://t.co/y7Pl1p3jjB</t>
  </si>
  <si>
    <t>https://t.co/H3sbbvxc3Q</t>
  </si>
  <si>
    <t>#EmmanuelGuibert enfin couronné au #FIBD2020 ! Cela nous fait d'autant plus plaisir que cet admirateur de Georges Perros (le dessin "Georges à moto" qui orne votre carte de la médiathèque est de lui) fut le premier invité de nos manifestations consacrées à la bande dessinée... https://t.co/jL5WhgeFER</t>
  </si>
  <si>
    <t>Rendez-vous incontournable, samedi 01/02 avec une séance pour les 4-7 ans. 🎉
Il reste des places. 🤩🤩🤩
N'hésitez pas à vous inscrire... https://t.co/OBogqF5NZ0</t>
  </si>
  <si>
    <t>https://t.co/4s7k2dBzjP</t>
  </si>
  <si>
    <t>ABONNEMENTS Jeunesse et Adultes : journaux et magazines
La liste de tous nos abonnements 2020 est ICI https://t.co/V6wxOUiyAA https://t.co/dF8p6ZUGIJ</t>
  </si>
  <si>
    <t>▶Personnalisez votre diaporama🖼️📷 ven. 31 janv. 17h à l'espace numérique. Modifiez l'apparence graphique de votre diaporama, importez vos images, gérer les transitions et les animations pour dynamiser celui-ci avec l'outil Impress (LibreOffice), un logiciel libre de droits. https://t.co/EY6z0h3lV0</t>
  </si>
  <si>
    <t>Il reste quelques places. Gratuit sur réservation pour s'initier à cet art ancestral⛩ de pliage de tissu, pour emballer ou transporter toutes sortes de choses🎁🛍 #senlis https://t.co/OO9FMuTbWQ</t>
  </si>
  <si>
    <t>▶️RDV 11h demain à la médiathèque pour découvrir la nouvelle sélection📚📚📖du prix du roman Cezam. https://t.co/DUkzsaBD1B</t>
  </si>
  <si>
    <t>Les bibliothécaires en font des histoires !
C’est samedi 25 janvier 2020 - 11 h | 12 h
Lecture d’albums pour les enfants de 3 à 7 ans https://t.co/sWj9P3ElJk</t>
  </si>
  <si>
    <t>Prochain rendez-vous du comité de lecture jeunesse.👨👧👧
Samedi 25 janvier à 10h00 en espace études et recherches au 2ème étage de la médiathèque.
Venez nous rejoindre pour découvrir les nouveautés de l'édition jeunesse.📕📗📘
https://t.co/r5i8ITWTDy #senlis #jeunes #livres https://t.co/HagCZzsUrT</t>
  </si>
  <si>
    <t>Voici pour vous la première playlist 2020 des nouveautés musicales ! 🎧
Les albums complets sont disponible en médiathèque 😉
https://t.co/92Q7dZyPZr</t>
  </si>
  <si>
    <t>Kiwanuka (2019) https://t.co/O9jRzrB5Fz</t>
  </si>
  <si>
    <t>ENQUÊTE DE SATISFACTION SUR LES PUBLICS
Afin d'améliorer nos services, participez à l'enquête en suivant ce lien : https://t.co/tJw5MotWBp
Ce questionnaire anonyme nous sera utile pour faire évoluer au mieux nos services. Merci pour votre participation ! https://t.co/vV57KsXKl5</t>
  </si>
  <si>
    <t>Enfants et numérique : on en parle ?
https://t.co/boTFcA5MQ0 https://t.co/rDnfYaiVPZ</t>
  </si>
  <si>
    <t>C'est parti pour la Nuit de la lecture ! On s'étire bien avant l'effort, surtout... On vous attend jusqu'à minuit, programme et infos pratiques sur notre site : https://t.co/nbR2grgyTs
#NuitdeLaLecture  #senlis #oise #NuitLecture https://t.co/te8RVOPIJ7</t>
  </si>
  <si>
    <t>#vendredilecture La maison / Emma Becker 
Un récit de ses 2 années passées par choix dans 1 maison close de Berlin. Pas d'apologie de la prostitution, mais 1 réflexion intéressante sur la société, la complexité des désirs et les rapports hommes femmes https://t.co/aqonrc6FSL https://t.co/jyLlbjR0H0</t>
  </si>
  <si>
    <t>#nuitdelalecture #NDLB2020 
▶️Matinée contée demain 11h (2-5 ans) à l'auditorium (entrée libre)
▶️Veillée contée avec le conteur Michel Corrignan demain 16h à l'auditorium (sur inscription)
Retrouvez l'ensemble du programme de la nuit de la lecture sur : https://t.co/NO5dkPhgKq https://t.co/t3pKe75fXp</t>
  </si>
  <si>
    <t>Rappel ! Le Prix du Livre Jeunesse de la Ville de Douarnenez, organisé par la médiathèque et qui vise à promouvoir la littérature jeunesse et favoriser le partage de la lecture entre générations se déroule jusqu’au 10 juin. https://t.co/47ULSHcaIC</t>
  </si>
  <si>
    <t>Si vous avez la chance d'être dans la bonne galaxie😁, ça se passe samedi, de 14h à minuit ! Infos pratiques et programme à découvrir par ici : https://t.co/JXVfy1mWCC
#NuitLecture #Oise #senlis https://t.co/u8JcuJjvMn</t>
  </si>
  <si>
    <t>Podcast : école, famille et chamailleries, un an dans l’intimité de deux enfants - Radio - https://t.co/dIzvAp9z7b https://t.co/by7GMStsbe</t>
  </si>
  <si>
    <t>Si vous souhaitez partager avec nous un moment d'échanges autour de vos dernières lectures, rejoignez nous samedi 25 janvier de 10h30 à 12h pour notre rendez vous lecture ! 📚😀 https://t.co/LcWmhfO1Km</t>
  </si>
  <si>
    <t>Aujourd'hui, zoom sur "L'ourse bleue" de Nancy Guilbert, illustré par Emmanuelle Halgand (sélection CE1 du Prix @LesIncos). Espace Jeunesse : https://t.co/CLweRyWezE https://t.co/DhQKewLj4n</t>
  </si>
  <si>
    <t>#VENDREDILECTURE
La porte des enfers / Laurent Gaudé
https://t.co/RqMYa54nhq
Après "Le soleil des Scorta" et la région des Pouilles, Laurent Gaudé choisit Naples comme décor à ce roman sur le deuil et la rédemption. Un puissant récit initiatique qui revisite le mythe d'Orphée. https://t.co/IUOECqfA2d</t>
  </si>
  <si>
    <t>L'animation Mercredi Youpi du 22 janvier est complète. 😐
Mais un autre Youpi pour les 6 mois - 3 ans aura lieu le Samedi 8 février. 🤩
Les inscriptions seront ouvertes à partir du 18 janvier. 🗓️
A bientôt. 😃 https://t.co/o1MZvVjOHy</t>
  </si>
  <si>
    <t>L'animation Samedi Youpi 6 mois - 3 ans du 11 janvier est complète . 😐
Mais un autre Samedi Youpi aura lieu le 8 février. 🤩
Les inscriptions seront ouvertes à partir du 18 janvier. 🗓️
A bientôt. 😃 https://t.co/eg1Btcn6c0</t>
  </si>
  <si>
    <t>AUJOURD'HUI à 15h30 !🤩😊👂😍😍
On vous attend nombreux 🥰 https://t.co/tB7Z5psr7J</t>
  </si>
  <si>
    <t>En coulisses, on démonte l'exposition de #GuillaumeTrouillard qui va bientôt faire route vers Bordeaux et les locaux des #éditionsdelacerise... Il reste quelques affiches de la manifestation que nous vous invitons - si vous le souhaitez - à retirer à la médiathèque. https://t.co/hLPHLDdQMd</t>
  </si>
  <si>
    <t>Samedi 18 janvier, la nuit commence dès 14 h ! ⏰😀 Rejoignez-nous de 14h à minuit pour vivre cette nouvelle édition de la Nuit de la Lecture. Au programme : qqes frissons, un peu de réflexion, une dose de compétition et surtout bcp de plaisir...😎
#Senlis #Oise #NuitLecture https://t.co/xzSJQpDiYo</t>
  </si>
  <si>
    <t>Fermeture exceptionnelle mercredi 22 janvier https://t.co/O65FCYTvya</t>
  </si>
  <si>
    <t>Meilleurs voeux pour 2020 ! https://t.co/nkpdNgOLAQ https://t.co/WN2j4Ut7q1</t>
  </si>
  <si>
    <t>Harry Potter, super-héros des lecteurs du « Monde »  https://t.co/Dtquk1fdAz</t>
  </si>
  <si>
    <t>JEUNESSE
Nouvel abonnement en jeunesse : le magazine « J’aime lire Max », grand frère de « J’aime lire », s’adresse aux enfants de 9 à 13 ans, pour toujours plus de plaisir de lecture ! https://t.co/HiJxOokxa5</t>
  </si>
  <si>
    <t>Parents, petits écoliers, collégiens ou étudiants :
MAXICOURS est pour vous !
Connectez-vous  gratuitement
avec vos identifiants ici : https://t.co/GObvjQEzdK…
On y trouve même les annales pour le BREVET, ou le BAC.... https://t.co/qQSAj6ifre</t>
  </si>
  <si>
    <t>JEUX DE SOCIÉTÉ
C’était hier!
N’oubliez pas : vous pouvez jouer quand vous voulez pendant les horaires d’ouverture. https://t.co/8tHuJFlLOy</t>
  </si>
  <si>
    <t>Lecture publique📕 "la potion magique de Georges Bouillon"par Olivier Chauvel, acteur.
Gratuit sur inscription, tout public dès 8 ans. samedi 18 janvier à 17h30 ⏰ https://t.co/WE11ZgxzO4</t>
  </si>
  <si>
    <t>Rendez-vous incontournable pour les enfants, le samedi 11 janvier avec une séance pour les 6 mois-3 ans ans. 🎉
Un moment à partager pour rentrer dans le monde des histoires 📚 et de l’imaginaire dès le plus jeune âge…
Séances gratuites sur inscriptions, enfants accompagnés. 👨‍👨‍👧 https://t.co/P8wriuNB3B</t>
  </si>
  <si>
    <t>HORAIRES VACANCES SCOLAIRES + PROBLEMES DE TRANSPORT 
Jeudi 2/01/2020 : la bibliothèque sera ouverte de 14h à 17h seulement. Merci de votre compréhension.</t>
  </si>
  <si>
    <t>https://t.co/AFHVrkExdn</t>
  </si>
  <si>
    <t>Le casse-Noisette https://t.co/2NEgzqAvcS</t>
  </si>
  <si>
    <t>Bonne et Heureuse Année 2020 https://t.co/YnR8DeZNfS https://t.co/FDvX1DSfBE</t>
  </si>
  <si>
    <t>Ludothèque https://t.co/2b8IulQQcJ https://t.co/ognmaOodCH</t>
  </si>
  <si>
    <t>Aux livres les petits ! https://t.co/izNO5xzZHq https://t.co/SBZkimiJoy</t>
  </si>
  <si>
    <t>https://t.co/D9ZWjZwtI7</t>
  </si>
  <si>
    <t>Les bibliothécaires de @bibvaugirard vous souhaitent une Belle Année 2020😃 https://t.co/iIeTIxNdw3</t>
  </si>
  <si>
    <t>RESSOURCES NUMERIQUES
S’inscrire dans les #bib2paris c’est gratuit et ça vous permet aussi d’accéder à ces ressources🎧 : langues, soutien scolaire, films documentaires, musique. N’attendez plus, offrez 1 formulaire d’inscription pour la Nouvelle Année😉https://t.co/NrmS4z1itF https://t.co/y8Z82HjKb7</t>
  </si>
  <si>
    <t>JOYEUX NOËL🎄
#mercredibd 
DETOX 1, le déni / Jim, Antonin Gallo
Et vous, qu'avez-vous trouvé comme cadeau au pied du sapin cette année? Matthias lui vit à 1000 à l'heure et brûle sa vie lorsque... https://t.co/GI65QW6BlK https://t.co/zvhZPWIAOF</t>
  </si>
  <si>
    <t>HORAIRES VACANCES SCOLAIRES🎄
Mardi 24/12 et 31/12 ⚠️vos bibliothèques sont fermées. Retrouvez-nous jeudi de 14h00 à 19h00.
Nos horaires du 23/12 au 4/01 : mardi à vendredi 14h00 - 19h00, samedi 10h00 - 18h00</t>
  </si>
  <si>
    <t>Actuellement le dernier atelier de l'année 2019 avec Rozenn Reliure pour réaliser des cartes de #Noël ! 🎅⛄️🎄 https://t.co/gHqiJOUEFi</t>
  </si>
  <si>
    <t>Pour terminer l'année 🥳, le comité de lecture jeunesse vous propose de découvrir sa dernière sélection 📚 :
https://t.co/m69ShxIL41
Prochain rendez-vous le samedi 25 janvier 2020. Bonnes fêtes de fin d'année à tous 🍾 #senlis #jeunes https://t.co/RFXYXLuCL6</t>
  </si>
  <si>
    <t>Fonds patrimonial/nouvelle acquisition : "Flore forestière de la Cochinchine" (1897) de Louis Pierre : 80 planches de 52x33 cm https://t.co/3NFva8YIHt https://t.co/dWx1LWm1jY</t>
  </si>
  <si>
    <t>PIANO PIANISSIMO🎹
prochaine session jeudi prochain 26/12 de 17h30 à 18h30
Sur inscription pour les pianistes confirmé-e-s, en accès libre pour le public https://t.co/bJPnSAZIt7</t>
  </si>
  <si>
    <t>▶️RDV demain 18h pour les apéros-lecture📚 ! (Public adultes) Entrée libre et gratuite. https://t.co/epcoN12uJP</t>
  </si>
  <si>
    <t>Aujourd'hui, zoom sur "Picasso et le paysage en Méditerranée", catalogue de l'exposition du #MAT. Espace Grand public : https://t.co/AoAFtyvaCC https://t.co/v2B3FIQM0Y</t>
  </si>
  <si>
    <t>Aujourd'hui, zoom sur "Yesun" de Roberto Fonseca. Espace Cinémusique : https://t.co/rdkE2n26ps https://t.co/F32DeD6Hhv</t>
  </si>
  <si>
    <t>▶️Venez assister ce mercredi 18 décembre à 11h à la lecture d'histoires de #Noël🎄⛄️ pour les enfants.
Le père Noël🎅 sera de passage !!
Pour les enfants de + 3 ans (accompagnés d'un parent.) Entrée libre https://t.co/Gs1FpCZtuK</t>
  </si>
  <si>
    <t>Prochaines #animations à venir en #2020 😊🤩 https://t.co/nStiCL0U9P</t>
  </si>
  <si>
    <t>EXPOSITION  
Les enfants de l’atelier Savoir / Dessiner exposent leurs réalisations à la bibliothèque @bibvaugirard jusqu’au 20/12🎨 https://t.co/0bLaCZHAlJ</t>
  </si>
  <si>
    <t>Les jeux de société c'est en ce moment ! Rejoignez-nous jusque 17h ! https://t.co/5kqlUp89Ae</t>
  </si>
  <si>
    <t>#mouvementsocial #grève #grèvedestransports ⚠️ les horaires d'aujourd'hui sont modifiés : la bibliothèque restera ouverte jusqu'à 17h. ⚠️ https://t.co/jXMwKX4Ul2</t>
  </si>
  <si>
    <t>[Cycle Migrations] Demain concert de clôture à 15h30 pour finir le festival en musique (et oublier l'hiver) #OrchestraMiSol #musiquecubaine #musiqueenbib https://t.co/8RQ2KL2scX @bibliocite @BibParis https://t.co/KdYxsUe3KE</t>
  </si>
  <si>
    <t>▶️Découvrez l'artiste Mirthe qui vient ce soir à 20h à la médiathèque pour un concert🎵🎶 de #noel2019 🎅🎄!
https://t.co/DGAbdOyLL6
https://t.co/4MVMZNKEmC
Ambiance chaleureuse garantie ! #harpe #guitare
Inscrivez-vous ! Il reste des places....
(Crédits-photo : Mirthe) https://t.co/sNhUg4S1ES</t>
  </si>
  <si>
    <t>⚠️ Changement d'horaires ⚠️ 
Nous sommes jeudi, et en raison du mouvement social la bibliothèque ouvrira aujourd'hui de 13h à 17h ! 
A tout à l'heure !</t>
  </si>
  <si>
    <t>La mer seul à seule, une conférence de #CharlesMadézo
avec des lectures par Elen Le Trocquer, vendredi 13 décembre à 19h00. Auditorium / Entrée libre. https://t.co/d7PSLtA5tE</t>
  </si>
  <si>
    <t>Mercredi 11/12/2019
Bibliothèque ouverte de 11h00 à 17h00 en raison des problèmes de transport. Merci de votre compréhension.</t>
  </si>
  <si>
    <t>LA VÉRITABLE HISTOIRE DU HARICOT MAGIQUE
C’est samedi 14 décembre - 11h I 12h
par le conteur musicien François Vincent
Il reste quelques places : à partir de 7 ans - sur réservation
mailto:bibliotheque.vaugirard@paris.fr ou 01 48 28 77 42☎️ https://t.co/2ibD8PzF2I</t>
  </si>
  <si>
    <t>Aujourd'hui, zoom sur "Sunset" de Laszlo Nemes. Espace Cinémusique : https://t.co/nwimqWgYJb https://t.co/dWP3KQdM80</t>
  </si>
  <si>
    <t>Les @teliers initia'tics reprendront du service en 2020 pour vous aider à dompter l'informatique💪💻... Infos, horaires et dates d'inscription : https://t.co/XdQL9QmIL3
#mediatheque #informatique #internet #apprentissage #senlis #oise https://t.co/CHVNyWNiQg</t>
  </si>
  <si>
    <t>Superbe ! https://t.co/TwtTSggYO7</t>
  </si>
  <si>
    <t>Giono, ce génie si mal compris https://t.co/wfnYHLgUD6 via @LObs</t>
  </si>
  <si>
    <t>Ce samedi, dernier atelier de Noël intergénérationnel… https://t.co/p8BJ8AtaAZ https://t.co/SALHzdyiox</t>
  </si>
  <si>
    <t>🗓️SAMEDI 14 DECEMBRE à 14h30🗓️
#SAMEDIdECRIRE
Atelier d'écriture animé pas Sylvie Hernandez de l'#Affabuloir.
Les débutants et les curieux sont les bienvenus.🙂
Lire et partager des textes.
Jouer avec les mots, inventer, écrire ensemble à partir d'une proposition... https://t.co/HigQlrOQuw</t>
  </si>
  <si>
    <t>Les coups de coeur Romans pour décembre 2019 https://t.co/npHhZMlLL2</t>
  </si>
  <si>
    <t>Fonds patrimonial/nouvelle acquisition : "The floricultural cabinet, and florist's magazine. 04, January to December 1836" de Joseph Harrison https://t.co/NMytWhVQ4M https://t.co/gedwfITFpD</t>
  </si>
  <si>
    <t>Le Guide Solidarité à Paris Hiver 2019-2020 vient de - Ville de Paris https://t.co/uq8nfvDubP</t>
  </si>
  <si>
    <t>Pour info 🙃🎄
#NOEL #bonnesfêtes2019 # https://t.co/uWMjaOEUav</t>
  </si>
  <si>
    <t>Vous trouverez sur le site de la médiathèque la liste des films qui deviennent réservables aujourd'hui. Nous mettons aussi en rayon nos nouveautés du mois, une sélection qui fait la part belle aux films destinés au jeune public ! 👶👧 https://t.co/rSItZKu9lj</t>
  </si>
  <si>
    <t>Aujourd'hui, zoom sur "6 1/2" de Les Innocents. Espace Cinémusique : https://t.co/rHFtgzS2Y3 https://t.co/C42omkzzss</t>
  </si>
  <si>
    <t>Que de beaux moments ! Merci à #GuillaumeTrouillard, #MaudeMadec &amp;amp; #GurvanLiard pour ce superbe #concertdessiné ainsi qu'aux documentalistes, enseignants, collégiens et lycéens de #Douarnenez. L'exposition de notre hôte est visible jusqu'au 4 janvier ! https://t.co/S4KyhKYxo9</t>
  </si>
  <si>
    <t>Venez emprunter notre nouvelle sélection de disques et découvrez la «Programmation musicale de la @philharmonie - décembre/février». Pour préparer un concert ou pour en profiter même si vous ne pouvez pas y assister! @MmpParis #musiqueenbibliothèque @BibParis https://t.co/NvodYWHaRQ</t>
  </si>
  <si>
    <t>Passez nous voir @bibvaugirard , nous avons des livres📚 sur l’histoire du quartier #paris15 https://t.co/dbMynjbQsV</t>
  </si>
  <si>
    <t>Il reste quelques places pour le spectacle enfants "les cromosaures de l'espace" de Wladimir Anselme mercredi 4 décembre à 15h ! Pensez à vous inscrire ! https://t.co/qA5mbxXZ5f</t>
  </si>
  <si>
    <t>Anuki 🏹à la médiathèque, c'est toujours l'exposition, une lecture de contes le 4/12 et la venue des auteurs 🖍️pour une lecture-dessinée suivie d'une dédicace le 7/12. Vente des albums à la librairie St Pierre #senlis #leseditionsdelagouttiere https://t.co/0dNNPm1Pl0</t>
  </si>
  <si>
    <t>🎄Demain 10h30 à la médiathèque 🎄
Entrée libre et gratuite dans la limite des places disponibles - à partir de 4 ans - https://t.co/iXsEk20wdT</t>
  </si>
  <si>
    <t>Fonds patrimonial : conserver, c'est aussi hériter de livres ayant appartenu à d'autres propriétaires, ce que montre ce petit panel de tampons et d'ex-libris présents dans nos collections... https://t.co/SM07BqvMnb</t>
  </si>
  <si>
    <t>Venez le 14 décembre pour le dernier après-midi jeux de société de l'année avec les Joueurs Nés !
C'est le moment idéal pour faire une pause avec les enfants et avoir une inspiration pour les cadeaux de Noël 😜
Rendez-vous de 14h30 à 17h, c'est libre et gratuit 🎲 https://t.co/4jfVWyHhhf</t>
  </si>
  <si>
    <t>Prix « coup de cœur » ludothèque https://t.co/jIH8VlJ3Ai https://t.co/7s6HuWp7QS</t>
  </si>
  <si>
    <t>Contes de Noël https://t.co/zWz6SkVQbf https://t.co/Dt53MOy0m5</t>
  </si>
  <si>
    <t>Aux livres les petits ! https://t.co/3P8W8aJVZL https://t.co/UDB30sXVhD</t>
  </si>
  <si>
    <t>Piero della Francesca https://t.co/t2Wi07jI1U https://t.co/u1cJCbwgFk</t>
  </si>
  <si>
    <t>Fin d’année https://t.co/Dp19vGwgxg https://t.co/ssBDKIn775</t>
  </si>
  <si>
    <t>Dans le cadre du festival des solidarités ce samedi 30 nov. entre 14h et 17h, venez passer un bon moment musical et vous initier aux percussions africaines ! 🎵🥁
Entrée gratuite. Un goûter du pot de clôture à 17h, organisé par les acteurs du mois de l’ESS sur le pays de Pontivy. https://t.co/uiKrk5qYG6</t>
  </si>
  <si>
    <t>https://t.co/fpTJhM2dUW
 "Leur rencontre avec un dessinateur s’annonce prometteuse". Rendez-vous vendredi à 20h00 dans l'auditorium de la médiathèque de #Douarnenez en compagnie de #GuillaumeTrouillard, #MaudeMadec et #GurvanLiard !</t>
  </si>
  <si>
    <t>TOUR A MANGAS
Avant / Après 
C'est Noël 🎁, la tour à mangas est arrivée! 📚https://t.co/FSPUJ6P4N1 https://t.co/oTuyUsRKMI</t>
  </si>
  <si>
    <t>🎮🍓A vos agendas! Samedi 30 novembre, de 15h à 17h30, on vous attend dans notre salle jeu video pour la Pause sélec "Cuisine et jeux video" 🎮🍓. C'est qui le chef? 😉 #jeuxvideoenbibliotheque @BibParis https://t.co/SpiPTiHaP9</t>
  </si>
  <si>
    <t>RENCONTRE mardi 26 novembre 19h00
RDV avec Marin Fouqué qui présentera son livre et lira des extraits @bibvaugirard @ActesSud 
Toutes les infos ICI➡️ https://t.co/nn9vYzeZ6K 👏 https://t.co/ORE7CIX2Pq</t>
  </si>
  <si>
    <t>Le #concertdessiné unique proposé par #MaudeMadec, #GurvanLiard &amp;amp; #GuillaumeTrouillard approche (29/11) ! Pour vous donner une idée de ce que pourrait être la représentation, nous vous invitons à visionner cet extrait d'une performance de notre invité, donnée juin dernier.</t>
  </si>
  <si>
    <t>staff</t>
  </si>
  <si>
    <t>Service civique: la Ville de Paris recrute - Ville de Paris : pensez au PORTÂGE de livres dans les bibliothèques #bib2paris📚 https://t.co/q1kYXAcZg9</t>
  </si>
  <si>
    <t>▶️Venez vous détendre et colorier un mandala lors d'un moment à la médiathèque dans une ambiance sonore et olfactive "zénifiante" accompagnée d'un thé ou d'une tisane. Tout public. Gratuit (à partir de 6 ans). https://t.co/js1R563ZeH</t>
  </si>
  <si>
    <t>▶️Bureautique : késaco ? Savez-vous réaliser une affiche (22 nov.), créer un diaporama💻(29 nov.) avec des images🖼️ libres de droits et des animations ? RDV à l'espace numérique de la médiathèque. Pour les adultes,les enfants à partir de 8 ans. Pour les débutants. Sur inscription https://t.co/e2tm2wu4MC</t>
  </si>
  <si>
    <t>Viens créer ta bande dessinée avec les personnages d'Anuki🏹 mercredi 27 novembre à 10h30 #senlis @ed_laGouttiere #maupome #senegas. Sur inscription à la médiathèque https://t.co/dsRVU3dBru</t>
  </si>
  <si>
    <t>Fonds patrimonial : suite et fin de notre coup de projecteur sur la revue "Fémina" (1908-1913) avec une sélection des plus belles couvertures https://t.co/t0ZOxlbClS https://t.co/0MROjwXOds</t>
  </si>
  <si>
    <t>Voici les #vendredilecture du mois d’octobre 2019 sélectionnés par l’équipe https://t.co/bw32Do5ufE https://t.co/RTgKI8MJ4t</t>
  </si>
  <si>
    <t>Il reste quelques places pour la conférence de Cathy Rebotton : Viktor Frankl et la logothérapie le mardi 26 novembre à 18h30 ! Pensez à vous inscrire ! https://t.co/gaGhTPmbWU</t>
  </si>
  <si>
    <t>▶️Dernières places disponibles pour le voyage musical "Dans mon grenier" de demain à 10h30 avec la Compagnie L'oeuf et la poule. Inscrivez-vous !
Pour les enfants à partir de 5 ans. Gratuit. Sur Inscription. https://t.co/4wqqtLYH7f</t>
  </si>
  <si>
    <t>Rdv le 07/12 - Stage de de poésie visuelle et virtuelle. Gratuit sur inscription. 
#poesie #Ecrire #library #Senlis #oise #hautsdefrance https://t.co/AL6IcOYUfn</t>
  </si>
  <si>
    <t>#vendredilecture Nous sommes l’étincelle /Vincent Villeminot
2025, une partie de la jeunesse organise 1 grande révolution et décide de partir vivre en forêt dans des villages autonomes. 1 roman d’aventure foisonnant, engagé, exaltant! A partir de 14 ans. https://t.co/dTW579093I https://t.co/9WSGHHWrPf</t>
  </si>
  <si>
    <t>Lecture d'albums pour s'amuser avec les indiens. 🏹
Anuki à travers ses albums, son kamishibaï et son tapis narratif. Séance mercredi 4/12, pour les 5-7 ans à 10h30 gratuit sur inscription. 👨‍👨‍👧‍👧 https://t.co/srxAwEAIJy</t>
  </si>
  <si>
    <t>#MercrediBD : Horrifikland : une terrifiante aventure de Mickey Mouse / Lewis Trondheim et Alexis Nesme
Menez l'enquête à la recherche de Blacky, petit chat noir égaré dans l'effroyable parc d'attraction à l'abandon Horrifikland. Frissons garantis https://t.co/wtAablF1ib https://t.co/L0Ens8lFs8</t>
  </si>
  <si>
    <t>Joue avec une appli pour créer sa propre BD ✏️. Contient aussi une courte histoire, différents mini-jeux 📙. Gratuit sur inscription au 03 44 32 04 00. Jeune public à partir de 7 accompagné. @leseditionsdelagouttiere @senegasstephane #editionsdelagouttiere #maupome #senegas https://t.co/C48CuLtDH6</t>
  </si>
  <si>
    <t>Les animations de novembre… et celles pour préparer Noël ! https://t.co/W1TGZxGxWi https://t.co/f7w0xGgEfS</t>
  </si>
  <si>
    <t>#20ansdelamédiathèque 
MERCI à #Naho, pour l'ambiance musicale,
à la #Compagnie #Téatralala pour son spectacle/visite burlesque et théâtrale "Ma Bibliothèque"
et 1000 fois MERCI à toutes les personnes présentes samedi pour fêter avec nous cet incroyable anniversaire ! https://t.co/Op2L0OTSmv</t>
  </si>
  <si>
    <t>Concours de nouvelles Jean Giono https://t.co/zjjyq2J3LC https://t.co/RlGDjLPv9f</t>
  </si>
  <si>
    <t>PETITS CONSEILS DE LECTURE D'UN BIBLIOTHECAIRE FANTÔME  DEBUTANT... https://t.co/HbYEvQAoV0</t>
  </si>
  <si>
    <t>JEUNESSE
Les sens en éveil : Découvrez les livres tactiles, à emprunter dans votre bibliothèque https://t.co/2bMFkwjnDW https://t.co/c3vw31Klas</t>
  </si>
  <si>
    <t>#litterature #Douarnenez Jeudi 14 novembre à 19h à l'auditorium, nous vous invitons à une rencontre avec Anne-Sophie Subilia, auteure en résidence avec l'association Rhizomes : l'occasion de partager une belle exploration sensible du monde qui permet de retrouver son souffle... https://t.co/LN5Zttb3Vh</t>
  </si>
  <si>
    <t>#Douarnenez #litterature #Jeunesse Jeudi 14 novembre à 18h, nous aurons le plaisir de vous dévoiler la sélection 2020 de Prix du livre Jeunesse de la Ville de Douarnenez ! https://t.co/m677NyMq5Y</t>
  </si>
  <si>
    <t>Rendez-vous DEMAIN🙂à 11h 🥂
On vous attend nombreux pour fêter avec nous les 
🥂 #20ansdelamédiathèque 🥂
#anniversaire #20ans #apéroconcert #concertvidéo #spectacle #Téatralala #Châteaurenard https://t.co/Qus2Dqjhd4</t>
  </si>
  <si>
    <t>#mercrediBD "La cantoche" / Nob 
Ah la cantoche, que de souvenirs… Nob fait preuve de son talent habituel avec ces histoires courtes pour croquer ces moments à part de la journée. A dévorer sans modération, dès 6 ans ! https://t.co/B8UMwKENCp https://t.co/VSuQrFuPMc</t>
  </si>
  <si>
    <t>Une médiathèque, ça sert aussi à (re)lier...📖😉
C'est parti pour l'exposition "Ce qui nous relie", jusqu'au 30 novembre !
#reliures #livres #patrimoine https://t.co/598L3JrdfG</t>
  </si>
  <si>
    <t>Aujourd'hui, zoom sur "Zuu" de Denzel Curry. Espace Cinémusique : https://t.co/HgIr5C6ZWF https://t.co/pymtVj4eUA</t>
  </si>
  <si>
    <t>Vous pouvez dès à présent venir admirer les originaux de #GuillaumeTrouillard à la médiathèque de #Douarnenez. Ses ouvrages y sont bien évidemment disponibles : https://t.co/LokUit3Yha https://t.co/Ev9PqcseJQ</t>
  </si>
  <si>
    <t>Spectacle : Les Trois frères Crados, d’Angélique Pennetier https://t.co/J0firJwF8W https://t.co/O7CQOzA1J2</t>
  </si>
  <si>
    <t>J-1 !🥳🙂
RDV donc demain à 15h30 😉 https://t.co/vNqK3vm8Ws</t>
  </si>
  <si>
    <t>ATYPICmusic https://t.co/3DoLC65GoJ https://t.co/1Ky36YcC7g</t>
  </si>
  <si>
    <t>Festi’Petits : Chantez avec bébé https://t.co/5d0iko68m2 https://t.co/wBmSa7OdYz</t>
  </si>
  <si>
    <t>Festi’Petits, Spectacle : “ça déboîte” https://t.co/OlQYLf9zop https://t.co/4ATmKaYmkC</t>
  </si>
  <si>
    <t>JEUNESSE
Bonjour, auriez-vous des Mortelle Adèle ? Ah non désolé, il n'y en a plus aucun en rayon.?, Quel succès, n'hésitez pas à les réserver.  https://t.co/QlJ1tcdIDy</t>
  </si>
  <si>
    <t>#Douarnenez  #Lecture Samedi 2 novembre à la médiathèque à partir de 10h30 c'est Bibliocafé ! Le thème : "la fin de l'histoire ?". L'occasion de discuter de nos lectures en toute convivialité. Le menu en photo... https://t.co/JJvQ5evusd</t>
  </si>
  <si>
    <t>Halloween à la médiathèque !
Des histoires avec Delphine et Sylvie, des maquillages grâce à Axelle Tiberio, des bonbons... de bons moments à partager. https://t.co/e08UkNZctA</t>
  </si>
  <si>
    <t>▶️Venez voyager musicalement en famille mercredi 20 novembre à 10h30 lors du spectacle de la Compagnie L'oeuf et la poule. Pour les enfants à partir de 5 ans. Gratuit. Sur Inscription. https://t.co/Rx2lEZ9pMN</t>
  </si>
  <si>
    <t>#Toussaint #jourférié #Fermeture : demain 1er novembre, la bibliothèque est fermée. On se retrouve samedi ! https://t.co/VtdOzS5ZWH</t>
  </si>
  <si>
    <t>#MercrediBD : Itinéraire d'un dessinateur d'humour de Jean-Jacques Sempé
Sempé est un artiste et un habile observateur du quotidien. Il dévoile nos petits travers, nos obsessions, nos rêves démesurés avec poésie et tendresse. Intemporel. https://t.co/FQwTgTZ1HN https://t.co/nRc5NHyhsp</t>
  </si>
  <si>
    <t>#Toussaint : vendredi 1er, la bibliothèque sera fermée. Elle sera ouverte le samedi ! https://t.co/XUEGArlk2V</t>
  </si>
  <si>
    <t>Aux livres les petits ! https://t.co/gpozJneqrf https://t.co/OSQojylVma</t>
  </si>
  <si>
    <t>Cinéma : Makala https://t.co/hqkGmAygjw https://t.co/sdiR7qnBVv</t>
  </si>
  <si>
    <t>Café Médiathèque https://t.co/iHMlVWkorv https://t.co/Hii2ul5ZAt</t>
  </si>
  <si>
    <t>Ce soir, ▶️RDV à la soirée #Jeux jeux de société de 17h à 20h. Sur inscription. Ambiance "ludique" 100% garantie !
Possibilité d'apporter votre sandwich ou repas sur place.
Cet atelier est animé par Ludis Factory (Pontivy). (Les enfants sont accompagnés d'un parent.) https://t.co/VXqE4SOFyl</t>
  </si>
  <si>
    <t>SAMEDI 2 NOVEMBRE à 15h30 !
Début de notre 🎉mois anniversaire🎉
avec la projection de ce merveilleux film !🤩
Entrée libre et gratuite !
Retrouvez tout le programmme de nos 20 ans ici : https://t.co/VxBmZmcnzw https://t.co/de4kUAN4hv</t>
  </si>
  <si>
    <t>A noter ! https://t.co/Zg1L3TaNtL</t>
  </si>
  <si>
    <t>Concours de nouvelles Jean Giono https://t.co/5VsLfKPCJt https://t.co/Vv3lqJA2je</t>
  </si>
  <si>
    <t>Coups de coeur du Prix littéraire PACA 2020 https://t.co/jxMjb7JcyA</t>
  </si>
  <si>
    <t>Le @MoisDuDoc approche ! Retrouvez la programmation de la #bibliothèque pour un mois de #novembre riche en découvertes ! https://t.co/P2ymVuht5L</t>
  </si>
  <si>
    <t>Dans les locaux de la médiathèque de #Douarnenez, débutent les opérations de montage de notre prochaine exposition : #GuillaumeTrouillard ! A découvrir à partir du 5 novembre. https://t.co/DYINeSBEef</t>
  </si>
  <si>
    <t>Escapages+ : le prix littéraire départemental des adultes https://t.co/qiP4UCJjO8</t>
  </si>
  <si>
    <t>En pleine partie avec l'association Joueurs Nés ! Les lecteurs et visiteurs de la médiathèque ont bien profité de cet après-midi pour jouer et découvrir toutes sortes de jeux de société modernes ! Prochain rendez-vous le 14 décembre ! #jeuxdesociété https://t.co/Hn41ajJ3cT</t>
  </si>
  <si>
    <t>RETROGAMING @bibvaugirard  14h-17h : c’est parti! @bibYourcenar @mairie15 @FestivalNumok https://t.co/sD36lBgXlQ</t>
  </si>
  <si>
    <t>Faites votre service civique avec la Ville de Paris : mission PORTÂGE de livres très appréciée dans les bibliothèques https://t.co/uxNgL98Kj6 #bib2paris 👍 https://t.co/q1kYXAcZg9</t>
  </si>
  <si>
    <t>Rappelez-vous, demain après-midi c'est Jeux de société à la médiathèque ! 🎲
Pour bien commencer les vacances, venez nombreux vous amuser avec les Joueurs Nés.
De 14h30 à 17h - Samedi 19 octobre
Entrée libre, gratuit / à partir de 3 ans accompagnés https://t.co/MVSoFuzkJy</t>
  </si>
  <si>
    <t>#Vendredilecture : Ru de Kim Thuy
À travers une succession de courts chapitres, l'auteure dessine peu à peu le portrait du Vietnam, de sa famille et de ses amis. Le récit, à la fois prosaïque et poétique, frappe par sa sincérité. https://t.co/sGEEoSnlmz https://t.co/1c70z1PFH4</t>
  </si>
  <si>
    <t>Fonds patrimonial : la médiathèque vient d'acquérir le superbe atlas de la flore chilienne au XIXe issu de l'"Historia fisica y politica de Chile" (1854) du dracénoi Claude Gay : https://t.co/jUgJCvbjkd https://t.co/qngghmqwkY</t>
  </si>
  <si>
    <t>@CentreTumo a initié les ados du 12+ à la création de jeux vidéo, de musiques pour le @FestivalNumok. #enthousiasme #intérêt #programation https://t.co/eDETyJmiiT</t>
  </si>
  <si>
    <t>[Voie des Indés] Merci à Jean-Baptiste Labrune et Jérémie Fischer des Éditions Magnani pour l'atelier "Fabrique ton monde imaginaire" de samedi ! Découpage, coloriage et imagination à tous les étages... https://t.co/DU5ORDtzyG</t>
  </si>
  <si>
    <t>Aujourd'hui, zoom sur "Dans ma montagne" de François Aubineau, illustrations de Jérôme Peyrat (sélection maternelle du prix @LesIncos). Espace Jeunesse : https://t.co/XpjuhTwiAK https://t.co/bHtZnSmBw0</t>
  </si>
  <si>
    <t>#VoiedesIndés demain 16h, atelier #jeunesse création d'un monde avec les auteurs Labrune et Fischer #PetitDuc #Magnani @BibParis @bibliocite #littératurejeunesse #Indés #créativité 
https://t.co/bwy3w6aaJ1 https://t.co/ZCQ5Q0eulb</t>
  </si>
  <si>
    <t>#VENDREDILECTURE
Kabukicho / Dominique Sylvain https://t.co/5LYFQvoBSF
Un roman policier polyphonique où l'intrigue avance selon les points de vue des différents protagonistes qui nous amène aussi à nous questionner sur la confiance qu’on accorde parfois à tort. https://t.co/94jS3Ix9wn</t>
  </si>
  <si>
    <t>L'atelier DADA sur le surréalisme, c'était mercredi avec les enfants de la bibliothèque @bibvaugirard Les œuvres seront accrochées dans l'espace jeunesse à partir de la semaine prochaine. Bravo aux artistes ! https://t.co/quDItkM3wB</t>
  </si>
  <si>
    <t>#FDS2019 Vendredi 11 oct. de 17h à 19h à l'espace numérique➡️Pilotage, montage d'un panneau solaire☀️Pan Tilt en découvrant l'univers de l'arduino.
🔌Avec le Lab bro pondi. Plus d'infos sur : https://t.co/zprhWIifaT https://t.co/nlMSXdgHnl</t>
  </si>
  <si>
    <t>#chocolat 
Rdv samedi 12/10 à 14h30 pour un quiz géant par équipe, sur le thème du chocolat, ainsi qu'une dégustation. Chaque participant repartira avec un cadeau chocolaté + pour les gagnants une création originale offerte par la chocolaterie Berthelot.🏆
Gratuit sur inscription https://t.co/hLVaSAC8Ys</t>
  </si>
  <si>
    <t>Echapper aux zombies, sauver l'âme d'un fantôme, protéger des villageois d'un esprit maléfique!... Choisissez votre mission et rejoignez-nous pour un après-midi "jeux de société spécial Halloween". Le 30 octobre à 14h pour les 10-15 ans👻👹🎃🧟‍♂️🧟‍♀️ #zombicide#ghoststories#mysterium https://t.co/uilEkRuWrB</t>
  </si>
  <si>
    <t>Nos nouveaux jeux de société sont arrivés😄
Merci à la mairie du 13ème pour sa générosité, et merci à nos petits lecteurs/joueurs toujours plus nombreux!!! https://t.co/CJb7aK7qiu</t>
  </si>
  <si>
    <t>ce SAMEDI 12 OCTOBRE de 14h30 à 17h
#Samedidécrire.....animé par Sylvie Hernandez de l'#Affabuloir
Entrée libre et gratuite
https://t.co/MOxJqNAbAF https://t.co/nbSstf1N4M</t>
  </si>
  <si>
    <t>En octobre, des Goûters-Bibli autour du dessin… https://t.co/0V0kitRKzz https://t.co/xLj8ogA7ro</t>
  </si>
  <si>
    <t>Nouveau badge de l’équipe 👍@bibvaugirard https://t.co/jPIPjT1YgM https://t.co/yMhoWI1eMe</t>
  </si>
  <si>
    <t>Aujourd'hui, zoom sur "Si Beale Street pouvait parler" de Barry Jenkins. Espace Cinémusique : https://t.co/TMKDL6u4My https://t.co/0EwzOcYBJI</t>
  </si>
  <si>
    <t>Chouette programme!👌 https://t.co/t3ZKarcD6g</t>
  </si>
  <si>
    <t>📢 Le Cycle Voie des Indés, c'est parti ! 
Merci aux Éditions Magnani pour le vernissage d'hier ! L'expo dure jusqu'au 9 novembre. Plus d'infos sur https://t.co/a5rReTOIF1 
A venir, d'autres animations autour des Editions Magnani et des Editions de l'Ogre ! @BibParis @bibliocité https://t.co/6SpE0vg2TH</t>
  </si>
  <si>
    <t>Marin Fouqué, auteur de “77”, une plume trempée dans le bitume https://t.co/cqPYivOXmv</t>
  </si>
  <si>
    <t>Reprise des animations (cercle de lecture, tapis-lecture, BiblioCafé) et temps forts (soirée conte, exposition BD et Mois du doc). Le programme des semaines à venir est à découvrir sur la page "Agenda" du site de la médiathèque de #Douarnenez ! https://t.co/nMwWPTMWAo</t>
  </si>
  <si>
    <t>Plus qu'une semaine pour venir découvrir l'exposition "#Hyères et ses environs par Stanislas Fierfort", ainsi que le livre consacré à cette série de clichés pris entre 1887 et 1889 : https://t.co/BrqOAYeEHA https://t.co/YRzmzmW4SS</t>
  </si>
  <si>
    <t>RETROGAMING
samedi 19 octobre  14 h | 17 h
Venez re-découvrir les jeux vidéo des années 80/90 : Super Mario Bros, Double Dragon, Donkey Kong...
https://t.co/Di0KGh24Fy @FestivalNumok https://t.co/A5m0TUSWky</t>
  </si>
  <si>
    <t>MERCI à tous ! 😊🙃
Plus de 50 spectateurs présents pour "1,2,3,soleil film" 😎
La médiathèque rayonne de bonheur🙂🥰
à la prochaine fois 🤗 https://t.co/lXpqh5oSpf</t>
  </si>
  <si>
    <t>Octobre est arrivé, accompagné de sa playlist de nouveautés !😁🎙 A savourer ce mois-ci, les retours réussi de Justice et Deerhunter, l'excellent premier album de The Blaze et le nouvel album de la légendaire Mavis Staples ❤️... https://t.co/lJiVh0nvqq
#musique</t>
  </si>
  <si>
    <t>Ateliers dédiés à l'Autoformation https://t.co/jLv4hJFGuL</t>
  </si>
  <si>
    <t>Alors oui au mois d'octobre il pleut, il fait froid, on préfère rester à la maison faire des jeux de société...🤧☂️
Et bien venez jouer à la médiathèque samedi 19 octobre de 14h30 à 17h ! Les Joueurs Nés vous feront découvrir de nombreux de société ludiques ! 🎲
#jeuxdesociété</t>
  </si>
  <si>
    <t>Il reste des places pour l'animation "Ma Médiathèque en chocolat"!! Alors venez vous inscrire pour peut-être remporter un lot en chocolat! Et en plus il y a une dégustation pour les participants !!🍫😋#chocolat</t>
  </si>
  <si>
    <t>Envie d’écrire 🖊️ ? 
L’atelier d’écriture de la médiathèque est sûrement fait pour vous.! Venez rencontrer l’écrivain Cédric Bonfils, lors d’une matinée de présentation des ateliers et stages qu’il anime 😀. Samedi 5 octobre de 10h30 à 12h. https://t.co/Z6KupOD9Id https://t.co/jBdhve5mVe</t>
  </si>
  <si>
    <t>‼️🙃 A NE PAS RATER ! 🙃‼️
DEMAIN 15h30 🙂
1,2,3, soleil..... #PROJECTION 
d'un #film d'animation - à partir de 5 ans -
Entrée libre et gratuite 😊 https://t.co/xBUsJIDYoV</t>
  </si>
  <si>
    <t>Les coups de coeur Romans pour septembre 2019 https://t.co/ZgTrQgHw24</t>
  </si>
  <si>
    <t>Nos formations en ligne https://t.co/OYVjfKpQI4</t>
  </si>
  <si>
    <t>Dans le cadre du Festival Contes en scène du 17 au 25 octobre 2019 , 
▶️réalisez un conte numérique le samedi 19 octobre de 14h à 16h à l'espace numérique Pour les 7 à 10 ans Sur inscription.
https://t.co/DmfQXBl3wt https://t.co/hzkYJhBB21</t>
  </si>
  <si>
    <t>Le comité de lecture jeunesse redémarre.🎺
Nous vous donnons rendez-vous le samedi 28 septembre à 10h00 en espace études et recherches au 2ème étage de la médiathèque.
Venez nous rejoindre pour découvrir ensemble les nouveautés de l'édition jeunesse.📕📗📘 https://t.co/zjmevcRFCn</t>
  </si>
  <si>
    <t>Le rendez-vous incontournable pour les enfants, redémarre le samedi 5 octobre avec une séance pour les 4-7 ans. 🎉
Un moment à partager pour rentrer dans le monde des histoires 📚 et de l’imaginaire dès le plus jeune âge…
Séances gratuites sur inscriptions, enfants accompagnés https://t.co/FLTir9cJ2p</t>
  </si>
  <si>
    <t>Côté Méjanes septembre/octobre 2019
https://t.co/L8RxwalYYp https://t.co/C23rg1sh29</t>
  </si>
  <si>
    <t>Du 10 au 13 octobre aura lieu la Fête du Livre 2019 organisé par Les Écritures Croisées dans la Cité du Livre
Découvrez le programme complet:
https://t.co/Xamr31bFh5
#aixmaville #fetedulivre https://t.co/rJjFBsKjTl</t>
  </si>
  <si>
    <t>Voici les drôles de petits insectes fabriqués par les enfants lors de notre atelier couture de l'après-midi😍
Quel est votre préféré? Nous on arrive pas à se décider! https://t.co/gu0bhiEWXz</t>
  </si>
  <si>
    <t>Visite de la #HallePajol pour les journées du matrimoine #onestpasquedesmuses par Raphaëlle-Laure Perraudin qui a participé à sa conception et construction avec Françoise-Hélène Jourda, architecte engagée en faveur du développement durable #Climat https://t.co/tW5Rb3PaIE</t>
  </si>
  <si>
    <t>Clap Ciné, les Goûters-Bibli : c’est reparti !!! https://t.co/uOP8siMbVj https://t.co/BPSOhElhIJ</t>
  </si>
  <si>
    <t>Le comité de lecture jeunesse redémarre. 
Nous vous donnons rendez-vous le samedi 28 septembre à 10h00 en espace études et recherches au 2ème étage de la médiathèque.
Venez nous rejoindre pour découvrir ensemble les nouveautés de l'édition jeunesse. https://t.co/ZMTTISdgzq</t>
  </si>
  <si>
    <t>Les #JEP2019 à la Médiathèque c'est bien évidemment l'exposition "Hyères et ses environs par Stanislas Fierfort" mais c'est aussi la publication d'un catalogue qui contient les 70 clichés pris dans la ville entre 1887 et 1889. 🌴📷 Tirage limité https://t.co/FmxxqdoT0r</t>
  </si>
  <si>
    <t>📌[REUNION] #REPAIRCAFE de ce samedi à la médiathèque de #Locminé 
▶️RDV ce soir à partir de 16h45 pour nous rencontrer !
🔎🔎Recherchons personnes bricoleuses, calées en informatique, réparatrices-vélo, couturières, débutantes, curieuses, expertes ou non, motivées...☕️ https://t.co/wKlirjzAt5</t>
  </si>
  <si>
    <t>Beaucoup diront que "le chocolat c'est la viiiie" !😍🍫
Mais connaissez vous sa vie à lui avant qu'il ne finisse dans votre estomac ?!! Non ?! 
Alors venez la découvrir à la médiathèque du 9 au 19 octobre 2019 dans l'exposition "Passion chocolat" c'est gratuit ! https://t.co/B78fXUBc2t</t>
  </si>
  <si>
    <t>Edgar Morin https://t.co/6MTom5Fkhf https://t.co/T4spxlePAo</t>
  </si>
  <si>
    <t>Ce dimanche22 septembre : vente de livres ! https://t.co/z1WHimsQY9 https://t.co/sL7eK832gm</t>
  </si>
  <si>
    <t>✒️ SAMEDI d’ ÉCRIRE ! ✒️
Et vous ?🙃.....
⏰ rendez-vous AUJOURD'HUI à 14h30
avec Sylvie Hernandez
pour un atelier d'écriture où les débutants et les curieux
sont les bienvenus pour lire, partager des textes, jouer avec les mots, inventer et écrire ensemble https://t.co/H9ZiYrjaWa</t>
  </si>
  <si>
    <t>📌[PRÉPARATION] #REPAIRCAFE  du 21 sept. à la médiathèque de #Locminé RDV à partir de 16h45 mercredi 18 sept. pour nous rencontrer
🔎🔎Recherchons personnes bricoleuses, calées en informatique, réparatrices-vélo, couturières, débutantes, curieuses, expertes ou non, motivées...☕️ https://t.co/VMxMeHDaaO</t>
  </si>
  <si>
    <t>En plein montage de "Ecrire et dessiner le livre", exposition collective des illustrateurs et illustratrices des Éditions Magnani du 4 octobre au 2 novembre. Hâte !!
Plus d'info sur https://t.co/a5rReTOIF1
Photo : Margaux Othats, Jeremy Fischer https://t.co/4GyiNR8Gts</t>
  </si>
  <si>
    <t>TRANSPORTS / mouvement social RATP @ClientsRATP 
Bonjour, difficile d'accéder à notre lieu de travail aujourd'hui, mais nous vous accueillerons de 13h00 à 17h00 et devrons fermer à 17h00.
Merci de votre compréhension. @BibParis https://t.co/jhZa3xXu0g</t>
  </si>
  <si>
    <t>Rentrée multimédia https://t.co/S5GskeR7e8 https://t.co/liKWbLDRiT</t>
  </si>
  <si>
    <t>Oui, chouettes travaux d’élèves à découvrir @bibvaugirard jusqu’à samedi 14 septembre👍 https://t.co/b5HM4yWVog</t>
  </si>
  <si>
    <t>#FDS2019 Vendredi 11 oct. de 17h à 19h à l'espace numérique 
➡️Venez participer au pilotage, montage d'un panneau solaire Pan Tilt en découvrant l'univers de l'arduino. 
A partir de 10 ans. Sur inscription. Plus d'infos  sur : https://t.co/d58UODWj8X https://t.co/eZ58bWtQI7</t>
  </si>
  <si>
    <t>EN VUE est arrivé dans votre bibliothèque : demandez le programme!
https://t.co/G9D1tMQ3K2 https://t.co/KElEZQKzKC</t>
  </si>
  <si>
    <t>Ouverture de la ludothèque ! https://t.co/aNo9SqDbyr https://t.co/FD6QMM3sMz</t>
  </si>
  <si>
    <t>EXPO photos "Les voix du blues" à découvrir jusqu'au 19 octobre aux horaires d'ouverture de la médiathèque 🎼🙂 https://t.co/XMDZ1S4cFq</t>
  </si>
  <si>
    <t>✒️ SAMEDI d’ ÉCRIRE ! ✒️
Et vous ?🙃.....
Si oui :⏰ rendez-vous SAMEDI 14 SEPTEMBRE à 14h30
avec Sylvie Hernandez
pour un atelier d'écriture où les débutants et les curieux
sont les bienvenus pour lire, partager des textes, jouer avec les mots, inventer et écrire ensemble😉 https://t.co/aVdqrfceKu</t>
  </si>
  <si>
    <t>Un chouette premier roman de #marinfouque bientôt disponible dans votre bibliothèque @bibvaugirard On vous en reparle très vite! 📚@bibliocite @BibParis https://t.co/MQCsoLnRUY</t>
  </si>
  <si>
    <t>PHOTOGRAPHIE
Découvrez 50 photographes exposé.e.s à Arles depuis la création de la manifestation. Et venez découvrir et emprunter des livres dans votre bibliothèque @bibvaugirard, on a du choix! https://t.co/2qK5rkyZ8C https://t.co/sXlc6zpJjj</t>
  </si>
  <si>
    <t>Vous voulez vous essayer à l'art de l'enluminure ?! Nous vous proposons un atelier samedi 28 septembre de 10h à 12h pour les enfants de + de 7 ans et de 14h30 à 16h30 pour les ados et adultes. Inscription à partir d'aujourd'hui ! 😉✍️ https://t.co/QHar8yLkzl</t>
  </si>
  <si>
    <t>Mardi 15 octobre 19h00
L’intelligence artificielle, pas sans elles! Voici un titre qui résume fort bien le propos des 2 auteures, @AudeBer @vincentflora invitées @bibvaugirard pendant @FestivalNumok Venez et vous saurez tout, ou presque! 😉 https://t.co/psZLuJ5PPi</t>
  </si>
  <si>
    <t>Les vacances sont peut être terminées mais c'est pas une raison pour déprimer ! Alors pour vous motiver, voici une playlist qui va vous booster pour la journée avec ses morceaux tournant autour des 140 bpm ! 🤪
https://t.co/RCeRQ0vQyG</t>
  </si>
  <si>
    <t>Podcast : Quand Françoise Dolto s’intéressait à la rentrée des classes - Radio - https://t.co/dIzvAp9z7b https://t.co/ZMF7y7BIPU</t>
  </si>
  <si>
    <t>JEUNESSE
Bonne rentrée à tous les écoliers, collégiens, lycéens et étudiants ! Et à très bientôt à la bibliothèque @bibvaugirard pour une année riche en lectures et en partage! https://t.co/Y89C8dUrYT</t>
  </si>
  <si>
    <t>Allez, c'est parti ! Bonne rentrée des classes ! https://t.co/ZrWf9FV4dq</t>
  </si>
  <si>
    <t>Nous vous souhaitons un dernier très bon weekend et une belle rentrée ! Une pensée toute particulière pour tous les enfants. Les vacances, c'était chouette ! Mais, la rentrée est inspirante... de belles animations à venir dans votre bibliothèque ! https://t.co/OsUBqbQzGk</t>
  </si>
  <si>
    <t>[Les après-midi JEUX] 
▶️Cette après-midi de 14h à 17h30, redécouvrez la sélection de jeux de la console WiiU 🎮🕹 https://t.co/iIclkolMAs</t>
  </si>
  <si>
    <t>Venez découvrir les auteurs présents aux Correspondances de Manosque du 25 au 29 septembre 2019. La billetterie est en ligne. Vous pourrez même y faire une sieste avec Bastien Lallemant, Albin de la Simone, JP Nataf et Maéva Le Berre. https://t.co/iaTj0uZaBz</t>
  </si>
  <si>
    <t>C’était le 25 août 1944 🇫🇷: 75e anniversaire de la Libération de Paris. Retrouvez une sélection de livres dans vos bibliothèques #bib2paris https://t.co/85YmKJ4pEV @BibParis https://t.co/K6Mp8wMEfW</t>
  </si>
  <si>
    <t>Bientôt la rentrée pour les COUPS DE CŒUR LECTURE❤️ de la médiathèque ! Samedi 14 septembre de 10h30 à 12h, venez partagez votre lecture plaisir de cette fin d’été📚. Les livres que vous nous aurez conseillés seront mis en avant dans nos rayons. https://t.co/dz9eRDfF2D</t>
  </si>
  <si>
    <t>à venir en SEPTEMBRE à la médiathèque 🙃🤗😉 https://t.co/ICiRH6pMRJ</t>
  </si>
  <si>
    <t>Réouverture de la médiathèque
On vous attend ! :)
à très vite.... https://t.co/XuDhGXhufR</t>
  </si>
  <si>
    <t>https://t.co/K8AfnsRHK4</t>
  </si>
  <si>
    <t>15 août / Assomption : fermeture
Toutes les bibliothèques seront fermées le jeudi 15, vendredi 16 et samedi 17 août. Votre bibliothèque @bibvaugirard rouvrira mardi 20 août à 14h. https://t.co/ofzdaGtvcK https://t.co/FZ1UaBYxMR</t>
  </si>
  <si>
    <t>Edgar Morin https://t.co/xJMQlT9unj https://t.co/PqzdYyMonf</t>
  </si>
  <si>
    <t>Aux livres les petits ! https://t.co/CbriOr4sVa https://t.co/UvuwsmNuJl</t>
  </si>
  <si>
    <t>Hitchcock à travers le monde
Découvrez la cartographie inédite des films d’Alfred Hitchcock proposée par vos bibliothécaires : https://t.co/TwD8n9Lj8Q
@bibvaugirard venez emprunter ses films et ses livres. https://t.co/yvamxMCFt0</t>
  </si>
  <si>
    <t>Fonds patrimonial : amis aoûtiens, lors de vos baignades à #Hyères 🏝️, attention si vous rencontrez des méduses - ici issues du "Centurie zoologique" (1830) de R. P. Lesson -, mais vous rencontrerez de beaux spécimens de poissons https://t.co/MUKT0FYOGR 1/2 https://t.co/N1caAoZCuP</t>
  </si>
  <si>
    <t>Aujourd'hui, zoom sur "Luca" de Franck Thilliez. Espace Grand public : https://t.co/onc4LbNsZ5 https://t.co/LNRUjUmgA1</t>
  </si>
  <si>
    <t>Envie de jouer🎲♟entre amis ou en famille ? 
Une place vous attend... ➡️ La médiathèque est ouverte 📖 📚actuellement jusqu'à 18h. ⛱ https://t.co/uCWXWDFTFo</t>
  </si>
  <si>
    <t>Une nouvelle sélection de mangas est disponible !!!
Il y en a pour tous les goûts: sorcière, extraterrestre, combats, jeux d'échecs, famille, amour, amitié, humour, animaux, magie... et les classiques de la littérature !
Venez en profiter.😁 https://t.co/9V89nfTZYb</t>
  </si>
  <si>
    <t>Aujourd'hui, zoom sur "Dogrel" de Fontaines D.C. #FontainesDC. Espace Cinémusique : https://t.co/FrEqlfq0EK https://t.co/uNqKFClNih</t>
  </si>
  <si>
    <t>Offres partenaires 2019 / 2020 https://t.co/ikq2nJP6qF</t>
  </si>
  <si>
    <t>Nos formations en ligne https://t.co/jRTAFTMD1o</t>
  </si>
  <si>
    <t>Faces de Books : La chaîne Booktube Too Many Books https://t.co/QnCJpXOyWJ</t>
  </si>
  <si>
    <t>Votre bibliothèque reste ouverte aux horaires habituels jusqu'à la fin de l'été. Pour une sortie culturelle, nous vous conseillons fortement les expositions photos des 50è rencontres de la photographie à Arles. https://t.co/WniAmr5I39</t>
  </si>
  <si>
    <t>Fermeture estivale de la bibliothèque https://t.co/l0JQHTMryq https://t.co/gJW72WqAg1</t>
  </si>
  <si>
    <t>Actuellement à la médiathèque : août 2019 https://t.co/j3zDvCC7fE</t>
  </si>
  <si>
    <t>Que vous soyez sur les plages ou sur votre canapé, continuez en août de découvrir les chansons de l'été de vos bibliothécaires préférés ! ⛱🌞😊🎧#NowPlaying Sur écoute : nos chansons de l'été...(volume 2) by @MMSenlis ♪♫ ▷ https://t.co/VPSwAXH95c</t>
  </si>
  <si>
    <t>dernier article de #blog : https://t.co/UpRWpmJGLx 
retour sur la #VoiedesIndés 2018 avec 2 ITW @EditionsAttila et #editionsdeselephants #EditionIndépendante 
@bibparis @bibliocite 
et du 4 oct au 9 nov, nouvelle Voie des Indés ! 👀👀 #StayTuned https://t.co/BmD1uv9LON</t>
  </si>
  <si>
    <t>Bientôt!😀 https://t.co/9iTW7AZgsm</t>
  </si>
  <si>
    <t>Aujourd'hui, zoom sur "Un orage d'été" de Kazuo Iwamura. Espace Jeunesse : https://t.co/EKiK2Ue0uT https://t.co/zhkLmnEPnm</t>
  </si>
  <si>
    <t>JEUNESSE
Comme chaque semaine cet été, retrouvez-nous au square St Lambert mercredi entre 10h et 12h pour un moment de lecture et de partage. Et jeudi de 14h à 16h, venez @bibvaugirard tester nos nouveaux jeux ! https://t.co/GmcW1EksZY</t>
  </si>
  <si>
    <t>Lundi 29 juillet de 21h à 1h / Paris sous les étoiles au parc André Citroën
L’association française d'astronomie vous propose d'observer les étoiles dans le ciel. RDV sur le parvis au niveau des jets d'eau devant les serres (accès rue Balard) https://t.co/AsIuawwBS4 #PARIS15 https://t.co/hNBtzThfk5</t>
  </si>
  <si>
    <t>CANICULE : j’écris ton nom!
En raison des fortes chaleurs, la bibliothèque vous accueillera jusqu’à 17h00 uniquement jeudi 25 juillet.
Profitez de la fraîcheur de la clim chez nos collègues @bibYourcenar 😅 https://t.co/dvIy4IAXfZ</t>
  </si>
  <si>
    <t>En raison de l'alerte canicule (vigilance orange), les horaires du jeudi 25/07 seront exceptionnellement modifiés afin de vous accueillir dans les meilleures conditions : ouverture de 9h à 13h et fermeture l'après-midi.
#canicule https://t.co/YIPXaqirUL</t>
  </si>
  <si>
    <t>#AvengersEndgame fin alternative : Iron Man est abandonné à la médiathèque de Senlis et souhaite désespérément retrouver ses petits camarades. il attend les autres Avengers à l'accueil.😁 https://t.co/PixNxOyXhp</t>
  </si>
  <si>
    <t>Aujourd'hui, zoom sur "Western stars" de Bruce Springsteen. Espace Cinémusique : https://t.co/TLc3tZ8MJE https://t.co/NWb4Z8lNP8</t>
  </si>
  <si>
    <t>#Canicule : en raison des températures élevées enregistrées dans la bibliothèque, les horaires sont modifiés :
Mardi : 14h-17h
Mercredi : 14h-17h
Jeudi : FERMETURE
Retour à la normale vendredi
Veuillez nous excuser pour la gêne occasionnée
@BibParis https://t.co/9or5Uaj9HX</t>
  </si>
  <si>
    <t>Chers lecteurs/lectrices, en raison des très fortes chaleurs prévues cette semaine, les horaires de la bibliothèque sont adaptés. Mardi 23: 13-18h, mercredi 24: 12-17h. Nous vous tiendrons informés des horaires pour les jours suivants! En attendant: restez au frais au maximum! https://t.co/2o6LPt2Hs3</t>
  </si>
  <si>
    <t>Petites lectures rafraichissantes pour supporter la canicule🐧🐧🐧 https://t.co/ZFnILkbOFQ</t>
  </si>
  <si>
    <t>https://t.co/CgHTMXLN66</t>
  </si>
  <si>
    <t>MAGAZINE TCHIKA
bientôt un nouveau magazine pour les filles (et les garçons aussi) à emprunter en Jeunesse @tchika_mag @lisadol 😀 https://t.co/d3AmcCbZNp</t>
  </si>
  <si>
    <t>A emprunter @bibvaugirard et dans les #bib2paris @BibParis @PenelopeB 👏👍👌 https://t.co/rofDU6eoTy</t>
  </si>
  <si>
    <t>Que font les bibliothécaires quand les bibliothèques sont fermées???... Une réponse drôle et pédagogique sur le site de la médiathèque d'Epinay-sur-Orge:
https://t.co/MlwQQaCbN2 https://t.co/TeoOuPDOFp</t>
  </si>
  <si>
    <t>Venez vous détendre à la médiathèque durant tout l'été : ambiance climatisée, patio ombragé et ouvrages divers et variés pour une évasion garantie !
😊⛱🤩✳️🆒🆓💬📰📚😊⛱🤩
à noter : fermeture annuelle du 1er au 19 août inclus. https://t.co/gJt8k9cA3s</t>
  </si>
  <si>
    <t>L'association @GGoboni défend l'accès à la lecture et à la connaissance!  Leur projet: ouvrir des bibliothèques dans des villages et orphelinats  du Gabon😇Les dons de livres sont essentiels pour eux!!! Faites une  bonne action et donnez les vôtres! https://t.co/GeRihjTd9P</t>
  </si>
  <si>
    <t>Fonds patrimonial : suite de notre série sur les annonces des anciens hôtels d'#Hyères 🌞🏝️ https://t.co/5XS3ybmU1t</t>
  </si>
  <si>
    <t>✨L'été du médiabus 2019✨
Pour cette 5eme édition, notre magnifique médiabus et notre superbe équipe, motivée comme jamais, reviennent dans les parcs de la ville pour vous proposer de jolis moments de… https://t.co/ZGSCwrXHKQ</t>
  </si>
  <si>
    <t>Merci à Koffi Attis, créateur du jeu ABCQuid (médaille d'argent #concoursLépine 2015) pour sa  démonstration mardi à la #parlotte. Le jeu est destiné à tous les publics mais convient idéalement aux apprenants du français. #jeu #FLE @BibParis https://t.co/LVKRtpJdJN https://t.co/LmR7karAjd</t>
  </si>
  <si>
    <t>C’EST L’ÉTÉ Lectures dans le square Saint-Lambert : c’est le mercredi matin de 10h à 12h #BHLM #bib2paris https://t.co/ifn5CNuMfh</t>
  </si>
  <si>
    <t>Jeux en cours... toutes générations confondues!!!
Merci à tous et toutes d'être venu(e)s et rendez-vous la semaine prochaine🙃 https://t.co/EcVq0UzlGp</t>
  </si>
  <si>
    <t>Plongez dans les nuances de "Merveilleuses couleurs" pour y débusquer animaux, fleurs, plantes et autres surprises! Découvrez ce livre-jeu au graphisme envoûtant pour petits et grands! https://t.co/6DcAWDc4j3</t>
  </si>
  <si>
    <t>L’auteure jeunesse Susie Morgenstern : “En France, dès la maternelle, on pense à Polytechnique”  https://t.co/TAjGGRvkFg</t>
  </si>
  <si>
    <t>#VENDREDILECTURE
Le Chant d'Achille / Madeline Miller
Centré sur la relation plus que fraternelle qui lia Achille et Patrocle, ce roman retrace leur enfance puis les épreuves qu’ils affrontèrent sans pourtant jamais se séparer. Émotion garantie!
https://t.co/BgCWsP7ZqK https://t.co/SoFyMZ6adA</t>
  </si>
  <si>
    <t>Cet été, nous partageons avec vous nos souvenirs de vacances...Elles ont rythmé nos vacances, sont associées à un moment important ou sont des tubes planétaires : voici nos chansons de l'été ! 👩‍🎤😎🏖#musique #NowPlaying ♪♫ ▷ https://t.co/arf8FXSf6c</t>
  </si>
  <si>
    <t>Et si on jouait tous ensemble??? Quel que soit votre âge (7 à 77 ans et plus !) venez seul, avec vos enfants, parents, grands-parents, amis, animaux de compagnie (non là on blague!)... pour des séances de jeux de société! TOUS LES MERCREDIS DE l'ETE de 14h à 16h! https://t.co/9tjoawLKpe</t>
  </si>
  <si>
    <t>Les polars de l'été 2019 https://t.co/gJMVzSS7VF</t>
  </si>
  <si>
    <t>PARTIR EN LIVRE
Du 10 au 21 juillet, participez à cette manifestation gratuite et festive pour partager le plaisir de lire entre petits et grands. Tout le programme https://t.co/d7vyUL2FYo @partirenlivre</t>
  </si>
  <si>
    <t>#aprèsmidis #jeuxvidéo En ce moment pendant les vacances, 😎🏖️ à la médiathèque sur la console Wii U🎮🕹 branchée sur le tableau numérique ! https://t.co/hFLrDF7OIZ</t>
  </si>
  <si>
    <t>A la Une : des idées de lecture à retrouver tout au long de l’été… https://t.co/Sri6w57wsv https://t.co/m879aAE09t</t>
  </si>
  <si>
    <t>Médiathèque de #Douarnenez : les horaires d'été. https://t.co/yO0FZBcdCl</t>
  </si>
  <si>
    <t>#Atelierdeconversation : ça continue pendant l'été ! 
Français : mardi 17h30
Espagnol : jeudi 17h30
Anglais (seulement en juillet) : vendredi 17h
#pratiqueteslangues #languesvivantes @BibParis https://t.co/3L6tDKnitP</t>
  </si>
  <si>
    <t>Voici le Côté Méjanes pour juillet et août !!!
https://t.co/caZOX6LgrS https://t.co/QjaGXJnfY9</t>
  </si>
  <si>
    <t>Cet été, réservez vos valises au transport de votre collection de tongs☀️⛱...et transportez votre bibliothèque dans une seule liseuse ! Nous vous prêtons des liseuses vides ou déjà chargées de nombreux classiques de la littérature📚🙌
#livres #Vacances https://t.co/dCTQVqo1j2</t>
  </si>
  <si>
    <t>https://t.co/4FpLHBfy9K</t>
  </si>
  <si>
    <t>Hier, aux #ateliersdelarépublique, avec le #calligrapheur Mohamed Rahmouni... Merci aux participant.e.s de tous les âges d'avoir partagé ce moment créatif !! @BibParis @mairie18paris #paris18 #bibdequartier #calligraphie https://t.co/ayrzJmAzec</t>
  </si>
  <si>
    <t>Fermeture exceptionnelle mardi 9 et mercredi 10 juillet.
Merci de votre compréhension https://t.co/E8Djm368Xm</t>
  </si>
  <si>
    <t>Un souffle de nouveautés… https://t.co/aNAypJeqW7 https://t.co/c0eooFnu9K</t>
  </si>
  <si>
    <t>A la Une : des idées de lecture à retrouver tout au long de l’été… https://t.co/grFoePjpye https://t.co/2F1jA9OMlU</t>
  </si>
  <si>
    <t>Exposition en préparation… https://t.co/YHaWxncENd https://t.co/fZxu4vEVuR</t>
  </si>
  <si>
    <t>Prix des lecteurs du Var 2019 https://t.co/OSyR6iv5yL</t>
  </si>
  <si>
    <t>LECTURES LES PIEDS DANS L’HERBE
1ère séance mercredi 3 juillet 10h-12h
Retrouvez-nous tout l’été le mercredi de 10h à 12h au square Saint-Lambert. Petits et grands, venez lire et écouter des histoires les pieds dans l'herbe ! https://t.co/O1qe1vN0MQ https://t.co/Kd5vFmiN5J</t>
  </si>
  <si>
    <t>La fête de la Jeunesse se chauffe au soleil 😉⁦@mairie15⁩ https://t.co/qhi8R7PEIJ</t>
  </si>
  <si>
    <t>#VendrediLecture Quand un western crépusculaire rencontre "Au coeur des ténèbres", ça donne l'excellent "Butcher's Crossing". Bonus : l'évocation de l'hiver dans les montagnes du Colorado en fait une lecture idéale en période de canicule😁🥶 https://t.co/8pgXEOO4wR</t>
  </si>
  <si>
    <t>Jeudi 4 juillet à 17h00, venez vous initier à la #calligraphie avec le street artiste #MohamedRahmouni dans le cadre des Ateliers de la République de la mairie #paris18 #streetart #streetartiste #atelier #creativité @BibParis @mairie18paris https://t.co/1N2smWPq7w</t>
  </si>
  <si>
    <t>Information de dernière minute ! https://t.co/SSYJ1MM3iS https://t.co/3f5pdElIcc</t>
  </si>
  <si>
    <t>C'est demain ! La Samar Traditional Sudanese Band va nous faire danser!☀️🌍🕶 On vous attend à partir de 14h30 sur l'esplanade devant la bibliothèque !🎼🎉 https://t.co/vBRK9nlUfO</t>
  </si>
  <si>
    <t>Kveikur du groupe Sigur Ros https://t.co/6qw2K92MrF</t>
  </si>
  <si>
    <t>A partir du mercredi 3 juillet, la médiathèque adopte son rythme d'été ! 🏖 🙌🙌Vous pourrez emprunter 2 fois plus de documents pendant une durée de 6 semaines, hors nouveautés :
- 10 livres
-10 revues
-6 dvd
-6 cd.
#été https://t.co/pfxEAsoOok</t>
  </si>
  <si>
    <t>INFO IMPORTANTE : 
demain mercredi 26 juin : 
la médiathèque sera ouverte uniquement le matin de 10h à 12h. https://t.co/ljsf88YUUh</t>
  </si>
  <si>
    <t>LES BIBLIOTHÉCAIRES EN FONT DES HISTOIRES
Comme un petit air de vacances à la bibliothèque ce matin ! En juillet et en août, retrouvez-nous au square St-Lambert dès mercredi 3 juillet de 10h à 12h #BHLM @BibParis @bibliocite https://t.co/bSR5EgQMCr</t>
  </si>
  <si>
    <t>Actuellement à la médiathèque : semaine 26 https://t.co/6rCqcdvWD5</t>
  </si>
  <si>
    <t>C’est déjà la fête de la musique sous nos fenêtres @bibvaugirard #fetedelamusique2019 @BibParis  https://t.co/JvZXHwhDhd</t>
  </si>
  <si>
    <t>FÊTE DE LA MUSIQUE vendredi 21 juin
ELECTRO Des labels de musique électronique mis en avant dans les fonds de vinyles empruntables des bibliothèques #bib2paris
https://t.co/lnXpcBmJNr https://t.co/cbk8faOOZQ</t>
  </si>
  <si>
    <t>Open game https://t.co/iqXDqnJLu8 https://t.co/mjRD0ps8jM</t>
  </si>
  <si>
    <t>Prix des lecteurs médiathèque, résultats https://t.co/zCmpqoiXL2 https://t.co/JAx9UDrsZa</t>
  </si>
  <si>
    <t>Clémentine Beauvais, dont le livre "Ameline, joueuse de flûte" a gagné le prix MOTAMO 2019 dans la catégorie "textes illustrés", a transmis ses remerciements aux jeunes participants par vidéo.Merci Clémentine !😄  https://t.co/39KQ0VKi75 via @YouTube</t>
  </si>
  <si>
    <t>#mercrediBD Popeye : un homme à la mer d'Ozanam &amp;amp; Lelis
Cette BD revisite avec brio le célèbre marin borgne grâce à un graphisme aux teintes décolorées et une toile de fond profondément sociale.
https://t.co/8ERMLBQJit https://t.co/mhYOt25StM</t>
  </si>
  <si>
    <t>Le prix MOTAMO, c'est fini 🥳📚🏆 ! Les élèves ont proposé un retour sur leur expérience lors de la dernière rencontre, chaque classe à sa manière ! Pour les CM1 de l'école élémentaire Argilière, MOTAMO c'est...
#livres #Prix https://t.co/O3ExxUQ3rK</t>
  </si>
  <si>
    <t>C'est ce soir à 19 heures !!!! Concert acoustique. https://t.co/yJIg736bT0</t>
  </si>
  <si>
    <t>Aujourd'hui, zoom sur "Heureux comme Lazzaro" d'Alice Rohrwacher. Espace Cinémusique : https://t.co/9jziNQ7QxI https://t.co/DfdBLEdxR3</t>
  </si>
  <si>
    <t>Un sujet super intéressant, surtout quand on passe des concours👍@BiblioConcours https://t.co/35xwtegbc7</t>
  </si>
  <si>
    <t>SPECTACLE
 "Le changeur de monde" a fait salle comble samedi dernier et a enchanté le public. MERCI @mairie15 qui nous a prêté une salle. Le festival "Les 15 cents coups" est organisé par le Centre des Arts de la Scène en partenariat avec @mairie15 https://t.co/DgvCKVzEGV https://t.co/kdBajbtH4T</t>
  </si>
  <si>
    <t>LECTURES ENFANTS Dernier RDV avant l’été samedi 22 juin 11h I 12h : Les bibliothécaires en font des histoires ! 📚👍 Puis ce sera les lectures dans le square St-Lambert le mercredi matin de 10h à 12h #BHLM #BIB2paris  https://t.co/KtaX5NYKvu</t>
  </si>
  <si>
    <t>Lecture publique en rythme
A noter ! SPOKEN WORDS à la médiathèque;📚
Après la fête de la Musique, les mots, cadencés🎷... samedi 22 juin à 16h.
Il se passe toujours quelque chose à la médiathèque... https://t.co/49RWR6QUXh</t>
  </si>
  <si>
    <t>[Pause sélec–Cycle explorateurs /exploratrices] – Samedi 22 juin en salle jeu video explorez des îles méconnues : #Kalimba, #Finalis, C-Island et bien plus encore! #VR, #retrogaming #transmediaattitude @FestivalNumok  @BibParis @bibliocite @bibYourcenar @bibCanopee https://t.co/vnFRbv1zA9</t>
  </si>
  <si>
    <t>⚠️ ALERTE AU PHISHING ! ⚠️
Si vous recevez un mail envoyé depuis l'adresse de la médiathèque ressemblant à celui-ci, supprimez-le immédiatement ! La médiathèque ne propose en aucun cas l'achat et le paiement en ligne... https://t.co/T524ePPDMX</t>
  </si>
  <si>
    <t>Le prix MOTAMO 2019, c’est terminé. 
Les titres gagnants ont été dévoilés…📚
108 jeunes ont cette année lu les titres en compétition et ont voté. 🙋‍♀️🙋‍♂️
Retrouvez tout sur le prix sur notre site internet : 
https://t.co/HUIzhivGRk
#livre #lecture https://t.co/PlVipsChdS</t>
  </si>
  <si>
    <t>Semaine “Bébés joueurs” https://t.co/9cm3cRHPnS https://t.co/kFqBXdEUJp</t>
  </si>
  <si>
    <t>Ce matin, les bibliothécaires Gwénaëlle, Julie et Julie 😀 étaient sur les pas de la reine Margot (si!si!) à la @bibforney. Merci aux collègues pour la visite et la magnifique exposition consacrée à Jacqueline #Duhême ! @BibParis @bibliocite #bibliothèquespécialisée https://t.co/vfPxHBkiOR</t>
  </si>
  <si>
    <t>[Cycle Partir-explorateurs, exploratrices 🎒] #ProjectionFilm "𝐇𝐢𝐦𝐚𝐥𝐚𝐲𝐚, 𝐥'𝐞𝐧𝐟𝐚𝐧𝐜𝐞 𝐝'𝐮𝐧 𝐜𝐡𝐞𝐟" 🗺🏔DEMAIN 16H00 à la bibliothèque @BibHavel ! +7ans #QuêteInitiatique #PrixCésar2000 #Nepal</t>
  </si>
  <si>
    <t>SQUARES EN FÊTE 
Vendredi 14 juin 17h I 19h
Square Saint-Lambert 2 rue Jean Formigé
" Mangez sain à Saint-Lambert " https://t.co/k69qLNpNgz</t>
  </si>
  <si>
    <t>https://t.co/nkO61jq4CS
#JacquesBonnaffé lit #JosephPonthus à la médiathèque de #Douarnenez le 20/06. Places à retirer à l'Espace Culturel de Toubalan.</t>
  </si>
  <si>
    <t>Un avant-goût des nouveautés musicales du mois, à écouter dès maintenant à la médiathèque !🎧🥳 #NowPlaying Nouveautés musicales - Juin 2019 by @MMSenlis ♪♫ ▷ https://t.co/4eQ05LTBSc</t>
  </si>
  <si>
    <t>Un beau moment de partage autour des livres Gingo, Max et Orphelins 88... Merci à Sarah Cohen-Scali d'être venue rencontrer les super collégiens de Moulin des Prés!!! https://t.co/ZuXiZEIg0B</t>
  </si>
  <si>
    <t>Des animaux très originaux... à l'occasion de l'atelier proposé par l'illustratrice Junko Nakamura😊 https://t.co/4RGS8tC9ZW</t>
  </si>
  <si>
    <t>« Noble pourriture » : exposition photographique tout l’été à la bibliothèque ⁦@bibvaugirard⁩  https://t.co/MLEF3xj3NP</t>
  </si>
  <si>
    <t>https://t.co/Ch5Yx2jl6V</t>
  </si>
  <si>
    <t>Vendredi Amina notre #servicecivique nous a présenté la balade du #quartier, faite par ses apprenants-guides ! Merci à eux et à #MichaelMosset et #NausicaPreiss pour leur formidable travail de mise en image et en son #bibdequartier #LaChapelle #Paris18 @BibParis https://t.co/l3KJFQuAG6</t>
  </si>
  <si>
    <t>ATELIER PARTICIPATIF - "La bibliothèque de demain"
Nous vous invitons à participer à une journée d’ateliers pour réfléchir et imaginer ensemble ce que pourraient être les bibliothèques de demain. Parrainée par Christophe Evans.
Bibliothèque Méjanes - Espace Jules Isaac https://t.co/ykCWaLAr8s</t>
  </si>
  <si>
    <t>Aujourd'hui, zoom sur "Migrant" d'Eoin Colfer et Andrew Donkin, illustré par Giovanni Rigano. Espace Jeunesse : https://t.co/gn02UlD71w https://t.co/aXeJHL4c1B</t>
  </si>
  <si>
    <t>PRÊT VACANCES du 11 juin au 17 août
vous pouvez emprunter jusqu'à 20 documents (livres et liseuses) pour une durée de 6 semaines ! 😎#bib2paris https://t.co/DetvftNvpy</t>
  </si>
  <si>
    <t>Léo 1944, un adolescent dans la tourmente de 1944 - Archives de la Manche 
et des livres sur ce sujet dans vos bibliothèques #bib2paris https://t.co/Drk9Oikf6Z</t>
  </si>
  <si>
    <t>SAMEDI 8 juin : les bibliothèques de Paris sont fermées (c’est férié : Pentecôte) #bib2paris
➡️ RDV mardi aux horaires habituels https://t.co/eJBJv4po38</t>
  </si>
  <si>
    <t>Actuellement à la médiathèque : semaine 24 https://t.co/j9xruG06GK</t>
  </si>
  <si>
    <t>▶️Découvrez l'EXPO-PHOTOS des 20 ans du Bagad @KevrennLocmine jusqu'au  26 juin. ✏️Ambiance musicale garantie le samedi 22 juin à partir de 17h  avec l'association Sonerion 56 ! https://t.co/iXOjxQVxZ6</t>
  </si>
  <si>
    <t>C'est le moment de bouger la tête avec la playlist "Sur écoute" spéciale Métal de ce mois de juin ! 🤘
De Gojira en passant par nos amis masqués de Slipknot, venez réécouter ou découvrir cette sélection de morceaux aux guitares saturées ! 🎸
https://t.co/ki7TiW3Cf7</t>
  </si>
  <si>
    <t>Demain, la bibliothèque est fermée, on se retrouve mardi à 14h ! #lundidepentecôte #samediauparc https://t.co/877bcMcJDd</t>
  </si>
  <si>
    <t>DEMAIN !✍️😊à  14h30
#AtelierEcriture
Les débutants et les curieux sont les bienvenus.
#Lire et #partager des textes.
Jouer avec les #mots, #inventer, #écrire #ensemble à partir d'une proposition...
Entrée libre. https://t.co/hxYgQVXmdp</t>
  </si>
  <si>
    <t>Edith Wharton, une romancière américaine en France https://t.co/RpeIYXlh1A https://t.co/lMLfrent58</t>
  </si>
  <si>
    <t>🎮 [Salle jeux video] / A vos agendas ! 😉 Il n'y aura pas de séances de jeux vidéo le jeudi 14, le vendredi 15 et le samedi 16 juin, toute la journée, pour cause d'inventaire. 🎮 Veuillez nous excuser pour la gêne occasionnée.</t>
  </si>
  <si>
    <t>▶️Ce soir à 18h dans l'auditorium de la médiathèque de Locminé, venez découvrir le spectacle : "Le vieux Néon éclaire le monde" A partir de 8 ans. Sur inscription. #réseauLeMaillon Il reste des places ! https://t.co/NfEKjTsz9Y</t>
  </si>
  <si>
    <t>Une histoire de pont par @ActionBarbes sur le pont du boulevard  de La Chapelle, encore appelé Pont saint-Ange...mais pourquoi? https://t.co/FIVS9oTMKD #LaChapelle</t>
  </si>
  <si>
    <t>Pas si conservateurs les conservatoires de musique  - Musiques - https://t.co/dIzvAp9z7b https://t.co/xiRFcJDVAb</t>
  </si>
  <si>
    <t>Kiosques en fête : square Saint-Lambert
DIMANCHE 2 JUIN de 16h30 à 18h30 HIP HOP PARC #DANSMONQUARTIER #PARIS15 https://t.co/tKQmLJRlgd</t>
  </si>
  <si>
    <t>C'EST SUD!
Avec 29 spectacles programmés, vous serez invités à une déambulation sur le rythme d’une  programmation artistique pluridisciplinaire et ambitieuse. Du 7 au 9 juin!
Voici le programme complet : https://t.co/pQYKCZSvU6 https://t.co/rg38oZ2SMW</t>
  </si>
  <si>
    <t>Il nous reste quelques places pour l'atelier "4 animaux, 4 couleurs" de l'illustratrice Junko Nakamura, mercredi 5 juin à 14h30.  Nous attendons des enfants de 6 à 10 ans! Contactez nous vite! (bibliothèque.italie@paris.fr ou 01 56 61 34 30) https://t.co/klrIBGCjbh</t>
  </si>
  <si>
    <t>Le dernier journal du gamer est en ligne sur youtube : https://t.co/JAAil9gjEw 
  Dans ce numéro, on s'interroge sur l'image des femmes dans les jeux  vidéo et des héroïnes plus généralement. Nos membres du 12+ nous font  part de leur vision. 🎮🤔</t>
  </si>
  <si>
    <t>#vendredilecture Exercices de style de Raymond Queneau
Une scène de la vie quotidienne dans un bus allègrement et brillamment déclinée 99 fois. Un bijou ludique et hautement littéraire !
A emprunter @bibvaugirard https://t.co/uy5pvju9eZ https://t.co/dXXtFlQCQk</t>
  </si>
  <si>
    <t>Vu à la bibliothèque Italie : une girafe et tous ses petits camarades, venus nous offrir le joli spectacle "En route pour la garderie"... Merci à Sandrine Ambert pour ce moment de douceur et d'humour avec notre petit public! https://t.co/IoDc7QraKF</t>
  </si>
  <si>
    <t>Nos formations en ligne https://t.co/9BaYqBMSZp https://t.co/xTjeOJ6nVJ</t>
  </si>
  <si>
    <t>Aujourd'hui, zoom sur "Burning" de Lee Chang-dong. Espace Cinémusique : https://t.co/URCowb3yI7 https://t.co/XMWmUSw81Q</t>
  </si>
  <si>
    <t>▶️Demain, rendez-vous à 11h pour Les p'tites histoires ! 
Pour les enfants🧒👧👦 de + 3 ans accompagnés de leurs parents.
Inscription recommandée. https://t.co/snVLbx7uhm</t>
  </si>
  <si>
    <t>Avant dernier jour pour profiter de nos animations #numériques :)
On vous attend donc aujourd'hui jusqu'à 19h
et demain de 10h à 12h et de 14h à 18h :)
#Maidunumerique #médiathèque #2019 https://t.co/XvCVHrAUNK</t>
  </si>
  <si>
    <t>Bientôt, le dernier Café-Lecture avant l’été… https://t.co/Hm4VI5wkFc https://t.co/8TdiGGjRn8</t>
  </si>
  <si>
    <t>#DavidLafore à Mollégès !
« Il a la naïveté provocante des doux cinglés qui posent des questions aussi farfelues qu'essentielles »  André Manoukian France Inter
« Les codes du spectacle volent en éclats. Une inclassable bouffée d'air frais »Marie-Catherine Mardi Télérama. https://t.co/WDe7xEHRKd</t>
  </si>
  <si>
    <t>Les collections des grands hôtels hyérois https://t.co/AJLAweE9N0</t>
  </si>
  <si>
    <t>#VendrediLecture 3-en-1 pour une histoire d'amour et de vengeance❤️💔 : le très bon 🎬 "Mademoiselle de Joncquières", et sur papier ou sur liseuse le récit dont le film est contenu, dans le virevoltant "Jacques le fataliste et son maître" de Diderot.📖 https://t.co/ikCCqzv79I</t>
  </si>
  <si>
    <t>#vendredilecture : Mamie Luger / Benoît Philippon
Ce huis-clos oppose Berthe, centenaire quintuple veuve dotée d'une gouaille insolente et d'une cave remplie de cadavres à l'inspecteur Ventura flanqué de son basset Dirty Harry. 
A emprunter @bibvaugirard https://t.co/zUQr29jSQm https://t.co/zB6cy5W0ny</t>
  </si>
  <si>
    <t>Nos formations en ligne https://t.co/8JQJhDlaxu</t>
  </si>
  <si>
    <t>Hier un petit lecteur a absolument tenu à nous offrir un de ses propres livres... pour s'excuser d'en avoir abimé un appartenant à la bibliothèque... 😍😍😍C'est ce genre de petits moments qui rend notre métier si merveilleux et redonne foi en l'humanité! https://t.co/6qdo9LLwWj</t>
  </si>
  <si>
    <t>Aujourd'hui, zoom sur "La théologie du sanglier" de Gesuino Némus, traduction de l'italien par Marguerite Pozzoli. Espace Grand public : https://t.co/jD70j7X7TG https://t.co/Mw9LV6O4t0</t>
  </si>
  <si>
    <t>PIANO I C’est ce jeudi de 18h à 19h🎹 https://t.co/qUgZbWI5nS</t>
  </si>
  <si>
    <t>💚🧡MAI du NUMÉRIQUE💜💙jusqu'au 29 mai ☺️
-Se prendre pour un aigle avec le casque à Réalité Virtuelle 🦅🎮
-S'initier au codage informatique avec #Sphero, robot connecté🧿😉
-Remonter le temps en jouant sur le #Bartop, mini borne d'arcade 😁🎰
-Découvrir des applis sur #Ipad https://t.co/N49JH6zwZE</t>
  </si>
  <si>
    <t>SPECTACLE Ambiance tamisée pour les petit.e.s @bibvaugirard ce matin! https://t.co/ARS7qP6fAA</t>
  </si>
  <si>
    <t>#SpectaclePetits Pour suivre le ballon lâché dans le ciel, c'est demain 18 mai à la bibliothèque! Du #PopUp au #Théâtre avec la 𝐂𝐨𝐦𝐩𝐚𝐠𝐧𝐢𝐞 𝐝' 𝐎𝐛𝐣𝐞𝐭 𝐃𝐢𝐫𝐞𝐜𝐭 @BibParis @BibHavel</t>
  </si>
  <si>
    <t>C’est demain! https://t.co/0ldkMtQAqT</t>
  </si>
  <si>
    <t>Rencontres avec des personnes remarquables https://t.co/td66JO0n89 https://t.co/sRuR02E1gu</t>
  </si>
  <si>
    <t>Aux livres les petits ! https://t.co/05dnp4VTSI https://t.co/Xp4LAkkzgf</t>
  </si>
  <si>
    <t>Musique et cinéma : du nouveau ! https://t.co/TWR6fFRqhm https://t.co/iFdHV9zbMN</t>
  </si>
  <si>
    <t>Tout est prêt pour les votes ! Merci au service technique de la mairie pour leur aide précieuse ! https://t.co/tVCwR43zko</t>
  </si>
  <si>
    <t>On monte le son avec le nouvel extrait de notre playlist maritime de mai : les métalleux d'Iron Maiden adaptent "la Complainte du vieux marin" de Samuel Coleridge, une sombre histoire de marin maudit et de vaisseau fantôme...#musique #poésie 
 https://t.co/PFbN0ffrdy via @YouTube</t>
  </si>
  <si>
    <t>📌Pour ceux qui révisent, redécouvrez 542 ouvrages classiques de littérature francophone en ligne, en pdf ou en epub #classique
▶️https://t.co/ksIhxx8qiP https://t.co/MfYwliBC2G</t>
  </si>
  <si>
    <t>Et un atelier d’écriture @bibvaugirard @BibParis 👌 https://t.co/cN7VutBTne</t>
  </si>
  <si>
    <t>Expo Photos (Archi) minimaliste de Carlos Sauvageot à découvrir jusqu'au 28 mai ! https://t.co/T1t4lJSqjQ</t>
  </si>
  <si>
    <t>La semaine prochaine venez plier du papier aux ateliers "Origami" ! Inscrivez-vous pour découvrir cet art et partager un moment ludique et créatif ! 
#Origami 
Gratuit sur inscription : 03 44 32 04 00 / bibliotheque@ville-senlis.fr https://t.co/ovShAyInlr</t>
  </si>
  <si>
    <t>Quand nos usagers nous font des cadeaux 🤩🥳 #AtelierBD #VaclavComix @BibHavel https://t.co/td0IDNYAxP</t>
  </si>
  <si>
    <t>Dernier “Clap Ciné !” avant l’été, profitez-en ! https://t.co/acFeqeg6ZV https://t.co/aBsaBH87Mi</t>
  </si>
  <si>
    <t>#Conférence  La signification des couleurs, 
donnée par Coralie Bernard, historienne de l'art.
Samedi 18 mai 2019 à 15h30
GRATUIT - sur réservation au 04-90-24-20-80
https://t.co/oi869Cnfcj https://t.co/kTaqh3FTxe</t>
  </si>
  <si>
    <t>Aujourd'hui, zoom sur "Récidive : 1938" de Michaël Foessel. Espace Grand public : https://t.co/RmWYkAN7uX https://t.co/6RwTVLEhCe</t>
  </si>
  <si>
    <t>#Atol et la #Régalide : 2 groupes bien motivés pour participer au #Mai du #Numérique 2019 !
à découvrir à la #médiathèque jusqu'au 29 mai :) https://t.co/ERPXgw3JSk</t>
  </si>
  <si>
    <t>Les ateliers Origami c'est bientôt ! Inscrivez vous et venez vous essayer à l'art du pliage ! 👐
Mercredi 22 mai pour les enfants à partitr de 8 ans.
Samedi 25 mai pour les ados et adultes.
Gratuit sur inscription en médiathèque ou 03 44 32 04 04 / bibliotheque@ville-senlis.fr https://t.co/Jt97XckK7B</t>
  </si>
  <si>
    <t>FESTIVAL D'ART LYRIQUE 
"Récital duo nitescence"
Marie-Laure Garnier (soprano) et Célia Oneto-Bensaïd (pianiste) s’inspirent de la programmation 2019 du Festival d’Aix pour vous proposer ce récital pédagogique autour de la voix lyrique.
Jeudi 9 mai 16h30 - Bibliothèque Méjanes https://t.co/0rvEkvU4lA</t>
  </si>
  <si>
    <t>2e extrait de notre playlist à teneur maritime "Sur écoute" de mai : Salvatore Adamo se met au hip-hop (et oui😮) en reprenant avec le rappeur bruxellois Eddy Ape un de ses classiques, "Les filles du bord de mer"...🎧 https://t.co/bsUmdL04rY via @YouTube</t>
  </si>
  <si>
    <t>N'oubliez pas à 15h30 😊
🎬"Grand Ecran" 🎬
Projection d'un film japonais de 2015 (durée 1h53)
ENTRÉE LIBRE et GRATUITE😉 https://t.co/NEhIC4ObDL</t>
  </si>
  <si>
    <t>C’est chez nos collègues @bibYourcenar #bib2paris du 15e 👍 https://t.co/yUD1XpMvoK</t>
  </si>
  <si>
    <t>Le monde de l'édition jeunesse est tellement vaste qu'il est facile de s'y perdre : pour vous aider à vous repérer, rien de tel que d'en discuter !📚😁 Rdv samedi 18 mai à 10h pour le prochain comité de lecture jeunesse.
#livres #jeunesse https://t.co/IN3zV89e9J</t>
  </si>
  <si>
    <t>https://t.co/IFPUyC4q5g</t>
  </si>
  <si>
    <t>EXPLORATEURS, EXPLORATRICES @BibParis @bibliocite 
@bibvaugirard RDV avec Catherine Poulain mardi 14 mai | 19h00
LES BALADEURS : dans ces podcasts, des aventurier.e.s racontent leurs voyages en suivant le fil de leurs émotions
https://t.co/UFSctvuHnl https://t.co/PhSPm0qsh0</t>
  </si>
  <si>
    <t>Pour remplacer les livres de Neil Gaiman partis comme des petits pains... Des livres sur l'Inde: thème du prochain club de lecture "ITALIRE"... https://t.co/AsmyCwin65</t>
  </si>
  <si>
    <t>Succès pour la table de présentation autour de Neil Gaiman: aussitôt posés, aussitôt empruntés! https://t.co/7uTOzgqBQE</t>
  </si>
  <si>
    <t>#Douarnenez Samedi 4 mai, vous êtes cordialement invité(e)s au bibliocafé de 10h30 à 12h avec une sélection de livres sur le thème de la "nature profonde". Un moment convivial à partager pour parler de livres (entre autres) https://t.co/FZNwGKOjal</t>
  </si>
  <si>
    <t>#mercrediBD
Les vieux fourneaux t.5 : bons pour l'asile de Wilfrid Lupano et Paul Cauuet
Ce 5è opus débute sur les chapeaux de roues avec une manifestation du collectif "Ni yeux ni maître"...
A emprunter @bibvaugirard https://t.co/xeK9WfyHhx https://t.co/Pr8PEo12cf</t>
  </si>
  <si>
    <t>En MAI fais ce qu'il te plaît !
Tout savoir sur nos activités c'est par ici avec l'infolettre de mai
https://t.co/B6KHVrNrw3 https://t.co/Nsqa0oZtLZ</t>
  </si>
  <si>
    <t>"Nous avons rendez-vous"... mais avec qui? Où peut bien aller cette famille en plein milieu de la nuit?... Graphisme magnifique: un coup de coeur pour nous &amp;lt;3 https://t.co/SFfBsv6tlV</t>
  </si>
  <si>
    <t>#vendredilecture : "Sorcières - La puissance invaincue des femmes" /Mona Chollet
Autour du mythe de la sorcière, Mona Chollet s’attaque aux stéréotypes et au rapport de domination des hommes sur les femmes jusqu’à nos jours. https://t.co/Dx06n62E6q https://t.co/zP6R5AhNWo</t>
  </si>
  <si>
    <t>#mercrediBD : Punk Rock Jesus de Sean Murphy
Une société de production américaine décide de lancer une émission de télé-réalité mettant en scène un clone de Jésus Christ. 
Un comics nerveux et percutant à emprunter ou réserver @bibvaugirard https://t.co/O6H4Io7Jgh https://t.co/mK1w8Othr3</t>
  </si>
  <si>
    <t>Petit rappel ! c'est demain ! https://t.co/3NkHSOLJVF</t>
  </si>
  <si>
    <t>Envie de partager des comptines, des histoires avec vos enfants ? Venez à la médiathèque pour "Mercredi Youpi" le 15 mai ! 🎶👶📔👨‍👩‍👧‍👦
Mercredi 15 mai à 10h30 - Gratuit sur inscription - Enfant de 6 mois à 3 ans accompagnés. #conte #lecture https://t.co/aPmvJ1ZCRQ</t>
  </si>
  <si>
    <t>📢Ce mercredi à 11h, des histoires📚 pour les enfants👧🧒 de + 3 ans accompagnés de leurs parents. Inscription recommandée. Il reste de la place ! https://t.co/PtteQ3QRFE</t>
  </si>
  <si>
    <t>Cinéma : Paterson https://t.co/qhSKkXdF1v https://t.co/234UGlXccc</t>
  </si>
  <si>
    <t>Multimédia adultes https://t.co/M0tcfhbhso https://t.co/HCg5cqBS8m</t>
  </si>
  <si>
    <t>Partenariat : ouverture aujourd'hui à 14h des inscriptions pour le spectacle de danse flamenca "Catedral" qui aura lieu le samedi 22 juin 2019 à 22h à @ChateauvallonSN : https://t.co/PVWtsVXUsY</t>
  </si>
  <si>
    <t>https://t.co/mZ5Ldu7qKs</t>
  </si>
  <si>
    <t>A propos de deux ex-libris d'Edith Wharton https://t.co/XA8qhmr8ed</t>
  </si>
  <si>
    <t>Une thématique « explorateurs, exploratrices » que vous retrouverez bientôt aussi dans vos bibliothèques #bib2paris @BibParis https://t.co/wdrymCXBjq</t>
  </si>
  <si>
    <t>Le 9 mai top départ de l’expo sur les cartes 🧭 maritimes du monde. Découvrez les nombreux récits d’explorateurs 🔭, les livres de géographie datant du 16e au 18e siècle et le globe terrestre, un des trésors de la médiathèque. Infos pratiques: https://t.co/AWdr0B4bb4
#exposition https://t.co/mVVgG2CB0h</t>
  </si>
  <si>
    <t>Envie d'écouter des histoires avec vos enfants ? Venez à la médiathèque, il reste quelques places pour " Samedi, youpi" le 27 avril ! 🙌 📖 👨‍👩‍👧‍👦
Samedi 27 avril à 10h30 – Gratuit sur inscription – Enfants de 4 à 7 ans accompagnés. #lecture #Conte https://t.co/AQJfcvIrJs</t>
  </si>
  <si>
    <t>❤️❤️❤️ Gros coup de cœur pour ce blog qui a regroupé plusieurs illustrations pour rendre hommage à notre belle cathédrale Notre Dame de Paris
Voici quelques illustrations, vous pouvez en… https://t.co/RyLJwl4L9I</t>
  </si>
  <si>
    <t>Animations à ne pas manquer la semaine prochaine...😊
Mercredi 24 avril et Samedi 27 avril
- ENTRÉE GRATUITE - 
sur réservation pour les 2 spectacles de l'après-midi au 04-90-24-20-80 https://t.co/qZG65fD9Xv</t>
  </si>
  <si>
    <t>Rappelez-vous demain après-midi c'est Jeux de société à la médiathèque ! 🎲
Venez nombreux rencontrer les Joueurs Nés qui vont feront oublier que c'est la fin des vacances grâce à leur jeux ! 😁
De 14h30 à 17h
Entrée libre, gratuit / à partir de 3 ans accompagné https://t.co/aU8oINhznG</t>
  </si>
  <si>
    <t>#NotreDamedeParis #VictorHugo
L'œuvre intégrale à re-découvrir :
https://t.co/wKFSLZUftc</t>
  </si>
  <si>
    <t>#mercrediBD : "Elma, une vie d’ours" de Ingrid Chabbert et Léa Mazé
Elma vit dans la forêt avec un ours qu’elle considère comme son papa, mais il est temps de la ramener parmi les siens. À emprunter @bibvaugirard https://t.co/CvHLnPNj9D https://t.co/QIRzu09VXq</t>
  </si>
  <si>
    <t>La classe Ulis de Notre Dame du Sacré Coeur s'est prise au jeu et a réalisé des calligrammes. La maternelle Anne de Kiev à fait son choix avec divers albums. Les élèves de la classe de CM2 de l'école Anne de Kiev ont apprécié ces titres pour une initiation au voyage... en anglais https://t.co/Eve7nontxA</t>
  </si>
  <si>
    <t>Au comité de lecture jeunesse de la médiathèque, ce sont les jeunes qui donnent leurs avis...
Les élèves de la classe de CP/CE1 de l'école Argilière ont retenu ces titres. La balle jaune... à vivre ! 
Ourson le terrible et les dessins réalisés https://t.co/i3IJRDRb0X</t>
  </si>
  <si>
    <t>Envie d’écriture ? 🖊️Exercer votre plume en vous inscrivant à l’atelier d’écriture du samedi 27 avril, animé par l’écrivain Cédric Bonfils. 👨‍🏫Infos pratiques : https://t.co/Z6KupOD9Id
#écriture #atelier #écrivain https://t.co/z5fTk5mQLo</t>
  </si>
  <si>
    <t>A noter ! https://t.co/lgaJASx4dn https://t.co/v7fFE7DQpb</t>
  </si>
  <si>
    <t>@mairie15 🎼 https://t.co/Y8JJHlDfbS</t>
  </si>
  <si>
    <t>Le #DisquaireDay continue jusqu'à 17h à la bibliothèque, en parallèle du récital de l'association l'Ivresse des Livres sur la Grande Guerre ! #ExpoTardi https://t.co/3CWZtnhyDC</t>
  </si>
  <si>
    <t>Partenariat : dix ans et une centième ! https://t.co/P3j2S4tYeV</t>
  </si>
  <si>
    <t>LES BIBLIOTHÉCAIRES EN FONT DES HISTOIRES
c’est ce matin de 11h à 12h
https://t.co/Yi0R466XZV https://t.co/97IkKydh64</t>
  </si>
  <si>
    <t>#VENDREDILECTURE
"Le corps de ma mère" de Fawzia Zouari
"Il aura fallu le déclenchement de la révolution du Jasmin, en Tunisie, pour que la narratrice se décide à écrire sur sa mère"nous dit Boualem Sansal.
https://t.co/v5dyek06GU</t>
  </si>
  <si>
    <t>La dernière saison de GoT arrive🥳 : avant de découvrir enfin si les zombies des neiges seront vaincus ou si Westeros va se transformer en une station géante de sports d'hiver🥶, vous avez juste le temps de réviser vos classiques... https://t.co/LKWGVoOgZe 
#VendrediLecture #GoT https://t.co/Dk1MTVhgxG</t>
  </si>
  <si>
    <t>N'oubliez pas samedi prochain c'est Jeux de sociétés avec les Joueurs Nés ! 🎲
L'entrée et libre et gratuite de 14h30 à 17h alors venez en profiter ! 😁
#jeuxdesociétés https://t.co/q84EbpG7eF</t>
  </si>
  <si>
    <t>#ATELIER d’#ÉCRITURE
DEMAIN samedi 13 avril - 14h30 - 17h -
Lire et partager des textes. Jouer avec les mots, inventer, écrire ensemble à partir d'une proposition...
Les débutants et les curieux sont les bienvenus.
Entrée libre et gratuite https://t.co/HexqAT2ozo</t>
  </si>
  <si>
    <t>Venez passer avec nous l'après-midi en musique : découvrez nos coups de cœur d'avril dans notre dernière playlist "Sur écoute" 🎧
Pas d'indice sur le contenu, à vous de cliquer !😎 #musique
#NowPlaying Sur écoute - avril 2019 by @MMSenlis ♪♫ ▷ https://t.co/V7MyuVgcgQ</t>
  </si>
  <si>
    <t>Découvrez sur ce lien la nouvelle vidéo de notre réseau de bibliothèques d'Aix !
 https://t.co/WDUcbrYRHC
#bibliotheque #bibliothequemejanes #aixmaville</t>
  </si>
  <si>
    <t>Nous les avions reçus à la bibliothèque pour présenter et dédicacer leur BD "Perséus" ... Nous sommes très heureux d'annoncer qu'ils ont remporté le "Prix Découverte BD du festival d'Igny". Bravo à Didier, Thiên-Thanh et Antoine! Tous nos jeunes lecteurs attendent la suite!!! https://t.co/z0V4kmfZ70</t>
  </si>
  <si>
    <t>Séance de dédicaces à la bibliothèque Italie:) Merci aux auteurs de la bd Perséus et à la librairie Maruani pour ce très chouette moment! https://t.co/xvUrQRrmuI</t>
  </si>
  <si>
    <t>Nouveauté BD : coup de projecteur bien mérité sur Hedy Lamarr dans "La plus belle femme du monde". Actrice, productrice et inventrice géniale trop longtemps oubliée !
#livre #lecture #bd #feminisme #WonderWoman https://t.co/C6sVlUTt8t</t>
  </si>
  <si>
    <t>RENCONTRE avec Alfonso Salazar
Cette rencontre s'inscrit dans le cadre de la célébration des 40 ans de jumelages entre Aix-en-Provence et Grenade.
 📅Mardi 23 avril à 18h30 - Bibliothèque Méjanes
 Pour aller + loin:
 https://t.co/ObO4leR4fo https://t.co/D5PEIzKP83</t>
  </si>
  <si>
    <t>RÉVISE TON BAC - AVIS DE RECHERCHE
Nous cherchons des enseignants ou étudiants qui peuvent aider les élèves de 3e, de 1ère et de terminale en mai-juin pour leurs révisions du brevet et du bac ! https://t.co/eIrwYLxTko</t>
  </si>
  <si>
    <t>https://t.co/2jRcuyu4jh</t>
  </si>
  <si>
    <t>Au même instant sur la terre du 9 au 27 avril 2019 https://t.co/UwdmhFMFal</t>
  </si>
  <si>
    <t>Actuellement à la médiathèque : semaine 15 https://t.co/zecZpTNSQq</t>
  </si>
  <si>
    <t>JEUNESSE
Que ce soit des livres destinés aux parents et éducateurs ou des albums pour les plus jeunes, la pédagogie inspirée des idées de Maria Montessori est tout à fait en vogue https://t.co/QG7ztUlyts
Nous avons des livres sur le sujet @bibvaugirard https://t.co/zv039k1ZCk https://t.co/0f6YUVHWp7</t>
  </si>
  <si>
    <t>#Douarnenez Vous êtes cordialement invité(e)s au Bibliocafé ce matin de 10h30 à 12h avec une sélection de romans et de poésies sur le thème de l'apprentissage. L'occasion de discuter littérature et plus en toute convivialité. https://t.co/B1pUQR9woD</t>
  </si>
  <si>
    <t>Pour écouter les musiques de vos #jeuxvideo préférés, c'est demain : concert de l'Ensemble Phénix à 14 h à Vaclav Havel ! @LettresSorbonne @Sorbonne_Univ_ @BibParis #Geek #musiquedechambre</t>
  </si>
  <si>
    <t>Dès aujourd'hui 🙂
#FESTIVAL de #THEÂTRE à #Châteaurenard https://t.co/q3uvmooFrU</t>
  </si>
  <si>
    <t>Vous vous ennuyez le samedi après midi ? 😴
On a la solution pour vous ! 
Venez à la médiathèque le 20 avril de 14h30 à 17h pour profitez des jeux de sociétés animés par les Joueurs Nés ! 🎲
Gratuit entrée libre/tout public dès 3 ans accompagné. https://t.co/0UU55poA37</t>
  </si>
  <si>
    <t>Retour sur le dernier comité de lecture avec un échantillon des productions des enfants : leurs avis sur les livres, en mots ou en dessins. Ici : les CM2 de l'école Anne de Kiev. Retrouvez des avis plus détaillés sur notre site https://t.co/Drvh22o30s.
#vendredilecture #livre https://t.co/U4J6l1N1kR</t>
  </si>
  <si>
    <t>Fonds patrimonial : forever spring avec "The Florist  and pomologist" (1865) de Robert Hogg : https://t.co/qXOExbwcB9 https://t.co/9LeiyP0R4I</t>
  </si>
  <si>
    <t>https://t.co/70HTvO4vIS</t>
  </si>
  <si>
    <t>Venez partager vos coups de cœur lecture avec nous ❤️📚
Nous vous attendons pour ce moment de partage et de convivialité 😀le samedi 27 avril de 10h30 à 12h. C'est gratuit et sans inscription 👍#livre#lecture#adulte#partage#coupdecoeur https://t.co/28gbsUs412</t>
  </si>
  <si>
    <t>Jeudi 11 avril à 15h, rencontre avec l'auteur mauritanien @biosdiallo #bib2paris #littérature  #bibliotheque #francophonie @BibParis https://t.co/0Ef3ZlbbGL</t>
  </si>
  <si>
    <t>Il paraît que la musique stimule les plantes🌿🎧 : en ce début de printemps, offrez à vos végétaux préférés une cure de croissance en leur diffusant notre playlist des nouveautés musicales d'avril. De NTM à Joan Baez, la photosynthèse est assurée...
 https://t.co/b9XOmLp6oz</t>
  </si>
  <si>
    <t>Voici le programme d’avril : lectures, stop motion, jeux, piano @bibvaugirard https://t.co/VulRfKdfL2 https://t.co/B7M4nbwkEo</t>
  </si>
  <si>
    <t>▶️Apéro lecture📚📙📚 ce vendredi 5 avril à partir de 18h📌 
Partagez vos lectures et venez piocher des idées parmi les nouveautés de la médiathèque. Entrée libre. https://t.co/LXibRLZfGJ</t>
  </si>
  <si>
    <t>Pensez à réserver au 04-90-24-20-80 !🙂 https://t.co/RRM63CGJ5z</t>
  </si>
  <si>
    <t>Actuellement à la médiathèque : semaine 14 https://t.co/wwZjIAfTWK</t>
  </si>
  <si>
    <t>DEMAIN 15h30 https://t.co/asxI4lGxS6</t>
  </si>
  <si>
    <t>JEUNESSE
Petits poissons d'avril...ou pas !
https://t.co/G9CFlT0qq7 https://t.co/DqiOJaXIUm</t>
  </si>
  <si>
    <t>Retour sur le dernier comité de lecture avec un échantillon des productions des enfants : leurs avis sur les livres, en mots ou en dessins. Ici : les CP de l'école Anne de Kiev. Retrouvez des avis plus détaillés sur notre site https://t.co/Drvh22o30s.
#livres https://t.co/a4ZCd6oARu</t>
  </si>
  <si>
    <t>#Douarnenez Ce soir à 18h30, la soirée "Lire Perros" avec François Béchu et Thierry Gillybœuf est délocalisée à la salle des fêtes, place des Halles en raison de la fermeture prolongée de la médiathèque. https://t.co/VlJ5zo0TOj</t>
  </si>
  <si>
    <t>Ce doudou retrouvé ce matin à la médiathèque a perdu son humain(e) 😟 et l'attend à l'accueil. S'il vous semble familier, aidez-nous à les réunir !
#doudou #help https://t.co/ED9aK7aZfx</t>
  </si>
  <si>
    <t>Extrait de la playlist "Sur écoute" de mars : direction l'Afrique du Sud avec Bye Beneco, reprenant un chant kenyan des années 50, lui-même inspiré par un chanteur de yodel américain. Une rencontre improbable mais étonnamment hypnotique...👂 https://t.co/qViOBfsfCY via @YouTube</t>
  </si>
  <si>
    <t>Aux livres les petits ! https://t.co/g7K8NnrA1B https://t.co/rEQEp3jzVo</t>
  </si>
  <si>
    <t>Atelier d’écriture https://t.co/xygaZobJA4 https://t.co/RaRGuEl81c</t>
  </si>
  <si>
    <t>Cinéma : Jackie https://t.co/Ku5JFozWKC https://t.co/TQAGedNDWr</t>
  </si>
  <si>
    <t>Exposition Club Image MJC Teyran https://t.co/gKfeiA0yfh https://t.co/fD0BqVzHU5</t>
  </si>
  <si>
    <t>Exposition https://t.co/SQAv3CvCQQ https://t.co/zpYu51EDoN</t>
  </si>
  <si>
    <t>Aujourd'hui, zoom sur "Les voyages de sable" de Jean-Paul Delfino. Espace Grand public : https://t.co/KmcHc10Crw https://t.co/jhrUujaPb3</t>
  </si>
  <si>
    <t>▶️Atelier créatif de Pâques🐣🐰 :  samedi 20 avril de 14h à 16h 📌
Développez votre créativité avec la technique du #quilling. #papier
Sur inscription à la médiathèque. A partir de 8 ans. Gratuit. #Locminé https://t.co/QlQWk3x9n3</t>
  </si>
  <si>
    <t>Mercredi 3 avril à 15h30
📚MALLE aux HISTOIRES📚
Lecture d'albums pour les enfants de 3 à 6 ans.
🐾🧸💬🐾🧸💬🧸💬🐾🧸💬🐾🧸
Entrée libre et gratuite, inscrit ou non à la médiathèque.🙂 https://t.co/C9B45JjdwP</t>
  </si>
  <si>
    <t>#Douarnenez vendredi 29 mars à 18h30, soirée "Lire Perros" avec François Béchu et Thierry Gillybœuf : une manière de trouver un chemin de lecture dans l'oeuvre de Georges Perros @P_D_Poetes https://t.co/6EPCdcRpNU</t>
  </si>
  <si>
    <t>Partenariat : ouverture demain à 14h des inscriptions pour l'opéra lyrique "Eugène Onéguine" le vendredi 24 mai 2019 à 20h à l'@OperadeToulon : https://t.co/PVWtsVXUsY</t>
  </si>
  <si>
    <t>“Dis-moi Dix mots” : les lauréats du concours sont déolois !!! https://t.co/nWH58vzGzU https://t.co/ds09krWzHJ</t>
  </si>
  <si>
    <t>Aujourd'hui, zoom sur "Nick Cave : l'intranquille" de Christophe Deniau. Espace Grand public : https://t.co/kFRXHEB2Hz https://t.co/u9yo14spRR</t>
  </si>
  <si>
    <t>C’est aujourd’hui @mairie15 Vous en avez de la chance! https://t.co/O2nJkJWmEC</t>
  </si>
  <si>
    <t>LA GRANDE LESSIVE® est une installation artistique éphémère faite par toutes et tous autour de la Terre afin de promouvoir l’éducation, l’enseignement et la création artistiques et créer du lien social.
Jeudi 28 mars de 10h à 18h 📍Cité du livre
#lagrandelessive #aixmaville https://t.co/vJJrvPjOgt</t>
  </si>
  <si>
    <t>La médiation documentaire, c'est aussi auprès des pandas en peluche📚🐼
#livres #albums https://t.co/ks24vtWMJk</t>
  </si>
  <si>
    <t>C'est officiellement....
le #PRINTEMPS 
🌺🌷🌾🥀🌻🌿🌞🐝🐞👩‍🌾👨‍🌾
Alors, ....TOUS à vos #GRAINES ! 🙂
N'hésitez pas à venir en donner, en prendre, à échanger, à partager !
#grainotheque #fleurs #fruits #potager #plantations #BienEtre #ArtdeVivre
https://t.co/UqDK62rbtM https://t.co/8xvp9uP8CJ</t>
  </si>
  <si>
    <t>Aujourd'hui, zoom sur "Moi, Albert, détestateur de livres" d'Ingrid Chabbert, illustré par Guridi (sélection CP du Prix @LesIncos). Espace Jeunesse : https://t.co/om748n0pdy https://t.co/vV3sICVUiJ</t>
  </si>
  <si>
    <t>@VilleDeGeneve 👏 https://t.co/7H4y5W9fB9</t>
  </si>
  <si>
    <t>Fan de BD? Fan de mythologie? Rencontre les auteurs de la bande dessinée "Perséus" à la bibliothèque Italie le samedi 23 mars à 14h, si tu as entre 8 et 15 ans:) https://t.co/2sDfC4OB4x</t>
  </si>
  <si>
    <t>#vendredilecture : "La servante écarlate" / Margaret Atwood
Paru pour la première fois en 1985, cette dystopie glaçante connaît une seconde jeunesse du fait du succès de la série. Un roman choc à lire ou à relire, qui nous rappelle que nos libertés sont bien fragiles https://t.co/Eln52G2ISV</t>
  </si>
  <si>
    <t>Rendez-vous à 19h30 ! https://t.co/4LkGabtTor</t>
  </si>
  <si>
    <t>Un roman à ne pas rater parmi les nouveautés qui vous sont proposées ce mois-ci...
Un vibrant hommage à la vieillesse et à la transmission, merci Delphine de Vigan 👵❤️📖
Retrouvez résumé et avis sur notre site : 
https://t.co/uiYcTiIWMg
#romans #nouveautés #vieillesse https://t.co/0qKlrUzIeu</t>
  </si>
  <si>
    <t>Les inscriptions pour les prochains ateliers initia'tics sont ouvertes. 💻🖱4 cycles du 25/04 au 25/05 : initiation au tableur, à gmail, à la mise en page sur traitement de texte et au traitement de photos.
les places partent déjà très vite, n'attendez pas ! https://t.co/YkTpyCotxe</t>
  </si>
  <si>
    <t>▶️Capoeira avec l'asso Macac : 16 mars  📌13h30-15h30:  initiation pour adultes &amp;amp; enfants (à partir de 7 ans accompagné  d'un parent), sur inscription (tarif : 5 euros).  📌15h30-17h : Démo de Roda Capoeira 💃🕺
Il reste des places pour vous inscrire ! https://t.co/UFotC43D7E</t>
  </si>
  <si>
    <t>Conférence sur l'immigration italienne en Provence de 1860 aux années 1960 !
Inscription indispensable au 04.32.61.10.16 ou bibliotheque.molleges@orange.fr https://t.co/mwDg53bXCe</t>
  </si>
  <si>
    <t>Les prochaines séances de Clap Ciné ! https://t.co/L3OGow5QfF https://t.co/8f8NjadYzh</t>
  </si>
  <si>
    <t>A noter :
Vendredi 15 mars à 20h :
"Le Silence des autres, la justice contre l'oubli "
au #Cinéma Le Rex en partenariat avec la Ligue des droits de l'Homme  de Nord-Alpilles #Châteaurenard
Présentation, débat et échange assuré par Jean-Pierre DAUDET.
#LDH #Cinema #Almodovar https://t.co/Dsmdg8Gjs5</t>
  </si>
  <si>
    <t>Nouveauté vidéo à emprunter : "Hippocrate", une série avec de vrais stéthoscopes et des internes tentant de survivre à leur apprentissage de la profession 🏥💉😷...
#vidéo #série #nouveautés https://t.co/tsILKtVf6H</t>
  </si>
  <si>
    <t>Aujourd'hui, 18h, conférence #Sport et #philosophie : "Petite phénoménologie du #corps pédalant" par Olivier Haralambon, écrivain, philosophe et ancien coureur #cycliste (auditorium, entrée libre) https://t.co/S2LekeKD7b https://t.co/HwxZbvR4rK</t>
  </si>
  <si>
    <t>SALON DU LIVRE du 15 au 18 mars 
LES BIBLIOTHÈQUES DE PARIS AU SALON DU LIVRE
Sur place, ne ratez pas notre stand où seront présentés le réseau des bibliothèques, mais aussi de nombreux partenaires de la chaîne du livre https://t.co/DAXgoGc8XJ #bib2paris @BibParis https://t.co/dwuNQYFVLP</t>
  </si>
  <si>
    <t>PRINTEMPS de POÈTES : Jour J ! 
On vous attend nombreux ! 
#slam #Dizzylez #écriture #poésie https://t.co/80sfln9g7U</t>
  </si>
  <si>
    <t>#Douarnenez, trois semaines de #poésie. 
https://t.co/8MtQiZAvKt</t>
  </si>
  <si>
    <t>La lutte pour le respect des droits des femmes, c'est toute l'année ; aujourd'hui, c'est l'occasion de découvrir une (petite) partie de notre collection sur ce thème.
#journeedesdroitsdelafemme #JourneeDeLaFemme #InternationalWomensDay https://t.co/4vNhJdfNph</t>
  </si>
  <si>
    <t>Notre temps fort sur la "Parure: une histoire de la beauté?" débute le samedi 9 mars à la Méjanes et dans nos annexes!
Découvrez toute notre programmation dans ce lien : https://t.co/0pfr9Zhxd4 https://t.co/dvrYBhsJzY</t>
  </si>
  <si>
    <t>▶️Exposition d'instruments musique🎶 d'Amérique du Sud : 5 au 30 mars
▶️Capoeira avec l'asso Macac : 16 mars
 📌13h30-15h30: initiation pour adultes &amp;amp; enfants (à partir de 7 ans accompagné d'un parent), sur inscription (tarif : 5 euros). 
📌15h30-17h : Démo de Roda Capoeira 💃🕺 https://t.co/4kEB8qaNzw</t>
  </si>
  <si>
    <t>#mercrediBD : "Kong-Kong, le singe sur le toit"/Yann Autret et Vincent Villeminot
Abélard se lie d’amitié avec sa voisine Héloïse qui lui présente son ami Kong-Kong, un singe géant qui vit sur le toit! Un vrai plaisir de lecture, à partir de 7 ans https://t.co/KGNBCsjeyA https://t.co/Wc9cjAFCwG</t>
  </si>
  <si>
    <t>La playlist des nouveautés musicales de mars vient de sortir ! De Slipknot à Calypso Rose, il y a bien quelque chose pour vous...👂🎧😁
#NowPlaying Nouveautés musicales - Mars 2019 by @MMSenlis ♪♫ ▷ https://t.co/tfVXvTCLGi</t>
  </si>
  <si>
    <t>Médiathèque. Le textile se dévoile jusqu’au 4 mai  
https://t.co/ysxUgsaZxp</t>
  </si>
  <si>
    <t>LA REVUE DU MOIS : Diapason
Magazine musical destiné aux amateurs de musique classique et d’opéra : vous y trouverez l’actualité musicale, des spectacles à découvrir. Accompagné d’un CD, vous pourrez écouter des extraits d’interprétation https://t.co/evRhXY3O8B https://t.co/J2BOvQfe6D</t>
  </si>
  <si>
    <t>L'extrait du jour de notre playlist "Sur écoute" : quand Baxter Dury vit un chagrin d'amour, il ne se contente pas de se rouler en boule sur son canapé 😭 mais en profite pour sortir un morceau aussi corrosif qu'élégant. #musique
https://t.co/lP7WvQpoGY via @YouTube</t>
  </si>
  <si>
    <t>Oyez, oyez : demandez le programme de mars! https://t.co/XA0ICXOHif</t>
  </si>
  <si>
    <t>A noter dans vos agendas : 
SAMEDI 23 MARS à 15h30
Conférence musicale sur le #cor https://t.co/xs4sCa1G7A</t>
  </si>
  <si>
    <t>Parfois on aime tellement un livre que l'on souhaiterait le partager avec le monde entier...🥰📖🙌Commencez par en parler avec nous à la médiathèque lors du prochain Rendez-vous lecture :  samedi 9 mars de 10h30 à 12h.
#livre #lecture #bibliothèque #animation https://t.co/IVdYEydDpt</t>
  </si>
  <si>
    <t>AFFICHE Joséphine Baker😍
Venez admirer du 2 au 30 mars la superbe affiche prêtée par la Bibliothèque historique de la Ville de Paris (BHVP) #originaldumois #bib2paris https://t.co/EMT9c523Nd https://t.co/1D13jebTIf @BibParis https://t.co/j5tp2bbZ5s</t>
  </si>
  <si>
    <t>Aujourd'hui à 15h30
#GRAND #ECRAN : projection d'un #film en V.O
Entrée libre et gratuite.
https://t.co/BW7KgMt0nM https://t.co/PbolIwIbbA</t>
  </si>
  <si>
    <t>Vaclav Havel en direct de #indiegame nation au #parisynovcampus 🎮 https://t.co/q5iHBo3Bl8</t>
  </si>
  <si>
    <t>#vendredilecture
Kanaky / Joseph Andras
L’auteur dépeint ici la figure d’Alphonse Dianou, jeune indépendantiste de 28 ans, ancien séminariste. Une lecture captivante et passionnante qui nous fait remonter le fil de l’Histoire.
À emprunter @bibvaugirard https://t.co/JAHGevaZqa https://t.co/rNmV7btZIb</t>
  </si>
  <si>
    <t>C'est parti pour le Printemps de Poètes :)
Séance du Jeu de l'oie Poésie avec une classe de CE1 :)
A noter dans vos agendas : Samedi 9 mars 
10h : Atelier d'écriture
14h30 : Atelier Slam avec Dizzylez
17h : Scène ouverte animée par Dizzylez
Détails ici :https://t.co/y3dwyWCmg5 https://t.co/bNCnlrDkXS</t>
  </si>
  <si>
    <t>Vous n'avez rien de prévu pour le week-end prochain ? Venez faire un tour à la médiathèque, il reste quelques places pour " Samedi, youpi" le 9 mars !🙌
Samedi 9 mars à 10h30 – Gratuit sur inscription – Enfants de 4 à 7 ans accompagnés. https://t.co/bDDpJymdmn</t>
  </si>
  <si>
    <t>PORTRAITS DE FEMMES
Du 2 au 9 mars à la @LaMejanes 
Découvrez notre programmation ici !!!
#aixmaville #bibliotheque #manifestationculturelle https://t.co/a5AzCk9nlC</t>
  </si>
  <si>
    <t>La vraie vie / Adeline Dieudonné ⁦@BibParis⁩ ⁦@bibliocite⁩ #premierroman ⁦@franceinter⁩  https://t.co/uTujrcI8CL</t>
  </si>
  <si>
    <t>A VOUS DE JOUER !
Venez jouer avec les bibliothécaires vendredi 8 mars de 14 h à 16 h dans l'espace jeunesse. Entrée libre, sans réservation. https://t.co/aiFlTMeIBq</t>
  </si>
  <si>
    <t>Vous pouvez dès à présent vous rendre sur le site de la médiathèque pour réserver les films suivants : https://t.co/8VdFNPD9LC https://t.co/PeTTkacTtf</t>
  </si>
  <si>
    <t>#Concours #SLAM 2019 : jusqu'au 3 mai :o)
Ce concours est destiné à sensibiliser le public aux problématiques du #DéveloppementDurable. 
Ouvert à  tous
RENSEIGNEMENTS :  https://t.co/tUV6eyWZ22 https://t.co/v2Zn0tAuGs</t>
  </si>
  <si>
    <t>Dans le cadre de l'exposition bande dessinée et immigrations, nous vous proposons une rencontre avec l'auteur Bd Clément Baloup le samedi 9 mars à 10h. Vous venez ? https://t.co/AS13dTvkBo</t>
  </si>
  <si>
    <t>📌En  raison de la mise en réseau de la médiathèque de Locminé avec les  médiathèques de Plumelin et Moustoir-Ac, la médiathèque sera fermée  exceptionnellement : mardi 26 février et mercredi 27 février. 
 ➡️Réouverture le vendredi 1er mars 16h. https://t.co/jTPnzdbb8G</t>
  </si>
  <si>
    <t>Exposition des oeuvres de Louise Marie Cumont du 1er mars au 4 mai 2019
 https://t.co/uJhIxXQTFh https://t.co/tWx7YCcoWb</t>
  </si>
  <si>
    <t>Avis aux amateurs de #POESIE et de #SLAM
PENSEZ à RÉSERVER au 04-90-24-20-80
pour participer aux ateliers de 10h et 14h30.
(Pas de réservation pour la Scène ouverte à 17h🙂)
#poesie #slam #Affabuloir  #Dizzylez #JeanFrancoisMaurin   #SceneOuverte https://t.co/oApyvgYaIJ</t>
  </si>
  <si>
    <t>Fonds patrimonial : à la grande époque des touristes anglais (fin  XIXe-début XXe), les palaces #hyèrois possédaient leurs propres  bibliothèques, comme l'attestent ces tampons 2/2 https://t.co/7gCXSCBnlC</t>
  </si>
  <si>
    <t>C’est aujourd’hui @mairie15 #mairie15👍 https://t.co/2Mg9fcPKL0</t>
  </si>
  <si>
    <t>#mercrediBD : Monster/Naoki Urasawa
Düsseldorf, en 1986. Le docteur Tenma est un brillant neurochirurgien japonais destiné à une grande carrière. Un jour il choisit d’opérer un garçon grièvement blessé plutôt que le maire. A emprunter @bibvaugirard https://t.co/JhgAIPYVVK https://t.co/oolKqsbgQ0</t>
  </si>
  <si>
    <t>Le Centre de loisirs à la bibliothèque… https://t.co/q43VZa6zpv https://t.co/z4eeeH52fA</t>
  </si>
  <si>
    <t>Aujourd'hui, zoom sur "El mal querer" de #Rosalia. Espace Cinémusique : https://t.co/Qw66lFSXL8 https://t.co/JLMLSJb9wn</t>
  </si>
  <si>
    <t>Besoin d'aide en maths, en français ou en anglais ? Demande Madicke, notre volontaire #coup2pouce du service civique ! @BibParis
📆 du mardi au vendredi  de 14 h à 19h ⌚️ #aideauxdevoirs</t>
  </si>
  <si>
    <t>📌En raison de la mise en réseau de la médiathèque de Locminé avec les médiathèques de Plumelin et Moustoir-Ac, la médiathèque sera fermée exceptionnellement : mardi 26 février et mercredi 27 février. https://t.co/8Q8nYQaj98</t>
  </si>
  <si>
    <t>#Sport et #philosophie, conférence mardi 26 février à 18h : " Le sport est-il (encore) éducatif ?" par Philippe Scavino (auditorium, entrée libre) https://t.co/ifL5vfhT8j https://t.co/ag7giQyhj4</t>
  </si>
  <si>
    <t>#paris15 https://t.co/NNY4zLHbL3</t>
  </si>
  <si>
    <t>#cyclefolie
Retrouvez la semaine prochaine notre sélection de blogs de personnes concernées par la santé mentale. 
Un point de vue incontournable sur la santé mentale. En guise d'introduction cette petite vidéo du Psycom : https://t.co/p8hQa5bP8F</t>
  </si>
  <si>
    <t>#vendredilecture : "La vraie vie"/Adeline Dieudonné
La narratrice, 10 ans, a un père violent, une mère passive et un petit frère en état de sidération après un accident. Voici un formidable premier roman, impossible de le lâcher avant de l’avoir terminé ! https://t.co/uxRm0qlc2P https://t.co/VgFM92ZhzU</t>
  </si>
  <si>
    <t>Atelier d’écriture https://t.co/xgGQ3NDMo6 https://t.co/cMjqYbmi3T</t>
  </si>
  <si>
    <t>Samedi 23 mars à 15h30
#Conférence #musicale : le #cor,
proposée par Ariane Bérard, professeur à l'AMT (Association Musicale des Tours de #Châteaurenard)
Entrée libre dans la limite des places disponibles.
https://t.co/kYYcvxIX36 https://t.co/3K6QWj1g1b</t>
  </si>
  <si>
    <t>Un jour, un poème  : "Aux imbéciles" de Charles Cros https://t.co/etXfeXRtHz</t>
  </si>
  <si>
    <t>Nous devons beaucoup de nos habitudes de voyage à ce pionnier du tourisme, mais connaissez-vous la vie très aventureuse de Thomas Cook ? A découvrir sans plus tarder dans cette biographie aussi rythmée que "Le Tour du monde en 80 jours" !🚂🛳️🌎
#nouveauté #lecture #livre #voyage https://t.co/o8IVZqWL52</t>
  </si>
  <si>
    <t>Le samedi 9 mars 
on fête la #POESIE et le #SLAM https://t.co/LTb2H80sVl</t>
  </si>
  <si>
    <t>Aujourd'hui, zoom sur "Le géant" de David Litchfield (sélection CE1 du Prix @LesIncos). Espace Jeunesse : https://t.co/S2iIbA2WVa https://t.co/f3284sUjgX</t>
  </si>
  <si>
    <t>Merci pour l'invitation, @BMDijonPat !
Pour #Gallica5Millions on commence par un ouvrage de Gaspard #Monge, qu'on dédie à tous les beaunois ! @BeauneTourisme https://t.co/vRMWgaHZxp</t>
  </si>
  <si>
    <t>Le duo parfait du week-end : un bon livre et la playlist "Sur écoute" de février, composée de nos coups de cœur du moment 🎶♥️
A écouter comme toujours sur votre lecteur préféré : Youtube, Deezer, Spotify ou Soundcloud. https://t.co/z9StZYXTV3</t>
  </si>
  <si>
    <t>#Douarnenez Demain, samedi 9 février à 10h45, c'est le moment de se mettre à l'eau et de se laisser bercer par des chansons et des histoires pour les petites oreilles de 0 à 3 ans dans le tapis lecture ! https://t.co/GsqGx3Gu9Q</t>
  </si>
  <si>
    <t>Samedi 9 février de 14h30 à 17h
#AtelierdEcriture,
 animé par Sylvie Hernandez de l' #Affabuloir 😉
Les débutants et les curieux sont les bienvenus
https://t.co/KE0yc9bQK2 https://t.co/y4NgHUF937</t>
  </si>
  <si>
    <t>C'est aujourd'hui 15h30 🤗 https://t.co/uBhRIsX370</t>
  </si>
  <si>
    <t>Gabriel et la montagne https://t.co/tljcutVyTV</t>
  </si>
  <si>
    <t>Combattez la tristitude de février !✊ Refusez la déprime hivernale en écoutant notre playlist toute fraîche "Nouveautés musicales-février 2019" , et en empruntant les albums disponibles. Joie et bonne humeur garanties 🎉🙌 https://t.co/oZ8h8e37n2
#nouveautés #musique https://t.co/MgY50NDT26</t>
  </si>
  <si>
    <t>Le Net Plus Ultra : modifier vos photos grâce à des effets artistiques https://t.co/7Uy2BbBTmy</t>
  </si>
  <si>
    <t>En cas de trou de mémoire ou de besoin urgent d'assistance technique, nous sommes à votre disposition toute la journée...🥞😋 
Bonne dégustation !
#chandeleur #DIY https://t.co/PAYSRKJlw9</t>
  </si>
  <si>
    <t>🎬  Samedi dernier c'était séance cinéma à la bibliothèque Vaclav Havel avec la projection du film d'animation "Valse avec Bachir" d'Ari  Folman, suivi d'un épisode de la série Youtube "Psylab" 📽 @BibParis @bibliocite @LePsylab https://t.co/CUihLmKPG0</t>
  </si>
  <si>
    <t>Et le challenge de la semaine continue : 7 couvertures de livres qu'on aime sur 7 jours, sans commentaire et en désignant chaque jour une personne pour rebondir... Jour 6, @mediatheque_SJM, ça vous tente ? #bookchallenge https://t.co/R98QcXRgUr</t>
  </si>
  <si>
    <t>Nouveauté musicale : "Poussière d'étoiles", le très beau folk tunisien du duo Ÿuma. A emprunter et à retrouver sur notre playlist de janvier.
 https://t.co/UDliBQqVQI via @YouTube</t>
  </si>
  <si>
    <t>Le papier c'est bien, mais l'audio c'est pas mal non plus : à écouter quand on ne peut pas ou plus lire, quand on a les 👐prises, qu'on est en 🚗, qu'on attend un 🚂, qu'on est sur le point de 😴, ou pendant une séance d'aqua-poney...
#VendrediLecture #livrelu #audiobook https://t.co/besX3omYzt</t>
  </si>
  <si>
    <t>Pour ce #JeudiPhoto, encore une image de la #bibliothèque sous la #Neige ! 
@Bourgogne_ #beaune @CotedorTourisme https://t.co/QZotYYiBBb</t>
  </si>
  <si>
    <t>Jeudi 31 janvier de 18h à 19h
Notre piano n'attend que Vous ! Pour le plaisir de toutes les petites et grandes oreilles ! https://t.co/K9TZ2EU3HH</t>
  </si>
  <si>
    <t>Et le challenge de la semaine continue, même s'il s'est un peu étalé dans le temps : 7 couvertures de livres qu'on aime sur 7 jours, sans commentaire et en désignant chaque jour une personne pour rebondir... @ManeBiblio, ça vous tente ? #bookchallenge https://t.co/wiLqaKG6JG</t>
  </si>
  <si>
    <t>📚En  panne d'idées de lecture ? Venez vite découvrir la belle sélection du  prix du roman Cezam dans votre médiathèque, et prenez part au vote qui a  lieu au mois de juin. Ce prix des lecteurs est ouvert à tous ! https://t.co/z3YmQAc5xH</t>
  </si>
  <si>
    <t>https://t.co/1mPCIMYgNR</t>
  </si>
  <si>
    <t>Samedi 2 février à 15h30
#ECRANdesMÔMES
Projection d'un film d'animation - à partir de 5 ans -
Entrée libre et gratuite.
(Conformément à la législation, vous trouverez les informations détaillées uniquement dans l'enceinte de la médiathèque.) https://t.co/eMi6rXX1KL</t>
  </si>
  <si>
    <t>Presqu'île de Vincent Jolit https://t.co/lB0mSpTicR https://t.co/cOcvjSH5Ej</t>
  </si>
  <si>
    <t>JEUNESSE
Découvrez les lauréats 2018-2019 de la grande opération "Les Mordus du Manga" organisée dans les #bib2paris https://t.co/b9kKgLdnIy 
Et venez emprunter "L'atelier des sorciers" à l'espace jeunesse @bibvaugirard https://t.co/P19udWEsa8</t>
  </si>
  <si>
    <t>Actuellement à la médiathèque : semaine 5 https://t.co/QnsPdHZuHI</t>
  </si>
  <si>
    <t>Les coulisses de la préparation d'une heure du conte pour les tout-petits: des marionnettes, des instruments et beaucoup de rires pour des bibliothécaires motivées!!! https://t.co/IIIil31W0Z</t>
  </si>
  <si>
    <t>Echangez et partagez vos recettes sucrées favorites🥞🍰🧁🥧 !  
➡️Aujourd'hui à partir de 15h à la médiathèque  (Amenez votre fiche-recette et apportez votre préparation)  Entrée libre avec dégustations ! https://t.co/0Xhg5d672J</t>
  </si>
  <si>
    <t>Petit challenge de la semaine : 7 couvertures de livres qu'on aime sur 7 jours, sans commentaire et en désignant chaque jour une personne pour rebondir... @MediathequeCAGV, vous tentez le challenge avec nous ? 😃 
#bookchallenge https://t.co/jZMyCbZKcq</t>
  </si>
  <si>
    <t>Mise en ligne par l'AR2L Hauts-de-France d'une étude sur la diffusion et la distribution du livre dans la région, à lire/télécharger : https://t.co/z7rBgmXIZl</t>
  </si>
  <si>
    <t>#vendredilecture : Le malheur du bas / Inès Bayard
Ce livre s’ouvre sur une scène terrible. On est happé puis sidéré par la découverte des racines du drame https://t.co/GD7wyDdhyy https://t.co/20MD4wKRun</t>
  </si>
  <si>
    <t>#VendrediLecture
On se fait peur en imaginant un évènement capable de terrifier tous les bibliothécaires de la planète : "Et si les chats disparaissaient du monde..." de Genki Kawamura et Diane Durocher (trad.).😱😭
#CatsOfTwitter #chats https://t.co/UQs6NUcn57</t>
  </si>
  <si>
    <t>rapport d’étonnement : Nils a passé une semaine avec nous, c’est l’heure de son rapport d’étonnement!🤔https://t.co/08BXOBlVNO https://t.co/kMWVg1dZw1</t>
  </si>
  <si>
    <t>Petit challenge de la semaine : 7 couvertures de livres qu'on aime sur 7 jours, sans commentaire et en désignant chaque jour une personne pour rebondir... @BNUStrasbourg, on a bien vu que l'idée vous plaisait ! 😉
#bookchallenge https://t.co/bjEWlfht33</t>
  </si>
  <si>
    <t>Pour oublier la neige et les glissages verglacées, on écoute le morceau du jour, tiré de notre playlist "Sur écoute" de janvier : "Presque rien" d'Hippocampe fou feat. Gaël Faye, une sacrée envie de voyager...🧳🏖️🕶️
 https://t.co/LzTc0waJZO via @YouTube</t>
  </si>
  <si>
    <t>Vous avez très nombreux à venir vivre avec nous notre première Nuit de la lecture, merci à tous ! 😊😍</t>
  </si>
  <si>
    <t>On a vu passer un petit challenge sympa ce matin : 7 couvertures de livres qu'on aime sur 7 jours, sans commentaire et en désignant chaque jour une personne pour rebondir... @BMDijonPat, ça vous tente ?
#bookchallenge https://t.co/ip1azxaBl7</t>
  </si>
  <si>
    <t>COUP DE CŒUR JEUNESSE 
Où vas-tu comme ça ? / Gilles Bizouerne
Une petite fille se promène seule dans les bois quand elle rencontre le loup, qui lui propose de l'accompagner. Puis c’est au tour d’une sorcière. Un conte très drôle, à partir de 3 ans https://t.co/2G2B6KzV69 https://t.co/s3iaA6WHx7</t>
  </si>
  <si>
    <t>Voyage dans le temps à la médiathèque, propulsée dans les années 30 : mais qui a trahi le Parrain ?
#nuitdelalecture #Nuitlecture #Senlis #murderparty https://t.co/PLNMjK2iC3</t>
  </si>
  <si>
    <t>Episode 1 de la #nuitdelalecture : tournois acharnés de jeux vidéo et jeux de société 🏆
#NuitLecture #Senlis https://t.co/eqbllDp3Tt</t>
  </si>
  <si>
    <t>Un p'tit creux entre deux animations de la #NuitLecture ? Notre bar à soupe (gratuit) ouvre à partir de 19h30🍲😋 https://t.co/60RMQax7JC</t>
  </si>
  <si>
    <t>Les Goûters-Bibli de Janvier https://t.co/YheppTXIWR https://t.co/tzN7zQWcvX</t>
  </si>
  <si>
    <t>➡️actuellement #atelierphilo  animé par Mélissa Gérard, philothérapeute
 Thème du jour : Vaut-il mieux se distinguer ou ressembler aux autres ? #philosophie Entrée libre https://t.co/vvJicPzDFS</t>
  </si>
  <si>
    <t>le temps est élastique aujourd'hui, la #NuitLecture a commencé dès 14h. Déjà beaucoup de monde pour le tournoi de jeu vidéo, venez tenter votre chance !🥇🏆 https://t.co/RBXeySGHag</t>
  </si>
  <si>
    <t>#NuitLecture Demain, lecture publique de 16 à 17h30 : les textes issus d'un stage d'écriture s'accompagnent de chansons. la "Playlist des derniers jours" est à écouter https://t.co/c9VflvTYLP https://t.co/1d2UIaGwhS</t>
  </si>
  <si>
    <t>#NuitLecture J-1 avant la murder party : il est grand temps de réviser ses fondamentaux en criminologie...🔎👮‍♂️👮‍♀️ https://t.co/4veDg7mI2F</t>
  </si>
  <si>
    <t>#vendredilecture 
Leurs enfants après eux / Nicolas Mathieu
C’est tout un univers que nous décrit l’auteur, celui du monde ouvrier à l’agonie et d’une jeunesse désenchantée qui tente de trouver un échappatoire. A réserver @bibvaugirard https://t.co/PL2hrWRP7v. https://t.co/JCf9f7V2LX</t>
  </si>
  <si>
    <t>Joli programme pour fêter cette première année! https://t.co/gydW6ZRGfZ</t>
  </si>
  <si>
    <t>Encore mieux qu'un emploi du temps scolaire, déchiffrage du planning de l'équipe pour la #NuitLecture. 🤔⏳👍J-2, les préparatifs sont lancés ! https://t.co/DdzsWP2nTb</t>
  </si>
  <si>
    <t>On se réveille tranquillement avec une de nos nouveautés musicales, à emprunter et à retrouver ds nos playlists : les excellents Daniele Luppi &amp;amp; Parquet Courts - “Soul and Cigarette” (Official Music Vi... https://t.co/6vTsYAwVAj via @YouTube</t>
  </si>
  <si>
    <t>Aujourd'hui, zoom sur "L'espace  du rêve" de David Lynch et Kristine McKenna, trad. de l'américain par Carole Delporte et Johan-Frederik Hel Guedj. Espace Grand public : https://t.co/XInqbdJzKa https://t.co/4EkS2eXjDd</t>
  </si>
  <si>
    <t>Retour en images sur les ateliers de création de marionnettes à doigts du samedi 12 janvier &amp;gt;  https://t.co/O1l0SoqBDS 
#DIY #bibliothèque https://t.co/KZgKnlK935</t>
  </si>
  <si>
    <t>Ce jeu d'équipe conçu par les Rencontres d'Arles propose de se questionner sur l’origine des photographies, leur polysémie, leurs usages.
Le jeu est un véritable déclencheur d’émulation, de curiosité, d’attention et d’intelligence collective. https://t.co/0uFXweJtBz</t>
  </si>
  <si>
    <t>Samedi 16 février à 15h30 à la médiathèque :
Roberto Forniès Alaiz
présente une #Rencontre #Conférence sur #JorgeSemprùn https://t.co/2ZXpSpAcga</t>
  </si>
  <si>
    <t>INFO : #Conférence "Léonard de Vinci" - 
Samedi 19 janvier 2019 à 15h30 donnée par Coralie Bernard, historienne de l'art, affiche #COMPLET 🙃 https://t.co/3Tc4FvocTv</t>
  </si>
  <si>
    <t>On s'est dit qu'en 2019 on aimerait partager avec vous tous les mois nos coups de cœur musicaux et nos nouveaux albums. Venez écouter nos playlists sur Deezer, Spotify, Souncloud et Youtube et suggérez-nous des titres !🎶😄 https://t.co/1Rb18MmySr</t>
  </si>
  <si>
    <t>Actuellement à la médiathèque : semaine 3 https://t.co/O5tu2ChLNX</t>
  </si>
  <si>
    <t>Avez-vous envie de “chercher la clé” ? https://t.co/irOyiHo4ns https://t.co/chMiPKzN6S</t>
  </si>
  <si>
    <t>#RDVNUM : les rendez-vous numériques 17h30-18h #photonumérique #locminé
➡️Retouchez en ligne vos photos: 18 janv. 
➡️Personnalisez votre diaporama-photo : 25 janv.
➡️Partagez vos photos sur les réseaux sociaux (Instagram) : ven. 1er fév.
Sur inscription auprès Eespace multimédia https://t.co/88Z0wpxRJP</t>
  </si>
  <si>
    <t>#Douarnenez Tapis lecture pour les 0-3 ans ce matin à 10h45, avec pour thématique la Maison : alors que l'hiver s'installe, il est bon de se mettre au chaud pour écouter les histoires ! https://t.co/AZ1Rcvidji</t>
  </si>
  <si>
    <t>Echangez et partagez vos recettes sucrées favorites🥞🍰🧁🥧 ! 
➡️RDV Sam. 26 janv. à partir de 15h à la médiathèque 
(Amenez votre fiche-recette et apportez votre préparation) 
Entrée libre avec dégustations ! https://t.co/jDlKA6rzOi</t>
  </si>
  <si>
    <t>quant on a frio du haut en bas...
quand on n'a ni chaussettes ni bas...
on n'transpire pas dans la flanelle, à la Chaapeeeeelle
@GallicaBnF https://t.co/KsAUOvLn1a</t>
  </si>
  <si>
    <t>Une nouveauté, et un coup de coeur total pour les bibliothécaires: "Nous sommes là" d'Oliver Jeffers sera le point de départ de notre Heure du conte demain matin! Où comment donner envie aux enfants de prendre soin de leur planète! https://t.co/5tRfTPsl5G</t>
  </si>
  <si>
    <t>Oh oui nous on veut jouer! #chapnum #GallicaDansLeMétro https://t.co/a052B0MWSN</t>
  </si>
  <si>
    <t>https://t.co/ijoxjByYmU</t>
  </si>
  <si>
    <t>Expo / SAVOIR/DESSINER
Encore quelques jours pour venir admirer les dessins des élèves de l’école de dessin. Dépêchez-vous : c'est jusqu'au 19 janvier !
https://t.co/viJNCm4sns</t>
  </si>
  <si>
    <t>#gallicadanslemetro station #Pyrénées #Ligne11 ; de Londres au Pays Basque en wagon-lits, ça vous tente ?🚂💂‍♂️🏔️ https://t.co/n2tBKiGZQl</t>
  </si>
  <si>
    <t>EXPOSITION
 "Anthropocène quel avenir ?" par l'association Photocontact
 VERNISSAGE 📅Mardi 15 janvier ⏰18h30
 EXPO 📅Du mardi 15 janvier au 16 février 2019
📍 Bibliothèque Méjanes - Espace expo
#exposition #aixmaville #bibliothequemejanes https://t.co/PcrQFmNlbR</t>
  </si>
  <si>
    <t>Toute l'équipe vous souhaite 
🤩"UNE BELLE ANNÉE 2019"🤩
Occasion de vous rappeler les animations à venir
mercredi  9 à 15h30  #Malle aux histoires
samedi 12 à 14h30  #Atelier d'écriture
samedi 19 à 15h30  #Conférence Léonard de Vinci
https://t.co/PsyAvrcOja https://t.co/cUFGvO2MiD</t>
  </si>
  <si>
    <t>Vernissage de la nouvelle exposition ce samedi 12 janvier à 12 heures ! https://t.co/UQo0Jcydm5</t>
  </si>
  <si>
    <t>Aujourd'hui, zoom sur "Tu vois, on pense à toi !" de Cathy Ytak (sélection CE2/CM1 du Prix @LesIncos). Espace Jeunesse : https://t.co/qGFled5cfg https://t.co/0z34HV2v6w</t>
  </si>
  <si>
    <t>Vous avez déjà quelques notions de base en informatique et souhaitez aller plus loin dans votre utilisation de l'ordinateur ? Rdv aux @𝐭𝐞𝐥𝐢𝐞𝐫𝐬 𝐢𝐧𝐢𝐭𝐢𝐚'𝐭𝐢𝐜𝐬 de niveau 2 tous les jeudis du 28/02 au 04/04. Détails et informations pratiques sur https://t.co/A8clOeowhE https://t.co/ROnRR52aE2</t>
  </si>
  <si>
    <t>La liste de janvier des nouveaux documents vient de sortir, et ça se passe par là https://t.co/yv95tBsxzj 
#livres #musique #films https://t.co/35EPioEzGB</t>
  </si>
  <si>
    <t>Pour apprendre à communiquer pacifiquement avec votre ordinateur, les @𝐭𝐞𝐥𝐢𝐞𝐫𝐬 𝐢𝐧𝐢𝐭𝐢𝐚'𝐭𝐢𝐜𝐬 reviennent en 2019 : niveau 1 (grands débutants en informatique) tous les jeudis du 17/01 au 07/02. 
Informations pratiques sur notre site https://t.co/dzuEAxGbfe https://t.co/fQaUPylrlU</t>
  </si>
  <si>
    <t>La Chapelle numérique est de retour sur Twitter! Go #chapnum pour des infos sur l'histoire de notre cher quartier de la Chapelle! https://t.co/wIzHTz0u08</t>
  </si>
  <si>
    <t>Comme une envie de verdure après les fêtes...🥬
#VendrediLecture https://t.co/DR1mdSAVHo</t>
  </si>
  <si>
    <t>A ne pas rater, la 𝐍𝐮𝐢𝐭 𝐝𝐞 𝐥𝐚 𝐥𝐞𝐜𝐭𝐮𝐫𝐞 𝟐𝟎𝟏𝟗 samedi 19 janvier : de 14h à minuit, jeu vidéo, jeux de société, lecture publique, spectacle de marionnettes et murder party…Retrouvez le programme sur notre site 
https://t.co/UbIpB39qet 🌕📚🎭🕵️‍♀️👌 https://t.co/V5jTBIvlod</t>
  </si>
  <si>
    <t>Samedi 12 janvier, rdv aux doigts agiles et aux doigts maladroits : rejoignez pour apprendre à fabriquer des marionnettes à doigts ! Détails et infos pratiques sur https://t.co/3Es41si6NC https://t.co/aUtmN1qNY0</t>
  </si>
  <si>
    <t>😻 https://t.co/sTfPsjRuOE</t>
  </si>
  <si>
    <t>Toute l'équipe de la bibliothèque Vaclav Havel vous souhaite une belle et heureuse année ! On vous attend pour de nouvelles aventures havéliennes ! 😃🎮🎧 @Biblio2Paris https://t.co/I2ACXJJDVn</t>
  </si>
  <si>
    <t>Le 20 décembre dernier, Jean-François Goudesenne (chercheur en musicologie, IRHT) et Marcel Pérès (Ensemble Organum), sont venus étudier les monumentaux livres choraux de la cathédrale d'Aix (manuscrits sur parchemin, 16e siècle).
#fondspatrimoniaux #musiquemedievale #aixmaville https://t.co/IjaJeCigsd</t>
  </si>
  <si>
    <t>#mercrediBD : Black Hammer /J. Lemire et D. Ormstown
Après avoir sauvé la ville de Spiral City d’1 redoutable ennemi, l’anti-Dieu, 1 groupe de super-héros est téléporté dans 1 coin reculé des Etats-Unis. A emprunter @bibvaugirard https://t.co/lrszJt6Jnj https://t.co/pNgDTHMka2</t>
  </si>
  <si>
    <t>Belle année 2019 aux bibliothèques de Paris #bib2paris : de belles rencontres, de beaux projets👍 https://t.co/xkNR7Bufue @Paris https://t.co/llR5RvvBRH</t>
  </si>
  <si>
    <t>NUIT DE LA LECTURE vendredi 18 janvier à 18h00 avec les bibliothécaires Jeunesse 🌙 @bibvaugirard https://t.co/th1tQh9QZh</t>
  </si>
  <si>
    <t>COUP DE COEUR JEUNESSE : Oiseaux des jardins / Pierre Palengat
Apprendre à reconnaître les chants d'oiseaux enregistrés dans leur milieu naturel. Au fur et à mesure, l’oreille s’affine et permet de résoudre les jeux d’écoute et de mise en situation https://t.co/TQ6ak8XJ2p https://t.co/9jnyw2D3PB</t>
  </si>
  <si>
    <t>Merci à tous pour cette  dernière après-midi de 2018 ! #oculus #réalitévirtuelle #poésie #papier À l'année prochaine pour de nouveaux ateliers...
Bonne fêtes de fin d'année à tous !!</t>
  </si>
  <si>
    <t>Toute l'équipe de la médiathèque
vous souhaite de très #belles #fêtes de fin d'année🎅😉
On vous retrouve dès le vendredi 28 décembre 14h 😘 https://t.co/2F3lS7cHLy</t>
  </si>
  <si>
    <t>Avez-vous votre #sapin🎄🎄🎄? #Noël J-3🎅🤶 https://t.co/TdXMTNg4Qw</t>
  </si>
  <si>
    <t>Castagnettes https://t.co/rLNGKLxJ1Q https://t.co/ql7kMk5yHa</t>
  </si>
  <si>
    <t>Avez-vous pensé à votre playlist 🎶 de #Noël ? 🎄🎅 https://t.co/kR7Y0lK0Jx</t>
  </si>
  <si>
    <t>Si vous êtes en manque d'idées pour préparer #Noël...🎄🎅🤶 https://t.co/iCN1MEk3Tv</t>
  </si>
  <si>
    <t>A partir du 1er janvier 2019,  l'inscription dans l'ensemble des bibliothèques de la ville sera gratuite pour tous! 🎉🎉🎉
#bibliotheque #bibliothequegratuite #aixmaville https://t.co/blwfVQ3sO7</t>
  </si>
  <si>
    <t>NUIT DE LA LECTURE 19 JANVIER 2019
Découvrez notre programme pour la Nuit de la lecture à la Bibliothèque Méjanes, le Conservatoire Darius Milhaud et la BU Fenouillière
Une belle programmation vous sera proposée sur les trois sites de 14h à 23h30.
#nuitdelalecture #bibliotheque https://t.co/66QfiGClYo</t>
  </si>
  <si>
    <t>COUP DE CŒUR JEUNESSE       "Tout le monde dort ?" / Audrey Poussier
Au moment de se coucher, Antoine a une multitude de questions à poser, comme pour retarder l’heure de s’endormir. À lire aux tout-petits avant d'éteindre la lumière 💡 https://t.co/K1f9SWlh9T https://t.co/9PxUr5L5pg</t>
  </si>
  <si>
    <t>Petit film en famille à la bibliothèque Italie! Les enfants découvrent le film d'animation "Arjun, le prince guerrier", pour notre journée d'animations consacrée à l'Inde! https://t.co/7MOyh1GgVB</t>
  </si>
  <si>
    <t>Une belle soirée… en pyjama ! https://t.co/lsf7m4ZtQH https://t.co/Ot8cf0dFQU</t>
  </si>
  <si>
    <t>EXPO : superbes travaux d’élèves du cours de dessin réalisés à partir de photos des espaces de la bibliothèque👏🏻 @bibvaugirard https://t.co/uajSn3HrqL https://t.co/p3JqMkgqGE</t>
  </si>
  <si>
    <t>2 nouvelles revues à la médiathèque !
#GrandsReportages et #Papiers
https://t.co/RYXOg5YAZ8 https://t.co/tGLfHDf6GG</t>
  </si>
  <si>
    <t>#Douarnenez Le tourbillon de l'hiver revient ce matin à 10h45 pour les petites oreilles jusqu'à 3 ans, avec des chansons et des histoires qui nous emmèneront un peu plus près de Noël ! https://t.co/Oi4g2KeOjM</t>
  </si>
  <si>
    <t>I posted a new video to Facebook https://t.co/s6SddrjM8u</t>
  </si>
  <si>
    <t>Ce soir à 20h à l'auditorium de la Médiathèque ! #musiqueclassique #NOEL https://t.co/Bbmh1XVFcN</t>
  </si>
  <si>
    <t>#vendredilecture : "Jackaby", de William Ritter
Janvier 1892, Abigail, 17 ans, arrive à New Fiddleham en Nouvelle Angleterre, après avoir voyagé en Allemagne et dans les Carpates. 
Un roman très agréable à lire, qui plaira aux adeptes de fantastique et de polars, dès 12 ans ! https://t.co/IGZYfNpd9l</t>
  </si>
  <si>
    <t>Aujourd'hui, zoom sur "Le sauvetage" de Bruce Bégout. Espace Grand public : https://t.co/zhopxeFGt3 https://t.co/XsFQuYXMxB</t>
  </si>
  <si>
    <t>Aujourd'hui, zoom sur "Les Gardiennes" de Xavier Beauvois. Espace Cinémusique : https://t.co/qfEVaQU3MD https://t.co/WzDq0rueSQ</t>
  </si>
  <si>
    <t>https://t.co/Ag7kABTqjf</t>
  </si>
  <si>
    <t>Fêtes de fin d’année https://t.co/U5RsAyeeQz https://t.co/pwDjkKmSG0</t>
  </si>
  <si>
    <t>Aujourd'hui, zoom sur "Le village aux mille roses" de Philippe Nessmann (sélection CE2/CM1 du Prix @LesIncos). Espace Jeunesse : https://t.co/skhAWXuhf3 https://t.co/vaQpoXszdI</t>
  </si>
  <si>
    <t>JEUNESSE
Découvrez la sélection contes, histoires et chants de Noël réalisée par les comités de veille jeunesse #bib2paris https://t.co/yLCjEgMYba https://t.co/xBRIaWeY8i</t>
  </si>
  <si>
    <t>Relectures : exposition
avec l’École Savoir / Dessiner
Venez rencontrer les élèves et les professeurs lors du vernissage samedi 15 décembre de 11h à 12h 
expo du 15/12/2018 au 19/01/2019 https://t.co/viJNCm4sns</t>
  </si>
  <si>
    <t>Nos ados face aux écrans : merci aux intervenants et aux participants qui ont réussi à rejoindre la bibliothèque ⁦@bibvaugirard⁩ malgré les pbs de transport 👍 https://t.co/bwZIeeEHae</t>
  </si>
  <si>
    <t>#Douarnenez Le vent d'hiver souffle sur le tapis lecture ce matin : des histoires et des comptines sur la neige et Noël pour les petites oreilles jusqu'à 3 ans. C'est à 10h45 en espace racontage ! https://t.co/BrnPD7g6MV</t>
  </si>
  <si>
    <t>C’est ce samedi chez nos voisins à côté de @bibvaugirard https://t.co/PAXw4ol5KN</t>
  </si>
  <si>
    <t>CONCERT Monte le son ANNULÉ⚠️
à titre préventif en raison de la manifestation prévue samedi 08 décembre
Le Conservatoire du 15e et @bibvaugirard s’efforceront de vous proposer une nouvelle date prochainement. Merci de votre compréhension https://t.co/keKywpbExS</t>
  </si>
  <si>
    <t>La #médiathèque sera #ouverte aux #horaires #habituels pendant les vacances scolaires sauf le mercredi 26 décembre, jour de fermeture exceptionnelle.
Nous vous rappelons qu'une #boîtederetours est à votre disposition lorsque la médiathèque est fermée. https://t.co/JDOtnvBblI https://t.co/Cby9gWd7bO</t>
  </si>
  <si>
    <t>DECEMBRE
Demandez le programme : concert, spectacle pour les  enfants, des ateliers : cartes de Noël, jeux, découverte d' applications  avec les bibliothécaires! https://t.co/fP2PvrMYWe https://t.co/tFJZPIHcBj</t>
  </si>
  <si>
    <t>#mercrediBD Bolchoi Arena tome 1: Caelum incognito de Boulet et Aseyn
Dans le monde de demain, le Bolchoi, réseau mondial de réalité virtuelle a remplacé Internet. 
A emprunter ou à réserver d’urgence @bibvaugirard https://t.co/KJ6oRi2Q11 https://t.co/QzuuOl3AAY</t>
  </si>
  <si>
    <t>Le Père Noël🎅 va être ravi de voir tous ces enfants sages écouter les histoires de Noël à la médiathèque 🥰
#MALLEauxHISTOIRES #NOËL https://t.co/FnYY2X5xTa</t>
  </si>
  <si>
    <t>Aujourd'hui, zoom sur "La clochette du mandarin" d'Agnès Laroche, illustré par Marcelino Truong (sélection CE2/CM1 du Prix @LesIncos). Espace Jeunesse : https://t.co/reUEB1Iyvw https://t.co/cvZyeTGSkx</t>
  </si>
  <si>
    <t>Petite exposition sur la fabrication des #manuscrits #médiévaux, à l'entrée de la #bibliotheque du quartier Saint-Jacques. Ça vaut le coup d’œil ! 😉 #exposition #exhibition #moyenage https://t.co/oOAv1E5wFQ</t>
  </si>
  <si>
    <t>FESTIVAL MONTE LE SON 
Vagabondages : "Les jeunes voix en chansons"
samedi 08 décembre 2018 | 16h
Medley de chansons françaises et extraits des Demoiselles de Rochefort avec les élèves de la Filière Voix du Conservatoire du 15e
Réservez vos places! https://t.co/keKywpbExS</t>
  </si>
  <si>
    <t>«Contes d'Hiver» avec la Compagnie du Chameau
Samedi 15 décembre 2018 à 15h
spectacle à destination des enfants de 5 à 10 ans 
Réservez vos places! https://t.co/0lgGiYS3yt</t>
  </si>
  <si>
    <t>➡️Vendredi 14 décembre 20h à l'auditorium de la médiathèque de #Locminé 
Découvrez l'ensemble vocal Sottovoce 🎶 avec des chants de #Noël🎄🎅Entrée libre et gratuite (Dans la limite des places). (Crédits-photo © Isabelle BLECKMANN) https://t.co/XUKdXZiKo4</t>
  </si>
  <si>
    <t>C'est demain ! :) https://t.co/CGwUD3nz20</t>
  </si>
  <si>
    <t>Fonds patrimonial : quelques gravures d'#Hyères par le peintre italien (et hyèrois 🌴) Giulio Vittini, dont nous vous parlions ici : https://t.co/O5ce8lvgLy https://t.co/wwqCHQBWaY</t>
  </si>
  <si>
    <t>#mercrediBD : Groléfant &amp;amp; Tit'Souris : histoires (de) bêtes /Pierre Delye, Ronan Badel
D’une rencontre improbable va naître une jolie amitié entre 1 éléphant et 1 souris. Normal, ils sont PAREILS : gris, 4 pattes, 2 oreilles, 1 nez, 1 bouche, 1 queue 😉https://t.co/MZjv2FoJj3 https://t.co/mo0g65I3jS</t>
  </si>
  <si>
    <t>🎮De nouveaux livres sont arrivés en salle jeux video 🎮!
#mario #donkeykong #tetris #sonic #minecraft #jeuxvideoenbibliotheque https://t.co/rXCdBLlE7d</t>
  </si>
  <si>
    <t>#AlainCavalier était hier soir présent au Cinéma Le Club, Quelle manière de clore le @MoisDuDoc ! Magnifique moment d'intelligence, d'émotion et d'humour. Pour prolonger  cet instant, on pourra emprunter quelques uns de ses films à la  médiathèque : https://t.co/TLz5FBm4rz https://t.co/jAynZxbFRd</t>
  </si>
  <si>
    <t>J -4  🎅
Samedi 1er décembre à 10h30
#ÉCRANdesMÔMES : spécial #NOËL
film d'animation français - 2017 - 25 min 
- à  partir de 4 ans - 
https://t.co/UOSB3KAt7m
#MarchédeNoël #Châteaurenard 
Programme complet du WE : https://t.co/Jqw3bTrwoX https://t.co/cpCkk1rgqR</t>
  </si>
  <si>
    <t>La 11ème édition du salon du livre Afro-caribéen, Festival Sun Art « Arts croisés, paroles tissées » se tiendra du 30 novembre au 1er décembre à la Méjanes. 
#festival #bibliothèque #sunart #salondulivre #aixmaville https://t.co/ApNn7TyRsN</t>
  </si>
  <si>
    <t>Dernière projection jeudi soir, avec trois portraits de photographes passionnés, qui nous font voyager tout autour du monde ! https://t.co/UzGznT5Nk4</t>
  </si>
  <si>
    <t>ROBERT DESNOS (1900-1945) : un poète à Paris
C’est parti! Merci @mairie15 qui nous prête la salle du RDC👍
https://t.co/gRa2oEe3mQ https://t.co/6ag8LlT8kn</t>
  </si>
  <si>
    <t>Le festival des solidarités en musique à la médiathèque de Locminé... https://t.co/rbeqGeh53M</t>
  </si>
  <si>
    <t>Aujourd'hui, dernier jour pour découvrir l'exposition "Histoire de #guitares" à la médiathèque : https://t.co/cM0h6vt3Rj https://t.co/jT0xkAdH2M</t>
  </si>
  <si>
    <t>#vendredilecture : La fantastique aventure de Woua-Woua le chihuahua / Rachel Corenblit
Yanis d’un naturel réservé passe son mois d'août à la montagne chez sa tante...Des illustrations en noir et blanc agrémentent ce récit plein d'humour. A partir de 9 ans https://t.co/EIRtxsG4Pz https://t.co/TXQBJNs9mJ</t>
  </si>
  <si>
    <t>Festival de contes https://t.co/BuaLFm4omX https://t.co/O2npvVR2u6</t>
  </si>
  <si>
    <t>➡️Ce soir découvrez Katz 🎙️🎶🎵à 20h à l'auditorium de la Médiathèque de Locminé ! https://t.co/KURMhsvShk</t>
  </si>
  <si>
    <t>CONFERENCE
samedi 8 décembre 11h00 
Nos ados face aux écrans https://t.co/bwZIeeEHae</t>
  </si>
  <si>
    <t>Aujourd'hui, zoom sur "L'expérience du monde" de Kévin Cappelli. Espace Grand public : https://t.co/DV72Dzo350 https://t.co/Pn7PIjewSX</t>
  </si>
  <si>
    <t>Après-midi studieux à la médiathèque 🤓👍👩‍💻👨‍💻 https://t.co/jt8Ldy2wT4</t>
  </si>
  <si>
    <t>On parle de nous ☺️
https://t.co/2TAHS8U9Ev
#conservationpreventive #demenagement #bibliotheque #reliure #patrimoine #aixmaville</t>
  </si>
  <si>
    <t>➡️RDV vendredi à 20h à l'auditorium de la médiathèque !
Entrée libre et gratuite #musique🎶🎵🎼🎙️ #chansonfrançaise https://t.co/frLq3IwZ2K</t>
  </si>
  <si>
    <t>Bibliothèques de la Ville de Paris - Nouveau service de VOD : Les Yeux Doc #bib2paris https://t.co/BAfZWoSKrS</t>
  </si>
  <si>
    <t>club</t>
  </si>
  <si>
    <t>Le Café-Lecture de novembre https://t.co/ko8PhI26Ce https://t.co/H1nYZWTQWA</t>
  </si>
  <si>
    <t>Le samedi 24 novembre, la médiathèque de Locminé participera au Festival des solidarités, une animation initiée par la commission interculturelle Accueil... https://t.co/7K5B9ltFer</t>
  </si>
  <si>
    <t>Téléthon 2018 : l’exposition-vente de l’année ! https://t.co/ljtSr6WM7J https://t.co/EqpmkzLA6j</t>
  </si>
  <si>
    <t>https://t.co/nwzNedfehy
Un reportage de @OuestFrance29 sur le filage d'hier à l'auditorium. #BenoîtGuillaume &amp;amp; Arthur "@MoriartyTheBand" B. Gillette en #concertdessiné, c'est ce soir !</t>
  </si>
  <si>
    <t>"Le croquis, c'est de la rencontre et de l'échange. C'est important." #BenoîtGuillaume présente son travail aux lycéens de Jean-Marie le Bris. #Douarnenez https://t.co/RgXVFOeHZ0</t>
  </si>
  <si>
    <t>Samedi 24 novembre à 15h30
#Conférence  #lArt #et #laGrandeGuerre
 par Coralie Bernard, historienne de l'art.
ENTREE GRATUITE -  Réservation au 04-90-24-20-80.
#mediatheque #Châteaurenard #Centenaire1418 https://t.co/XEOVVQ55qT</t>
  </si>
  <si>
    <t>Ce week-end à la bibliothèque Méjanes, participez à la 4ème édition de l’Open Bidouille Camp!
Pour + d’infos: https://t.co/grgdMiJDLd
#bibliothequemejanes #aixmaville @bidouillecamp https://t.co/cxXDpFtAff</t>
  </si>
  <si>
    <t>Aujourd'hui, zoom sur "Jusqu'à la garde" de Xavier Legrand. Espace Cinémusique : https://t.co/reVCPZeIDW https://t.co/trvQaM7x5X</t>
  </si>
  <si>
    <t>Conférence « Giallo » à la bibliothèque Italie : venez découvrir l’histoire du polar italien, sur papier et sur grand écran, ce jeudi 15 novembre à 19h. Il est encore temps de vous inscrire sur place, au 01 56 61 34 30, ou à bibliotheque.italie@paris.fr. 
A bientôt !
#parispolar</t>
  </si>
  <si>
    <t>Le #concertdessiné de #BenoîtGuillaume et Arthur "@MoriartyTheBand " B. Gillette de  jeudi (20h00) affiche quasiment complet :
Nous  remercions les personnes ayant réservé et qui ne pourront s'y rendre de  bien vouloir nous prévenir afin que nous libérions des places. 🙏</t>
  </si>
  <si>
    <t>🎞 Koodelka Shooting Holy Land 🎞 
 Vendredi 16/11, 20h30 à la bibliothèque + rencontre avec la photographe Nina Patin qui a vécu en Israël.
Un projection en partenariat avec @ARTEfr et le @MoisDuDoc. #Beaune https://t.co/IwKFnc7bv1</t>
  </si>
  <si>
    <t>Prix littéraire des lycéens et apprentis de la région PACA 2019 https://t.co/ASpeuRHEam</t>
  </si>
  <si>
    <t>PHILOSOPHIE pour https://t.co/wHLhcCgABH
La bibliothèque @bibvaugirard fait peau neuve dans le rayon philosophie et psychologie, l’occasion de re-découvrir les classiques du genre !
« Un homme sans culture ressemble à un zèbre sans rayure » Proverbe africain https://t.co/SeTocK37ky</t>
  </si>
  <si>
    <t>MONTE LE SON : SPÉCIAL VOIX !
RDV samedi 8 décembre à 16h00 @bibvaugirard 
Le festival Monte le son est consacré cette année à la voix. Votre bibliothèque @bibvaugirard vous propose 1 medley de comédies musicales https://t.co/MYgSOrgFyI 👍🎼 https://t.co/YLvv9Qkkta</t>
  </si>
  <si>
    <t>La revue du mois : L'objet d'art
Revue d’actualité de l’art toutes disciplines confondues : peinture, mobilier, céramique, orfèvrerie, art textile, sculpture, arts décoratifs qui présente aussi une sélection d’expos et de musées. A emprunter @bibvaugirard https://t.co/bBuqMzvKoC https://t.co/gim4icDTCb</t>
  </si>
  <si>
    <t>Pose des #émaux sur l'arbre cet après-midi dans le hall de la médiathèque. Animation proposée par le Centre Morbihan Communauté.</t>
  </si>
  <si>
    <t>On vous offre des réductions pour la pièce "Une bouteille sur le sable", Jeudi 15/11, 20h au Théâtre de Beaune.
🎞Tous participants au Mois du Film Documentaire se verra remettre une contremarque pour cette pièce 🎞
Venez demain,20h30, à la bibliothèque ▶ https://t.co/8MQRr5uRk8 https://t.co/S08A5oNpAa</t>
  </si>
  <si>
    <t>Connaissez-vous #Katz ? 
#concert 🎶🎼 #chansonfrançaise
➡️RDV vendredi 23 novembre à 20h à l'auditorium de la #médiathèque de #Locminé Entrée libre, gratuite</t>
  </si>
  <si>
    <t>CONFÉRENCE « Henriette Dibon dite Farfantello (1902-1989) journal d’un écrivain » par Clément Serguier
📆Jeudi 22 novembre ⏰18h30 📍Bibliothèque Méjanes Salle Armand Lunel - Entrée libre #conference #aixmaville #henriettedibon https://t.co/MOWYXKfdHg</t>
  </si>
  <si>
    <t>https://t.co/OkPtUXDw1n
#BenoitGuillaume #Douarnenez #Bandesdessinées</t>
  </si>
  <si>
    <t>https://t.co/Qf5PkCEbxP</t>
  </si>
  <si>
    <t>Nouvelle exposition à la bibliothèque 
Vernissage samedi 10 novembre à 12 heures ! https://t.co/ZHTXiWBTwp</t>
  </si>
  <si>
    <t>JEUNESSE / Prix Enlivrez-moi
Dernière ligne droite pour les 15 classes de CM1 du 15ème qui doivent voter d'ici la fin de la semaine pour leur album préféré parmi les 5 sélectionnés. Le choix s'annonce difficile ! https://t.co/AYL6wlN82N @mairie15 @defresquet https://t.co/6u0tkqz1kZ</t>
  </si>
  <si>
    <t>Actuellement à la médiathèque : semaine 45 https://t.co/sIVgT6kMqr</t>
  </si>
  <si>
    <t>OU APPRENDRE LE FRANÇAIS À PARIS?
https://t.co/Bv2s3rBgu4
Les #bib2paris participent également : ateliers de conversation, méthodes de langues, apprentissage de langues sur le portail des bibliothèques.
Voici des adresses dans le 15e https://t.co/IYPOaiBbPE https://t.co/psGvlUQRtE</t>
  </si>
  <si>
    <t>L'expo Ilya Green est arrivée! Venez découvrir les originaux de l'album "Ours et Gouttes" à l'entrée de l'espace jeunesse... et si vous aimez, inscrivez vous à l'atelier créatif autour de son univers mercredi 7 novembre à 14h30. Pour les 3-6 ans! https://t.co/7tXCCOEWZE</t>
  </si>
  <si>
    <t>La médiathèque en mode #Centenaire1418 
- #GrandEcran aujourd’hui à 15h30
- #Conférence "L'Art et la #GrandeGuerre" le samedi 24 novembre à 15h30 (sur réservation au 0490242080)
-Des livres, des CD et DVD et des revues à emprunter.
On vous attend nombreux
https://t.co/PsyAvrcOja https://t.co/hmvQnYyXg2</t>
  </si>
  <si>
    <t>Prochaine date pour le #speedbooking : mercredi 7 novembre ! Soirée spéciale #Prixlittéraire du Zonta Club, venez découvrir les #romans sélectionnés ! https://t.co/t1Nraw3b4N</t>
  </si>
  <si>
    <t>https://t.co/oNjRsFZWPC
#BenoîtGuillaume #Douarnenez</t>
  </si>
  <si>
    <t>Rose pour les filles? Bleu pour les garçons? Si vous en avez assez de ces clichés venez découvrir cette sélection choisie par les bibliothécaires et les collégiens de Moulin des Prés lors d'un grand débat sur les stéréotypes de genre. Merci aux 6ème pour leur ouverture d'esprit! https://t.co/niG63kOOnC</t>
  </si>
  <si>
    <t>Réservez dès aujourd’hui votre place pour la #Conférence #lArt #et #laGrandeGuerre
du samedi 24 novembre 15h30, au 04-90-24-20-80.
#mediatheque #Châteaurenard #Centenaire1418 
ENTREE GRATUITE
Détails ici : https://t.co/DF5Xny30Ma https://t.co/VVDTQbAesZ</t>
  </si>
  <si>
    <t>Le Mois du Doc commence ce soir à 20h30 à la bibliothèque 🤗 https://t.co/5lPuX2F1xg</t>
  </si>
  <si>
    <t>Cheminées vues du ciel : les pigeons ne tomberont plus à l’intérieur!😅https://t.co/ld0fwgeYa3 https://t.co/gbQ2ZOHnd0</t>
  </si>
  <si>
    <t>On rentre en jeu pour la #BattleMonstres de @domainechambord avec le gardien de notre établissement, ancien couvent des Minimes. https://t.co/aZV9jleNKS</t>
  </si>
  <si>
    <t>EXPOSITION « Les correspondances photographiques ou la poétique des images » autour des correspondances d’Apollinaire et Madeleine
Du 6 novembre au 1er décembre 
Vernissage le 6 novembre à partir de 18h30 à la bibliothèque Méjanes #exposition #photographie #apollinaire https://t.co/2FWmzHsicC</t>
  </si>
  <si>
    <t>https://t.co/DG0riVkWzh
Une lecture passionnante de l’œuvre de #ArnauddesPallières par  Jean-Louis Comolli. Rendez-vous vendredi au cinéma Le Club de #Douarnenez en compagnie  du réalisateur.</t>
  </si>
  <si>
    <t>Pour connaître les recommandations de notre club des lecteurs spécial  voie des indés (festival des éditeurs indépendants), c'est par ici : https://t.co/fMcA1DjCuh https://t.co/y2JtFsgjD8</t>
  </si>
  <si>
    <t>Aujourd'hui l'équipe #JV de votre bibliothèque préférée est partie en goguette à la #PGW (les veinards)... On espère y croiser nos lecteurs préférés 😁</t>
  </si>
  <si>
    <t>#vendredilecture : Jefferson /Jean-Claude Mourlevat et Antoine Ronzon
Accusé par méprise du meurtre de son coiffeur le blaireau M. Edgar,  Jefferson le hérisson n’a d’autre issue que de prendre la fuite. A lire dès 8 ans https://t.co/TiZXjOsM2Z https://t.co/8XRQveBOPb</t>
  </si>
  <si>
    <t>https://t.co/UkrRKQ3KxD
"Disneyland revu et corrigé par un vrai poète du cinéma, Arnaud des  Pallières. Un voyage troublant au pays du simulacre" .Dans une semaine  au Club, dans le cadre du #moisdudoc. https://t.co/HDFl7jzSSe</t>
  </si>
  <si>
    <t>PIANO
Venez jouer sur notre piano ce soir pour terminer la journée 🎼
Il reste 1 créneau à prendre de 18h à 18h30 https://t.co/RZjBDt4LWH</t>
  </si>
  <si>
    <t>Conférence ce samedi à la bibliothèque Méjanes ! #aixmaville #conference https://t.co/FYpfozOtg5</t>
  </si>
  <si>
    <t>Aujourd'hui, zoom sur "Si près, tout autre : de l'écart et de la rencontre" de François Jullien. Espace Grand public : https://t.co/yj8M1J5iho https://t.co/6PT4EFRa2b</t>
  </si>
  <si>
    <t>Envie de jouer? ➡️Ce soir jusqu'à 20h30 lors de la soirée #jeux de société ! 🎲♠️🃏</t>
  </si>
  <si>
    <t>Un « aspirateur à filtre absolu » pour dépoussiérer plus de 3 kilomètres linéaires de livres et journaux. Ils sont destinés à déménager, l’an prochain, de la #bibliothèque #Méjanes vers un nouveau bâtiment. #Aixmaville #patrimoine #fondsanciens https://t.co/M4vV4Wsyix</t>
  </si>
  <si>
    <t>Nous avons trouvé un compagnon à Ji le coq !😄
Voici Melville, le toutou du projet des enfants de l'Ecole Porte d'Ivry ! 
Patience, l'exposition des planches originales de son histoire arrivera dès janvier 2019 ! 🐶🐶 #Jeunesse #Ecole #expo @mairiedu13 #artistesenherbe #bib2paris https://t.co/rlSAXYSq4k</t>
  </si>
  <si>
    <t>VACANCES SCOLAIRES
 Les horaires changent du mardi 23/10 au samedi 3/11 inclus, afin d’ouvrir plus l’espace Jeunesse!
Adultes : mardi au vendredi 14h | 19h samedi 10h | 18h
Jeunesse : mardi au vendredi 14h | 18h samedi 10h | 13h et 14h | 18h https://t.co/adb0AtPjDJ</t>
  </si>
  <si>
    <t>Aux livres les petits ! https://t.co/rWgbSpOQZN https://t.co/8U5nNnhJw1</t>
  </si>
  <si>
    <t>Salon d’Art Actuel ARTEYRAN https://t.co/R5pG4tbasy https://t.co/9dZBZaueHp</t>
  </si>
  <si>
    <t>Mois du film documentaire : 1ère séance https://t.co/nc1Z92Jehy https://t.co/M8m2qWpxzW</t>
  </si>
  <si>
    <t>Mois du Film Documentaire : 2e séance https://t.co/73brYK925q https://t.co/LnK4m0fatm</t>
  </si>
  <si>
    <t>“Tous Contes Fées” : encore un spectacle à voir en famille ! https://t.co/VBvqkKtzVg https://t.co/V5nsouDJsQ</t>
  </si>
  <si>
    <t>#Moisdudoc , nous avons le plaisir de vous convier - en partenariat  avec le cinéma Le Club - à la découverte de l’œuvre de #ArnauddesPallières via la projection de deux de ses films : Disneyland, mon vieux pays natal (2001) et Diane Wellington (2010) : https://t.co/xUTAx3Tlkw https://t.co/cuOyAFreD2</t>
  </si>
  <si>
    <t>Aujourd'hui, zoom sur "Ruby tête haute" d'Irène Cohen-Janca ; illustré par Marc Daniau (sélection Prix @LesIncos). Espace Jeunesse : https://t.co/l2etWX6jJo https://t.co/g4KcEE8XGq</t>
  </si>
  <si>
    <t>🎧+📺🎮=#Numok ! Encore et toujours le @FestivalNumok 😍 ! Après-midi musicale dans notre salle jeu video ! Après un quizz sur les bandes son de JV,  immersion musicale ! @MmpParis! @bibliocite https://t.co/bCwXJchZJw</t>
  </si>
  <si>
    <t>Les Goûters-Bibli préparent la fête d’Halloween ! https://t.co/3jsjSNznSX https://t.co/RR6BfIdy60</t>
  </si>
  <si>
    <t>Fonds patrimonial : découvrez quelques photos d'#Hyères #Giens #PortCros 🏝️ dans les années 1930 issues du livre "La côte des Maures et les Îles d'or de Toulon à Fréjus" par André Chagny : https://t.co/AAkn6C9M6r https://t.co/0V2IMC6WuV</t>
  </si>
  <si>
    <t>C’est aujourd’hui jeudi 18/10 à 19h00 ⏳⏰
Benjamin Sonntag @vincib nous parlera protection des données, neutralité du net 😀 https://t.co/UgbNjKWqrR Passez nous voir ou appelez nous au 01 48 28 77 42 @FestivalNumok @bibliocite #numok2018 https://t.co/E4B5OGkwNc</t>
  </si>
  <si>
    <t>Demain jeudi 18/10 à 19h00 
Benjamin Sonntag @vincib nous parlera protection des données, neutralité du net 😀 https://t.co/UgbNjKWqrR Passez nous voir ou appelez nous au 01 48 28 77 42 @FestivalNumok @bibliocite #numok2018 https://t.co/Xc5uopVqYd</t>
  </si>
  <si>
    <t>Le #numok2018 se poursuit sous le signe de la musique et des #jeuxvideo avec notre club 12+ spécial jeux de rythme ⬇️</t>
  </si>
  <si>
    <t>Rendez-vous aujourd'hui à 10h ! https://t.co/0jHuAN8Dx6</t>
  </si>
  <si>
    <t>Samedi 20 octobre, à 10h a lieu le1er Rendez-vous de la Petite #Enfance à la @mairiedu13 !
Caroline Morel, psychologue clinicienne, intervenante pour l’École des Parents et des Éducateurs d’IDF, abordera le thème du « Sommeil du jeune enfant - de la naissance à 6 ans » #Paris</t>
  </si>
  <si>
    <t>Les nouveautés passées au crible du Café-Lecture https://t.co/Nc4atJpF0e https://t.co/1uXCdXJVK6</t>
  </si>
  <si>
    <t>🎤🎸🎧+📺🎮= NUMOK
Notre cycle Musique et Jeux vidéo se poursuit avec un rendez-vous parents-enfants ou tous seront amenés à vocaliser, souffler, taper en rythme!
--&amp;gt;maintenant&amp;lt;-- https://t.co/LM9Sv5lwI3</t>
  </si>
  <si>
    <t>Et les enfants sortent des valises !!😂 @FestivalNumok @LILA_asso #bib2paris @bibliocite #bibliotheque #numerique #animation https://t.co/DBK4PIKqtU</t>
  </si>
  <si>
    <t>En plein tournage ! 😊😊@festivalnumok #bib2paris #bibliotheque #numerique #film #pixilation #stopmotion @LILA_asso @bibliocite https://t.co/iGt2eL3BZC</t>
  </si>
  <si>
    <t>On inaugure le @festivalnumok avec l’asso #LILA et son atelier de #Pixilation ! 
Voici un joli praxinoscope ! 😊😊#animation #film #cinema #bib2paris  #Numok @bibliocite https://t.co/xdBB9sTdzc</t>
  </si>
  <si>
    <t>LES BIBLIOTHÉCAIRES EN FONT DES HISTOIRES 
De belles histoires ce matin autour de la cabane de Julia Chausson https://t.co/m2X43okoEv</t>
  </si>
  <si>
    <t>Actuellement à la médiathèque : semaine 42 https://t.co/NjLi3kLUSx</t>
  </si>
  <si>
    <t>Jeudi 18/10 à 19h Vous saurez tout (ou presque) sur les GAGAM, la neutralité du net avec ⁦@vincib⁩ ⁦@bibvaugirard⁩ #numok2018 ⁦@FestivalNumok⁩  https://t.co/RUU9aVaeZD</t>
  </si>
  <si>
    <t>DEMAIN 🤓 https://t.co/BY8IE5Kac5</t>
  </si>
  <si>
    <t>Il reste des places ! N'hésitez-pas à nous appeler pour inscrire vos petiots à la dernière minute ! 😉😉 @FestivalNumok #Numok #bib2paris https://t.co/DErIpLCXXv</t>
  </si>
  <si>
    <t>Le mercredi 17 octobre à 14h30 en section Jeunesse, venez découvrir l'histoire de la conteuse Mélusine "Super Petit Pois" pour les petits à partir de 4 ans ! 
Entrée libre dans la limite des places disponibles. https://t.co/CnEogAGC4i</t>
  </si>
  <si>
    <t>Ça y est, l'exposition-jeux réalisée par Julia Chausson "Les murs ont des oreilles" est installée pour 2 semaines. On s'est dévoués pour la tester, c'est vraiment très chouette!😉
Et il reste quelques places pour l'atelier gravure mercredi 17 octobre de 14h à 16h,enfants 6-12 ans https://t.co/GTxYiTiFWr</t>
  </si>
  <si>
    <t>Le blason figurant sur l’illustration d’un ouvrage de Pétrarque conservé à la Bibliothèque Méjanes, a été, voici quelques siècles, badigeonné de rouge. Une médiéviste et trois chimistes mènent l’enquête #Méjanes #fondspatrimoniaux #livreancien #patrimoine https://t.co/EqpM6hMDhH</t>
  </si>
  <si>
    <t>CONFÉRENCE LES CLEFS POUR L'ART CONTEMPORAIN
Le design " Bauhaus"
📆Vendredi 26 octobre ⏰18h00
📍Bibliothèque Méjanes - espace Jules Isaac
#conférence #bauhaus #design #aixmaville https://t.co/OzzS6u5lvs</t>
  </si>
  <si>
    <t>Voici nos sélections #mercrediBD du mois de septembre ! https://t.co/dcR1uYPunp</t>
  </si>
  <si>
    <t>JEUNESSE
Plein plein plein de nouveautés en jeunesse, à découvrir dans nos bacs @bibvaugirard 😀 https://t.co/A73oWa8myv</t>
  </si>
  <si>
    <t>3ème édition du PRIX DE POÉSIE LUCIENNE GRACIA-VINCENT 2018  remise du prix jeudi 11 octobre à 18h30 à l’espace Jules Isaac - Bibliothèque Méjanes #fondationsaintjohnperse #aixmaville #prixpoesie https://t.co/1KJhVAs5mP</t>
  </si>
  <si>
    <t>Aujourd’hui nous vous proposons pas un événement mais bien deux !!! A deux endroits différents 🎉🎉🎉
MA VILLE EST UN GRAND LIVRE à la bibliothèque des Deux Ormes (au Jas de Bouffan) &amp;amp; LES INSTANTS LUDIQUES à la bibliothèque Méjanes ! 
#aixmaville #lesinstantsludiques https://t.co/jfj0KeUaX6</t>
  </si>
  <si>
    <t>C'est AUJOURD'HUI à 15h30 😉🤗🎬 https://t.co/yoqdU1Fp1n</t>
  </si>
  <si>
    <t>Rendez-vous prochainement pour un 2ème Repair Café à Locminé. Intéressé ? Contact sur le FB du Repair Café avant le 25/10 pour participer à une réunion de préparation https://t.co/0UQHhBC1DY</t>
  </si>
  <si>
    <t>#Douarnenez Samedi 6 octobre, entre la braderie et la foire Saint-Michel, il y a un temps pour discuter de nos découvertes culturelles : le bibliocafé de 10h30 à 12h avec café, thé et madeleines. Une thématique : la réalité, comment la déformer, la fuir, la retrouver... https://t.co/wlVPgZEO2H</t>
  </si>
  <si>
    <t>#VendrediLecture « La somme de nos folies » de Shih-li Kow : un roman chez @EditionsZulma qui vous entraîne à Lubok Sayong, en Malaisie, pour suivre les aventures folles de Mary-Anne et Auyong. Histoires de famille, vie de village et légendes étranges pour un dépaysement total ! https://t.co/5RVOwRf0tn</t>
  </si>
  <si>
    <t>https://t.co/suljedS48G</t>
  </si>
  <si>
    <t>Nouveau mobilier tout violet pour un espace aéré en section Jeunesse ! 
Venez visiter le nouvel aménagement des BD et des tables de travail à la bibliothèque ! 🙂🙂
#espace #fraîcheur #joyeux #bib2paris @mairiedu13 #13eme https://t.co/JDHR1FabzW</t>
  </si>
  <si>
    <t>https://t.co/iQoE7soOpe https://t.co/qVVCGXwcIh</t>
  </si>
  <si>
    <t>#mercrediBD
PLINE / Yamazaki, Tori 
Pline, émissaire de Rome et naturaliste à l'esprit curieux, fait la rencontre d'Euclès et le recrute comme scribe. Intrigues à la cour de Néron, remèdes contre les crises d'asthme : pas de temps mort👍https://t.co/2S6zIXGrRt https://t.co/CzkueVdQam</t>
  </si>
  <si>
    <t>Samedi 13 octobre à 14h30 pour le @FestivalNumok : atelier création film d'#animation "Pixilation" avec l'asso #LILA pour les enfants à partir de 8 ans!
A apporter, une clé USB pr repartir avec le film à la maison !😀😀
Sur inscription!
#numérique #bib2paris @mairiedu13 #festival https://t.co/Q6kpLmnCPB</t>
  </si>
  <si>
    <t>Aujourd'hui, zoom sur "Le peuple du chemin" de Marion Achard (sélection Prix @LesIncos). Espace jeunesse : https://t.co/Bp655cMvnt https://t.co/FIAze58JdH</t>
  </si>
  <si>
    <t>Une grande voix de la chanson française s’est éteinte.
Hommage au grand Charles #Aznavour https://t.co/OHWq2BccKF</t>
  </si>
  <si>
    <t>Voici les #vendredilecture du mois d’août sélectionnés par l’équipe😉
A emprunter @bibvaugirard et dans vos #bib2paris préférées !
https://t.co/hPKJnrrrwn</t>
  </si>
  <si>
    <t>https://t.co/gLlSgqLAhC</t>
  </si>
  <si>
    <t>En Octobre, un spectacle à voir en famille ! https://t.co/jrdIFToYs7 https://t.co/Ta9jG4eynN</t>
  </si>
  <si>
    <t>Elle est encore à découvrir jusqu'au 6 octobre😃🤗 
N'hésitez pas ! C'est un travail magnifique😉
#EXPO #ArtetTextile #Patchwork 
détails ici : https://t.co/edSnRedUnd https://t.co/Vt9YKnc5wk</t>
  </si>
  <si>
    <t>https://t.co/TobFTxrV6G
Georges Perros / Jean Daive, cinquième et dernier entretien. #GeorgesPerros #Douarnenez</t>
  </si>
  <si>
    <t>Cette semaine, aperçu de la vitrine consacrée aux animaux que l'on trouve dans les airs, notamment les #oiseaux de #Buffon. À découvrir  dans notre  exposition sur "L'illustration zoologique" du XVIe au XIXe  siècle : https://t.co/9vpi2ScLqX https://t.co/zgn2ChII8N</t>
  </si>
  <si>
    <t>Fête du livre du 11 au 14 octobre 2018 à la Cité du Livre - Aix-en-Provence @aixmaville 
En présence d'Urhan Pamuk les 11 et 12 octobre, Philippe Forest, Nathalie Crom, Gérard Meudal, Raphaël Bourgois ....
Pour + d'infos https://t.co/dQ6XwZueWQ https://t.co/ATK1ix2gzs</t>
  </si>
  <si>
    <t>https://t.co/KPH6qocZS5
Perros / Jean Daive, quatrième entretien. #GeorgesPerros #Douarnenez</t>
  </si>
  <si>
    <t>CONFÉRENCE 
Les Amis de la Méjanes vous propose une conférence de Mr Olivier Arnaud, secrétaire de l’association des amis du musée Edgar Mélik, sur le célèbre peintre surréaliste Edgar Mélik (1904-1976).
Jeudi 27 septembre à 18h30 - Salle Armand Lunel
Entrée libre https://t.co/1Av8J6Ls5R</t>
  </si>
  <si>
    <t>La bibliothèque des Deux-Ormes, au Jas, fête les 10 ans de « Ma ville est un grand livre » : ateliers, rencontres d’auteurs, expositions, lectures, spectacles, attendent le public pendant six semaines.  
Programme complet sur https://t.co/eI9zG1xxTX https://t.co/UIEMRbL5Yd</t>
  </si>
  <si>
    <t>https://t.co/LlDCwa3xeE
Comme promis par Mathilde Wagman durant la nuit rêvée de #EmmanuelGuibert diffusée samedi dernier, l'intégralité des entretiens entre Georges Perros et Jean Daive est proposée @franceculture ! #GeorgesPerros #Douarnenez</t>
  </si>
  <si>
    <t>Exposition  "ART TEXTILE" de Danièle Forte
à découvrir :  32 œuvres de patchwork contemporain aux horaires d'ouverture de la médiathèque
jusqu'au 29 septembre 2018 https://t.co/qew4kACvGP</t>
  </si>
  <si>
    <t>ERRATUM : il s'agit bien du samedi 6 octobre comme mentionné sur l'affiche ! https://t.co/AS22kXGBuJ</t>
  </si>
  <si>
    <t>Triplicate de Bob Dylan https://t.co/fkCUYoa8qQ</t>
  </si>
  <si>
    <t>Aujourd'hui, zoom sur "La saveur des bananes frites" de Sophie Noël (sélection Prix @LesIncos). Espace Jeunesse : https://t.co/OHc7Xfig7J https://t.co/bFQCI8kTkW</t>
  </si>
  <si>
    <t>Chouette atelier créatif qui se prépare en Jeunesse le 9 octobre à 14h avec le @TheatreDunois !
Les enfants pourront inventer des animaux hybrides inspirés des affiches du théâtre! 
(Sur inscription, de 6 à 10 ans)
Et à 15h, présentation de la saison du théâtre ouverte à tous! 😃 https://t.co/X8WaYINNeP</t>
  </si>
  <si>
    <t>France-Culture - dans à son émission "La nuit rêvée" - a laissé les  platines à #EmmanuelGuibert : l'artiste étant un Perrossien, il a choisi de nous faire entendre le  poète s'exprimant au micro de Jean Daive en 1976. #GeorgesPerros #Douarnenez : https://t.co/HHIfbWvriW</t>
  </si>
  <si>
    <t>SITE DES BIBLIOTHÈQUES
Nouveau look à découvrir : bibliothèque numérique, jeunesse, musique... https://t.co/kdUPD29lD6 https://t.co/6aKTIRqDX0</t>
  </si>
  <si>
    <t>Retrouvez les #mercrediBD sélectionnés par l’équipe en août ! A emprunter ou réserver @bibvaugirard https://t.co/SaQS764s1l #bib2paris</t>
  </si>
  <si>
    <t>#vendredilecture NASH : la maladie de la malbouffe / Dr Dominique Lannes 
Ce livre apporte des informations médicales ainsi que des solutions préventives à ce problème de santé publique qu'est l'augmentation de l'obésité chez les jeunes générations https://t.co/y28L9F3TAs https://t.co/UNOBytbFta</t>
  </si>
  <si>
    <t>Aujourd'hui à 17h45, Pause selec' Plateformes à la bibliothèque ! L'heure de l'aventure a sonné ! 🤠 #jeuvideo #jeuxvideoenbibliothèque https://t.co/qPIrEnDMRA</t>
  </si>
  <si>
    <t>#mercrediBD Claude et Morino /Adrien Albert
Morino, un jeune taureau solitaire, fait pipi sans le faire exprès sur Claude, un petit squelette tout vert. Une jolie BD surprenante, drôle, pétillante, pleine de peps, d’humour et d’amitié. A partir de 7 ans https://t.co/bq8UM8mcxy https://t.co/zy15jUcUst</t>
  </si>
  <si>
    <t>A découvrir jusqu'au 29 septembre 😉 https://t.co/NiTEtiktlK</t>
  </si>
  <si>
    <t>Aujourd'hui, zoom sur "HH" de Hyphen Hyphen. Espace Cinémusique : https://t.co/r12vFHK5pN https://t.co/8gRToOPENx</t>
  </si>
  <si>
    <t>Empruntez les textes de Patrick Modiano dans vos #bib2paris préférées 📚 https://t.co/EWtYFJJpl0</t>
  </si>
  <si>
    <t>Cet après-midi, premier atelier de l'arbre émaux de Locminé à la médiathèque, on apprend à modeler et décorer l'argile. Prochains ateliers le 29 septembre (modelage) et le 13 octobre (émaillage). Vous pouvez encore vous inscrire au 02 97 61 01 70 ou... https://t.co/6tKKeaEYRp</t>
  </si>
  <si>
    <t>Construction d'hôtels à insectes ce samedi matin avec des enfants du Conseil municipal des jeunes. La médiathèque aussi à désormais SON hôtel à insectes. Merci à l'association Cardamines et Libellules et aux enfants du CMJ !</t>
  </si>
  <si>
    <t>#INVITATION #Vernissage #Exposition
#Art et #Textile de Danièle FORTE
à 16h à la #médiathèque #Châteaurenard
On vous y attend 🥂 https://t.co/IppvxKXRJP</t>
  </si>
  <si>
    <t>https://t.co/cIjfQlh5TY</t>
  </si>
  <si>
    <t>Aux livres les petits ! https://t.co/FzUVukbhFc https://t.co/bQ6PiRm7WD</t>
  </si>
  <si>
    <t>Cinéma https://t.co/6vpht0BiUZ https://t.co/ofSvdMyk9z</t>
  </si>
  <si>
    <t>A ne pas oublier   : ce soir 19h ! 🥂 https://t.co/PNroG3y1RJ</t>
  </si>
  <si>
    <t>Aperçu de la vitrine consacrée à la mer à découvrir dans notre exposition sur "L'illustration zoologique" du XVIe au XIXe siècle : https://t.co/9vpi2ScLqX https://t.co/nSXgUYkbz9</t>
  </si>
  <si>
    <t>Exposition de photos "Duos" par Guylaine Coquet, photographe animatrice photo MJC Aix-en-Provence et APT
Du 22 septembre au 3 novembre 2018
Bibliothèque Méjanes
 #aixenprovence #exposition #photos 
@aixmaville @LaMejanes https://t.co/6wGhbNbSz9</t>
  </si>
  <si>
    <t>DEMAIN 🙂 https://t.co/PNroG3y1RJ</t>
  </si>
  <si>
    <t>Que se cache-t-il dans les réserves de la Bibliothèque de Beaune ? Réponse en vidéo avant les visites programmées pour les #JEP2018 ! https://t.co/OExgCkOIwy</t>
  </si>
  <si>
    <t>Hum, hum… problème technique… https://t.co/SOcsLVqLf3 https://t.co/nMwZMKJ32y</t>
  </si>
  <si>
    <t>Aujourd'hui, zoom sur "Nos cœurs tordus" de Séverine Vidal et Manu Causse (sélection Prix @LesIncos). Espace Jeunesse : https://t.co/BSvyKh8c03 https://t.co/dLvwn5ZbSu</t>
  </si>
  <si>
    <t>Bullez Jeunesse ! : "Bichon" de David Gilson https://t.co/RflImGWlGD</t>
  </si>
  <si>
    <t>Vendredi 14 septembre à 19h : 
#APÉRO #CULTURE
Venez nous retrouver exceptionnellement #Salle de l'#Étoile pour être informés en avant première de l'#actualité #culturelle de la #médiathèque et de la #salle de l'#Étoile.
Ouvert à tous. https://t.co/BOD4KzXn7y</t>
  </si>
  <si>
    <t>JEUNESSE
Nouveauté de la rentrée ! Des jeux de société sont à votre disposition pendant les heures d'ouverture de l'espace jeunesse. N'hésitez pas à nous les demander. https://t.co/6ujYhyiwVy</t>
  </si>
  <si>
    <t>Aujourd'hui à 14h30 https://t.co/NiTEtiktlK</t>
  </si>
  <si>
    <t>EXPOSITION "Art Textile" de Danièle Forte
du 8 au 29 septembre 2018
Vernissage le samedi 15 septembre à 16h.
À découvrir, 32 œuvres de patchwork contemporain aux horaires d'ouverture de la médiathèque.
Détails ici : https://t.co/edSnRedUnd https://t.co/eSwB4fdLzg</t>
  </si>
  <si>
    <t>Du 11 au 14 septembre, braderie de livres et cd déclassés à la médiathèque de #Douarnenez https://t.co/16113sk64F</t>
  </si>
  <si>
    <t>Aujourd'hui, zoom sur "À l'aube" de Philippe Djian. Espace Grand public : https://t.co/mIOqgPd7w3 https://t.co/W0hlG5iZxt</t>
  </si>
  <si>
    <t>Marion / vacataire étudiante en août
L’été c’est sympa mais on a besoin de renfort dans nos bibliothèques, car on a toujours des projets sur le feu pour la rentrée et puis on est ouvert tout l’été pour le public! #bib2paris https://t.co/b3SjEvCKSt</t>
  </si>
  <si>
    <t>Samedi 8 septembre de 14h30 à 17h.
#Atelier d'#écriture proposé en partenariat avec l'Association l'#Affabuloir et animé par Sylvie Hernandez.
Les débutants et les curieux sont les bienvenus.
Détails : https://t.co/KE0yc9bQK2 https://t.co/WvlSwIN9Er</t>
  </si>
  <si>
    <t>DEMAIN à 15h30
MALLE aux HISTOIRES
#Lecture d'#albums pour les #enfants de 3 à 6 ans.
https://t.co/aptrCGoGha https://t.co/puaWD5OtuY</t>
  </si>
  <si>
    <t>Aujourd'hui, zoom sur "Le petit prince de Calais" de Pascal Teulade (sélection Prix @LesIncos). Espace Jeunesse : https://t.co/coBFbrmOxa https://t.co/Qe5aMI5JZQ</t>
  </si>
  <si>
    <t>Expo Photos Isabelle Faillard
"Quand les gouttes deviennent des océans"
Voyages et récits photographiques sur l'eau.
Vernissage samedi 8 septembre à 12 heures. https://t.co/9RkiJd17Oy</t>
  </si>
  <si>
    <t>SILENCE ON LIT
C’est quoi? Un chouette projet autour de la lecture avec l’association « Silence on lit », le collège/lycée Camille Sée et notre bibliothèque @bibvaugirard #bib2paris #paris15 @paris @Academie_Paris https://t.co/0SBOkVIAOb</t>
  </si>
  <si>
    <t>INFOLETTRE SEPTEMBRE 
Demandez le programme de la rentrée 😀: les bibliothécaires en font des histoires, des jeux, lecture / Festival Lettres d’Israël https://t.co/O8FuyztNHG https://t.co/wuR7QaCjBM</t>
  </si>
  <si>
    <t>C'est aujourd'hui à 15h30.
Entrée libre et gratuite.😀 https://t.co/dXEWU8yxQn</t>
  </si>
  <si>
    <t>A graver sur vos tablettes!😉 https://t.co/cAEU1mvFSF</t>
  </si>
  <si>
    <t>https://t.co/XpmFZKQYZq</t>
  </si>
  <si>
    <t>Aujourd'hui, zoom sur "Bye bye Bollywood" d'Hélène Couturier (sélection prix @LesIncos). Espace Jeunesse : https://t.co/40tbrTRsMS https://t.co/764IpZX7WI</t>
  </si>
  <si>
    <t>Bibliothèque d'Alphonse Denis : Histoire des poissons de Guillaume Rondelet https://t.co/DKgdXdUP96</t>
  </si>
  <si>
    <t>NOUVEAU PANNEAU D’AFFICHAGE
Bientôt le programme de la rentrée! https://t.co/mRi16ZxcP2</t>
  </si>
  <si>
    <t>#Perledebiblio Ce matin, on nous a demandé un livre, qu'on devait aller chercher en réserve. 
« Ah, parce que dans la réserve aussi vous avez des rayonnages ? »
Non non, des arches de livres. Mais c'est un secret 🤫 https://t.co/T43PJSWwkO</t>
  </si>
  <si>
    <t>#MarquePageInsolite Magnifique chronique de notre exposition sur les Petits Bouts de Vie par @muriel_gilbert sur @RTLFrance ce matin !! Merci à elle pour sa présentation enthousiaste et passionnée 🥰 Rediffusion aujourd'hui vers 12h50 ou en replay ici : https://t.co/ZU5sKoMqgN</t>
  </si>
  <si>
    <t>https://t.co/PsyAvrcOja https://t.co/sjdMCOQIua</t>
  </si>
  <si>
    <t>INFO : Le site de la médiathèque est temporairement inaccessible en raison de problèmes techniques...☹️
Veuillez nous en excuser. https://t.co/hXwY73l9kl</t>
  </si>
  <si>
    <t>Participez au 1er marathon Photo organisé par le Photo club de Locminé le 22 septembre prochain, la médiathèque sera lieu d'accueil !
Inscriptions auprès du photo club. https://t.co/G9FZgF3Yqi</t>
  </si>
  <si>
    <t>A la Une : un roman historique https://t.co/uRSrlsvZTJ https://t.co/1ehUZwN6LH</t>
  </si>
  <si>
    <t>COUP DE CŒUR JEUNESSE
Toi-même / M. Duval
Adèle et Louison sont jumelles. Leurs parents viennent les chercher après leur cours de natation, mais aujourd'hui ils tardent un peu. A. reste sur le parking à les attendre tandis que L. décide de rentrer à pied https://t.co/aBdMlnXW0m https://t.co/D6VtPjSlbp</t>
  </si>
  <si>
    <t>Ça y est! :)
L'équipe de la médiathèque est de retour :o)
On vous accueille dès aujourd’hui :o)
#Rentreelitteraire2018  #heureuxdevousrevoir https://t.co/ahKdJov3rn</t>
  </si>
  <si>
    <t>CINÉ 
Notre cinéma de quartier préféré @CinemasChaplin Saint-Lambert a rouvert ses portes après quelques travaux. Voici les films à l’affiche cette semaine : petit faible pour Parvana!
https://t.co/lZkliueYcU https://t.co/AgBsy0HniH</t>
  </si>
  <si>
    <t>But WHO is the new LiBEARian ? 🐻
Mais qui est donc ce nouveau bibliothécaire ? 🍯
 #librairies #album #coupdecoeur #anglais @MaverickPublish #jeunesse #books #livres https://t.co/UK0wDjxGyi</t>
  </si>
  <si>
    <t>Goscinny a créé de nombreux héros : à emprunter  @bibvaugirard https://t.co/E9aTvGQFy7</t>
  </si>
  <si>
    <t>Pour ce #MardiMusique, que diriez-vous d'un petit #endirectdeladisco ? Nous vous proposons de suivre en temps et heure les albums que nous passons dans le secteur discothèque. N'hésitez pas à nous faire des suggestions (coucou #MardiConseil) 🎶</t>
  </si>
  <si>
    <t>Notre petite expo est présentée dans le #64minutes du 12 août sur @TV5MONDE ! 🥰😍 Merci @nicolasgeorge_ !
Si vous voulez (re)voir l'émission, ça se passe là : https://t.co/TD6GtTSfzq (on parle de nous à partir de 16 min 50, mais n'hésitez pas à voir l'intégralité de l'émission) https://t.co/fM7dLE4OIV</t>
  </si>
  <si>
    <t>Aujourd'hui, c'est la journée mondiale du #Lion ! Profitons-en pour découvrir une #enluminure de notre #manuscrit 1, #Bible du 11 ème siècle, avec Saint #Marc accompagné du symbole qui lui est associé, un lion ! https://t.co/eMzY4QEird</t>
  </si>
  <si>
    <t>Jeux video &amp;amp; Histoire de l'art à Lyon, mars 2019⬇️ https://t.co/v5UzI7ixOe</t>
  </si>
  <si>
    <t>Voici les #vendredilecture du mois de juillet sélectionnés par l’équipe @bibvaugirard 
https://t.co/ttX91PKDKJ</t>
  </si>
  <si>
    <t>Nous fêtons la #JournéeInternationaleDuChat avec la talentueuse illustratrice Isabelle Simmler qui dessine si bien nos petites boules de poils ❤️😻
#journeeduchat #ChatAlors #journeeinternationaleduchat #dessins #talent #CatDay https://t.co/WTIRA3fSrW</t>
  </si>
  <si>
    <t>Sélection de #musique et #films pour la #journeeinternationaleduchat 🐱#InternationalCatDay https://t.co/Z86KiDunQ4</t>
  </si>
  <si>
    <t>Pour la #journeeinternationaleduchat, on vous prépare des sélections thématiques dans chacun des secteurs ! 🐱
Pour commencer, les #livres 📚📖 #InternationalCatDay https://t.co/x4jfYWocdc</t>
  </si>
  <si>
    <t>Le Don Giovanni d’Aix-en-Provence en 1949. 
Conférence sur les décors de Cassandre de Mme Clara Cohen, étudiante en histoire de l'art. Samedi 15 septembre à 15 h - Salle Armand Lunel - Entrée libre - Renseignements au 04 42 91 98 88 #mejanes #aixmaville #conference #dongiovanni https://t.co/f8ItP7cZlC</t>
  </si>
  <si>
    <t>Pour ne pas vous accueillir dans le four intenable qu'est devenu notre 
bâtiment à cause de la chaleur, la bibliothèque fermera aujourd'hui à 
17h exceptionnellement...L'équipe vous souhaite une belle journée pleine d'ombre, d'hydratation intensive et de ventilateurs... #canicule https://t.co/CI3P0OC4i3</t>
  </si>
  <si>
    <t>Réalité virtuelle @laBnF ?!! On a hâte de venir essayer ! #jeuxvideo #jeuvideo #jeuvideoenbibliothèque #VR https://t.co/ICW0RxSJ24</t>
  </si>
  <si>
    <t>#endirectdeladisco
Aujourd'hui, nous vous proposons de suivre en temps et heure les albums que nous passons dans le secteur discothèque. N'hésitez pas à nous faire des suggestions 😉🎶🎵</t>
  </si>
  <si>
    <t>https://t.co/7csU8IRbFK</t>
  </si>
  <si>
    <t>Fermeture d’été… https://t.co/SJ6TFUwuyk https://t.co/FkhrNSUeMy</t>
  </si>
  <si>
    <t>Festi’Petits https://t.co/kvBaI6MuJ5 https://t.co/QFMl86kK9w</t>
  </si>
  <si>
    <t>Ateliers multimédia adultes, Octobre 2018 https://t.co/JQanXqnJNy https://t.co/SJgNMTXdIC</t>
  </si>
  <si>
    <t>Forum des associations https://t.co/Qe7g2KC2vm https://t.co/c9rCHlnI5S</t>
  </si>
  <si>
    <t>Cinéma italien https://t.co/bBav1YLUG7 https://t.co/HYIm6ejDvW</t>
  </si>
  <si>
    <t>Rencontre personnes remarquables https://t.co/GkLEgi00Rw https://t.co/hWyEC20luK</t>
  </si>
  <si>
    <t>Belle surprise cette semaine en feuilletant un #manuscrit sur papier du 18ème siècle « De corpore coelesti disputatio » : cours de physique, en latin. On y trouve à la fin ce beau #portrait à la #sanguine !! https://t.co/fXfjyPuR7J</t>
  </si>
  <si>
    <t>En raison des fortes chaleurs☀️,  la bibliothèque fermera ses portes aujourd'hui et demain à 17h00. Pensez à vous hydrater💧 ! https://t.co/4h3zlgmPnt</t>
  </si>
  <si>
    <t>Canicule... encore!
Fermeture exceptionnelle à 17h vendredi 3 et samedi 4 août en raison des températures très élevées dans la bibliothèque.
@mairie15 tient à votre disposition des espaces au frais. Merci de votre compréhension. https://t.co/EzyU9MYmDZ</t>
  </si>
  <si>
    <t>La boîte à livres… https://t.co/NXwJNxBNTa https://t.co/AvXCUQfjQb</t>
  </si>
  <si>
    <t>A la Une : le deuxième roman de Céleste Ng https://t.co/GeIn4Sa50D https://t.co/0Zbpw9fCNN</t>
  </si>
  <si>
    <t>Vous le savez, début de mois rime avec nouveaux films à réserver !  Rendez-vous sur le site de la médiathèque pour cliquer sans modération :   https://t.co/F3kGJvbanA. https://t.co/YgjO9AdX9b</t>
  </si>
  <si>
    <t>MERCATO D’ÉTÉ 
POSTE / Toi qui travailles dans les #bib2paris, tu as vu la fiche de poste d’AASM Adultes @bibvaugirard ? Tu peux la consulter sur Wikibib ou me la demander @fabbib75 https://t.co/3qtE5UpXAd</t>
  </si>
  <si>
    <t>PEINTURE
Les travaux ont bien avancé et votre bibliothèque reste ouverte bien sûr! Ce rafraîchissement fait du bien.
https://t.co/p0GKKQggnH https://t.co/ALlxyPGyZx</t>
  </si>
  <si>
    <t>Observons l’évolution de l’utilisation des marque-pages 🧐 #MarquePageInsolite https://t.co/Aek91hXk57</t>
  </si>
  <si>
    <t>ATTENTION ce soir 18h https://t.co/WbrZgAUESs</t>
  </si>
  <si>
    <t>RAPPEL : Fermeture estivale demain 18h !
Vous avez donc encore aujourd'hui et demain pour venir faire vos choix de lecture :) 
Sinon RDV le vendredi 17 août à 10h pour la reprise :) https://t.co/c0j7SlvyrF</t>
  </si>
  <si>
    <t>A la Une : Science-fiction https://t.co/CdR7qG0lDG https://t.co/t0G16leJ3l</t>
  </si>
  <si>
    <t>Aujourd'hui, zoom sur "L'été de la haine" de David Means. Espace Grand public : https://t.co/ra8fWCmyzZ https://t.co/s92wLkqPMG</t>
  </si>
  <si>
    <t>Belle découverte ce matin dans nos réserves ! C'est de saison : un recueil de conchyliologie de Niccolo Gualtieri imprimé à Florence en 1742(branche de l’histoire naturelle consacré aux mollusques à coquilles).#mejanes #livreancien #illustration #estampe #coquillages https://t.co/Z1zhLsLHE7</t>
  </si>
  <si>
    <t>Rencontre avec Ramona #badescu Avec Nicolas Soheylian, chanteur. 
Venez partager un moment de lecture avec Ramona Badescu, auteur de la série « Pomelo ». Atelier Lecture - Parc Saint Mitre - Jeudi 2 août de 16h à 17h30 pour les 5/12 ans. Inscription 04 42 91 98 77. #mediabus #aix https://t.co/yNeRW93QfS</t>
  </si>
  <si>
    <t>A la Une : photos et anecdotes… https://t.co/SZ9uaeCamc https://t.co/o8l40QjD7C</t>
  </si>
  <si>
    <t>BONS PLANS Où pique-niquer à Paris ?
Rien de tel qu'un déjeuner sur l'herbe pour profiter pleinement de l'été ! Voici notre sélection des meilleurs spots pour casser la croûte au vert https://t.co/p9LmkBKsnP
Saurez-vous reconnaître le jardin de la photo ? https://t.co/NuNhJSPwTr</t>
  </si>
  <si>
    <t>Thread « Petits bouts de vies retrouvés dans les livres » 📚. 
Depuis 6 ans nous collectionnons les marques-pages oubliés par nos lecteurs, voici une sélection des plus savoureux que nous exposons actuellement. On commence avec cette déclaration d’amour toute mignonne 😊 https://t.co/jJu8JKezaG</t>
  </si>
  <si>
    <t>https://t.co/iDitcLRKJ6</t>
  </si>
  <si>
    <t>JEUNESSE : Zoom sur Christian Voltz
Son dernier album « Loupé ! », vaut le détour : il met en scène un papy attendant patiemment le bus d’un côté et un jeune qui passe les nerfs sur son portable de l'autre. Savoureux, à ne surtout pas louper ! 😉 https://t.co/JLedfC643N https://t.co/dXHLj4xg8E</t>
  </si>
  <si>
    <t>Depuis plusieurs années nous collectionnons en secret ce que nos lecteurs oublient dans nos livres. Avec cette petite exposition c'est l'occasion de leur rendre des marques-pages parfois originaux (papier toilette) ou émouvants (déclaration d'amour). https://t.co/8BZEqy6DN6</t>
  </si>
  <si>
    <t>#vendredilecture
Utopies réalistes / Rutger Bregman 
Marre du pessimisme ambiant ? Lisez cet essai dans lequel l’auteur démonte les préjugés et donne quelques pistes pour construire un monde meilleur : revenu de base universel, semaine de travail de 15h, lutte contre la pauvreté https://t.co/aoPG1JcGF3</t>
  </si>
  <si>
    <t>#Coupdecoeur des lecteurs : la série Locke &amp;amp; Key, par @joe_hill et @GR_comics. Suivez les aventures de Tyler, Bode et Kinsey dans leur nouvelle maison un peu particulière. Prêts à ouvrir toutes les portes de ce manoir ? À vos risques et périls ! @VendrediLecture https://t.co/bJi6j6pBML</t>
  </si>
  <si>
    <t>Pour ce #JeudiPhoto, on pose les bases de notre nouveau défi : un #Abécédaire en #lettrines et #enluminures à partir de nos collections. Ici, un joli A au décor floral sur le folio 13r. du ms. 002. #Patrimoine #manuscript #medievaltwitter https://t.co/6NPXq00pQT</t>
  </si>
  <si>
    <t>On est bien là à l'ombre des arbres... #PartirenLivre
Goûter lecture au jardin mercredi 18 juillet 2018 https://t.co/whrBlWkdjI</t>
  </si>
  <si>
    <t>#mercrediBD : "La brigade des cauchemars" de Franck Thilliez et Yomgui Dumont 
Excellent scénario du maître du suspens Franck Thilliez, et dessins très réussis. Bref un bon album pour frissonner en famille, dès 10 ans. https://t.co/xJKs1gfVHb https://t.co/MPjdtIYc2K</t>
  </si>
  <si>
    <t>VENTE de LIVRES, de REVUES et de CD d'occasion
jusqu'au 31 août à l'auditorium de la médiathèque (2ème étage).
Plus de 2000 documents, livres, revues ou CD sont proposés à la vente à petits prix, entre 0,50 et 2 € l'unité.
VENEZ ! On vous attend :) https://t.co/D8wzfDDRSq</t>
  </si>
  <si>
    <t>Aujourd'hui, zoom sur "Camera" de Cascadeur. Espace Cinémusique : https://t.co/DeuXs0eN1C https://t.co/91mqL7Yw3o</t>
  </si>
  <si>
    <t>Aujourd'hui, zoom sur "Lucky losers" de Laurent Malot. Espace Jeunesse : https://t.co/q7N5Rm4xZ2 https://t.co/MDEkuKJHm0</t>
  </si>
  <si>
    <t>Pdt les travaux, la bibliothèque vs accueille avc un beau tapis bleu de compétition !! (c’est pas Cannes, mais on fait ce qu’on peut !😂)La section Adultes vous attend, et la section Jeunesse (qui a hâte de vous retrouver) réouvrira début août ! 👍
#bib2paris @mairiedu13 #travaux https://t.co/9GUItbesto</t>
  </si>
  <si>
    <t>Envie d'en savoir plus sur la statue de #Monge située dans le centre de #Beaune ? Venez visiter notre exposition ! En collaboration avec @ArchivesBeaune, une vitrine est consacrée à l'inauguration du monument. Ce n'est pas l'#ArcDeTriomphe, mais presque ! https://t.co/fCnTnV5tL5</t>
  </si>
  <si>
    <t>Une très belle après-midi jeudi 12 juillet. Rencontre avec l'illustratrice Julie Escoriza. Lecture numérique et atelier création d'un livre collectif numérique. C'était chouette ! Merci #Bibliothèque13  #LaMarelle https://t.co/tytqsu10Yc</t>
  </si>
  <si>
    <t>Séance hebdomadaire de #BHLM pleines de lectures en plein air ! 
Les bibliothèques Italie et Glacière au square René Le Gall tous les mercredis du mois de juillet de 16 à 18h !! 😊😊 @mairiedu13 @jerome_coumet #Bib2Paris @bibliocite #13eme #lecture @partirenlivre #été https://t.co/fh8wBPLBfr</t>
  </si>
  <si>
    <t>A la Une : Un peu de fraîcheur… https://t.co/dZSwtbgIeX https://t.co/ECjv6yvCnM</t>
  </si>
  <si>
    <t>Une soirée jeux aura lieu exceptionnellement cet été à la bibliothèque le vendredi 27 juillet !
Tenue décontractée exigée 😉 https://t.co/xqCtQBjMfv</t>
  </si>
  <si>
    <t>Bibliothèque d'Alphonse Denis : Histoire des poissons de Guillaume Rondelet https://t.co/BBcyWU3DwY</t>
  </si>
  <si>
    <t>#Partirenlivre ! nous sommes prêtes !
Première animation le jeudi 12 juillet de 14 à 16h !
Comment? Vous n'êtes toujours pas inscrit(e) ? https://t.co/GVVuLKsoAT</t>
  </si>
  <si>
    <t>A la Une : il est temps de prendre le large… https://t.co/XvD7Gl6BWa https://t.co/kq9bIW25o8</t>
  </si>
  <si>
    <t>A la Une ce samedi https://t.co/gPgI5wPkYB https://t.co/ppKi6VtXOT</t>
  </si>
  <si>
    <t>Samedi 7 juillet à 15h30
#GRANDECRAN : projection d'un film français de 2015 - 1h50
Entrée libre et gratuite
https://t.co/qbMTDnZC8G https://t.co/Gzz7YbwP0s</t>
  </si>
  <si>
    <t>A vous de jouer… avec les jeux géants ! https://t.co/ol2Nn0HqkY https://t.co/bPcZJ4ymK4</t>
  </si>
  <si>
    <t>#mercrediBd : L'homme qui n'aimait pas les armes à feu / Lupano et Salomone
Ns suivons les aventures de Byron Peck, avocat véreux en quête de rédemption &amp;amp; Hoggard géant danois bourru à la poursuite de Margot de Gatine, superbe créature vénéneuse à souhait https://t.co/nVSIT5akQq https://t.co/9oNwznG516</t>
  </si>
  <si>
    <t>MAIS C'EST TROP GENTIL ÇA (ladite bibliothèque rougit devant tous ces égards). On sera là 👾. https://t.co/1s2WfAJS77</t>
  </si>
  <si>
    <t>La #bibliothequemejanes organise une #conference sur les éclipses, orientée autour de l’éclipse totale de lune du 27 juillet 2018. Mercredi 18 juillet à 18h30 / Salle Expo / Entrée libre / Durée : 1h. Un apéritif dînatoire à 19h30 sera proposé – Cour carrée. #aixmaville #Eclipse https://t.co/HTkTdIbGjK</t>
  </si>
  <si>
    <t>La bibliothèque propose trois animations dans le cadre de l'édition 2018 "Partir en livre" avec la collaboration de la bibliothèque départementale. Nombre de places limité. Inscription 04.32.61.10.16 ou bibliotheque.molleges@orange.fr https://t.co/MgkPVzjfC2</t>
  </si>
  <si>
    <t>Allez vous mettre au frais devant un bon film!😅 https://t.co/f5mrVGmstX</t>
  </si>
  <si>
    <t>AUJOURD'HUI 10h30 ! 🤗 https://t.co/N0Z5i9tvXQ</t>
  </si>
  <si>
    <t>A la une : le match des thrillers ! https://t.co/O36WLuPYBA https://t.co/3JzInLxA4K</t>
  </si>
  <si>
    <t>Mardi 3 juillet 13-19h
FERMETURE EXCEPTIONNELLE
En raison d'1 formation interne
L’équipe travaille sur les projets à venir : vous proposer des collections (livres, DVD) attractives📚des animations + diversifiées pour les enfants et les + grand·e·s🤩
Merci de votre compréhension. https://t.co/4wAD4QKtKo</t>
  </si>
  <si>
    <t>#SimoneVeil était à Beaune en 1975 ! https://t.co/eBsuYYBy9U</t>
  </si>
  <si>
    <t>🌾🌺Cet été, la #bibliothequemejanes s'adapte à vos besoins !🌴🌻
Vous pouvez emprunter plus, maximum 30 documents et 7 DVD (films).
Si vous êtes en vacances loin de la bibliothèque, les offres #numeriques sont toujours accessibles par un petit clic sur https://t.co/ej1YGZlnLJ https://t.co/GGp3xLhMnu</t>
  </si>
  <si>
    <t>#fermetures d'été - Les #bibliothèques de proximité seront fermées :
 - bibliothèque Li Campaneto : du 7 au 11 août
 - bibliothèque de la Halle aux grains : du 14 au 18 août
 - bibliothèque des Deux-Ormes : du 21 au 25 août 
 - le Médiabus : du 11 au 25 août  #aixmaville https://t.co/Hlg1go7duQ</t>
  </si>
  <si>
    <t>#fermetures d'été - La bibliothèque #mejanes restera ouverte tout l’été, à l’exception des jours suivants :  samedi 14 juillet, mardi 14 août, mercredi 15 août #aixmaville https://t.co/t5PvazcQJw</t>
  </si>
  <si>
    <t>Une nouvelle rubrique à suivre pendant l’été ! https://t.co/hfOo1IPGvs https://t.co/UFBD9juSmI</t>
  </si>
  <si>
    <t>https://t.co/HgmPiZvcqW</t>
  </si>
  <si>
    <t>Profitez de l’été pour vous cultiver à volonté ! https://t.co/ajNHj0VFAh https://t.co/QNnT9RG2J7</t>
  </si>
  <si>
    <t>Encore quelques jours pour en profiter🤗🙂 https://t.co/gbByiPNsPU</t>
  </si>
  <si>
    <t>Quelques images du fabuleux spectacle "Petit salon de musique" ! La cie  Mairol vous attend samedi 30 juin à la bibliothèque des Deux-Ormes ! Rdv  à 15h30 ! #bibliothequemejanes #aixenprovence #spectacle #ciemairol https://t.co/Xqeye4EwQB</t>
  </si>
  <si>
    <t>Actuellement à la médiathèque : semaine du mardi 26 au samedi 30 juin 2018 https://t.co/tlHbtFyXE7</t>
  </si>
  <si>
    <t>Les vacances arrivent et, entre le travail et le mauvais temps, vous ne les avez pas vu arriver? Vous n’avez encore rien prévu ? Pas de panique, la Méjanes est là, avec son site https://t.co/ej1YGZlnLJ  #bibliotheque #aixmaville #numerique</t>
  </si>
  <si>
    <t>#mercrediBD : The Manhattan Projects T.1 J. Hickman, N. Pitarra Informés de l’imminence de découvertes primordiales, les Etats-Unis rassemblent secrètement les plus grands scientifiques de la planète... A emprunter @bibvaugirard https://t.co/v7B1nt39j6 https://t.co/Jzqs2vOJw9</t>
  </si>
  <si>
    <t>Aujourd'hui, zoom sur "Verdi-Wagner : Imaginaire de l'opéra et identités nationales" de Timothée Picard. Espace Grand public : https://t.co/mWGAxOLY6N https://t.co/pFRYL6anWS</t>
  </si>
  <si>
    <t>En pleine Lecture-concert autour du spectacle de Margualette adapté du célèbre album du Père Castor ! Au top ! 😊😃 #lecture #concert #bib2paris #Paris #Jeunesse https://t.co/qTvmU6ZgVl</t>
  </si>
  <si>
    <t>Vacances d’été https://t.co/G1UHp51zDb https://t.co/H8QZ1jM6A4</t>
  </si>
  <si>
    <t>Le 14 juin dernier, vous étiez nombreux à participer à l'évènement "Au carrefour de l'info" en présence de Daniel Mermet! #bibliothequemejanes #aixenprovence #Actualite #lesamisdumondediplomatique #institutdelimage https://t.co/WQYn2CzA0K</t>
  </si>
  <si>
    <t>CONCERT Talentueuse @AnaisLow 👍 @bibliocite @GroupeRATP https://t.co/g6lYCWBuIZ</t>
  </si>
  <si>
    <t>Sublime fresque au dessus du Carrefour Express, à Chevaleret ! 😍#13eme @mairiedu13 #StreetArt #Paris @Art_mural #urbanart #art @jerome_coumet https://t.co/Ogeb5yPeYb</t>
  </si>
  <si>
    <t>De l'art de composer un titre pour le mettre en valeur !
Aristote, Livre de la Physique, Labyrinth Press, 1986. @DesignMuseum
#FontSunday #DimancheTypo #bibliophile #Patrimoine #Aristote https://t.co/HMIVtSGJ6q</t>
  </si>
  <si>
    <t>On est À FOND !! 😂😂 ⚽️⚽️🎉🎉#Mondial #Russia2018 #foot #WorldCup⁠ ⁠ #WorldCupRussia2018 #AllezLesBleus #bib2paris #bibliotheque https://t.co/iqSONVz0SG</t>
  </si>
  <si>
    <t>Fonds #Provence : Il n'y a pas que les #JEP dans la vie, ni que des figues à Solliès-Pont :  il y a aussi le moteur hydraulique de M. Teissier. https://t.co/Qq3dIjzYE4</t>
  </si>
  <si>
    <t>L'antenne de la médiathèque à #Giens https://t.co/ccs867TrXm</t>
  </si>
  <si>
    <t>Toi qui travailles dans les #bib2paris, tu as vu la fiche de poste d’AASM Adultes @bibvaugirard ? Alors contacte-nous! https://t.co/N8xBQTE2kT</t>
  </si>
  <si>
    <t>La parole est à vous ! Nous souhaitons remercier les usagers de la #mejanes pour leur intérêt à cette #enquete. En effet, nous comptabilisons à cet instant 1126 réponses ! Le #questionnaire restera encore actif jusqu’au 16 juin. Questionnaire : https://t.co/ZIYPnU3Ewt #aix #inet https://t.co/ymdLjZJAvu</t>
  </si>
  <si>
    <t>Exposition 'Secrets de jardins' https://t.co/vPpitocC6j https://t.co/0V3AvNDVQZ</t>
  </si>
  <si>
    <t>Prix des lecteurs du VAR https://t.co/iuyGsOMKbU https://t.co/NyyX0D63RI</t>
  </si>
  <si>
    <t>July Gaming Sessions https://t.co/MSwMAlFJKV https://t.co/Z9i6PVgqY7</t>
  </si>
  <si>
    <t>July Gaming Sessions https://t.co/jAvpuGkl8s https://t.co/wrfkiIEfKL</t>
  </si>
  <si>
    <t>A venir ! Le 19 juin, à la Méjanes, quatre groupes d’adolescents (non fréquentants
des bibliothèques aixoises) travailleront avec nous à l’occasion d’ateliers participatifs autour de LEUR idée d’une bibliothèque idéale. #bibliotheque #aixenprovence #enquete #inet https://t.co/Ld3XCRAfeQ</t>
  </si>
  <si>
    <t>En ce moment  ! Nous avons commencé aujourd’hui les « entretiens Seniors ». 
Le recrutement est toujours en cours et se clôture le 16 juin ! #bibliotheque #inet #aixenprovence #enquete N’hésitez pas à nous contacter à l'adresse : alabordagemejanes@gmail.com https://t.co/cgG5yhYryT</t>
  </si>
  <si>
    <t>La démolition du mur d’enceinte de la Méjanes, le long de la rue des Allumettes, est le hors-d’œuvre de la vaste opération dont la Bibliothèque va faire l’objet dans les années à venir. Le visiteur entrera, depuis la rue des Allumettes. #bibliotheque #mejanes #aixmaville #mur https://t.co/WIhznpmS36</t>
  </si>
  <si>
    <t>L'écoute du jour, c'est une de nos futures nouveautés en cours de catalogage ! Un album d'electro expérimentale plein d'audace, sans parler de la magnifique pochette. A découvrir très bientôt en rayon ;) 🎧 #MardiConseil #MardiMusique @MardiConseil @MardiMusique https://t.co/MwdMjTTDCd</t>
  </si>
  <si>
    <t>LECTURE-CONCERT le mercredi 20 juin à 17h30 en JEUNESSE autour du spectacle MARLAGUETTE adapté du célèbre album du Père Castor !!
Pauline Paris et Simon Bensa, raconteront l'histoire et interpréteront les chansons du spectacle donné au Lucernaire du 27/06 au 2/09! :)
De 4 à 9 ans https://t.co/HNVrj96eaz</t>
  </si>
  <si>
    <t>Face B – 1965-1981 de Pierre Vassiliu https://t.co/ZBafZBNvIC</t>
  </si>
  <si>
    <t>https://t.co/NPK426aFjM</t>
  </si>
  <si>
    <t>C’est cette semaine!
Un bel éclairage sur l’accueil de tous les publics 👍 https://t.co/0asDg9g4qh</t>
  </si>
  <si>
    <t>Aujourd’hui à partir de 17h 👍 @mairie15 https://t.co/d7o7B4BEi1</t>
  </si>
  <si>
    <t>Vous êtes déjà nombreux à prendre, apporter et échanger des graines : 
Belles de nuit, Soleils, Amarante, Cosmos et bien d'autre semences.... 
que vous pouvez désormais trouver à la médiathèque. 
Sur une idée du Service Développement Durable et réalisée par les Ados de la MJC. https://t.co/JKX86A15R8</t>
  </si>
  <si>
    <t>Le Café-Lecture qu’il ne fallait pas manquer : le dernier avant l’été ! https://t.co/16oaxtzvDx https://t.co/OJQ6Q4vYeQ</t>
  </si>
  <si>
    <t>Chouette atelier "Tout près d'Alice" prévu le samedi 16 juin à 10h30 à la bibliothèque avc le @TheatreDunois ds le cadre de leur spectacle ! 
La Cie hop!hop!hop! vous fera découvrir l'univers de la pièce !
Sur INSCRIPTION/3-8 ans
Tarif réduit sur une entrée pr chaque inscrit!! 😃 https://t.co/NFDJuwY382</t>
  </si>
  <si>
    <t>Exposition de photographies
de Jean GOUSSIN 
jusqu'au 30 juin 
https://t.co/AmYVrwyjdX https://t.co/e77ZQHojmV</t>
  </si>
  <si>
    <t>CLUB LECTURE « Des livres et vous » Mardi 19 juin à 16h !
Les week-ends de mai et juin sont propices aux lectures
buissonnières. Rompez les amarres avec notre sélection ! Entrée libre-Bibliothèque Méjanes- Espace Albert Camus #bibliothequemejanes #aixmaville #clublecture #livres https://t.co/xcPPw6Md2X</t>
  </si>
  <si>
    <t>Fonds patrimonial : basilicus, lapins à cornes, singes à tête humaine et autres #animaux étranges issus de l'"Historiae naturalis de quadrupedibus" (1657) seront eux aussi à l'honneur à la rentrée lors de l'expo des #JEP2018 https://t.co/CzqS5cMQTC</t>
  </si>
  <si>
    <t>Superbe exposition "Le pinceau et la plume" par François Teissedre et Richard Delécolle. Rdv le 23 juin pour une visite guideé ! https://t.co/nnQta1o3Yq</t>
  </si>
  <si>
    <t>🥝🍊Quelques photos autour de l'atelier "petit poivron" à la bibliothèque Li Campaneto !🍉🍋
#bibliothequemejanes #licampaneto #aixmaville #atelierpeinture https://t.co/amolzYVZNr</t>
  </si>
  <si>
    <t>En avant les loupiots ! Du 15 juin au 13 juillet 2018
Un mois pour faire plaisir aux petits chérubins : des expositions, des spectacles et des ateliers ! #bibliothequemejanes #aixmaville #lesloupiots Programme : https://t.co/bsy5rBQ3Pz https://t.co/VEmvcKtu0H</t>
  </si>
  <si>
    <t>Cinéma en plein air https://t.co/fdCOZG4PnM https://t.co/P5R0xDtqOM</t>
  </si>
  <si>
    <t>Aujourd'hui, zoom sur "Double hélice" de Caballero &amp;amp; Jeanjass. Espace Cinémusique : https://t.co/NFVfzx3XBy https://t.co/a3LzYeuzoq</t>
  </si>
  <si>
    <t>#MardiConseil📚 
Certaines n'avaient jamais vu la mer, de Julie Otsuka. 
Un roman poignant et très riche, sur une tranche de l'Histoire à laquelle on ne pense pas. Le tout dans un style agréable, qui n'enlève rien au plaisir de la lecture. https://t.co/EERMeMVzSy</t>
  </si>
  <si>
    <t>#vendredilecture
Récital Mahmoud Darwich : Odéon-Théâtre de l'Europe, 2007 / Livre audio 
La magie opère car la poésie était avant tout musique pour Mahmoud Darwich https://t.co/sNXNws6SdF 
Les livres audio (romans, théâtre, poésie) sont empruntables gratuitement #bib2paris https://t.co/S0QX4Li4A1</t>
  </si>
  <si>
    <t>BiblioCafé, rencontre avec Lena Merhej samedi 2 juin :
https://t.co/e3rj9ZMhgK</t>
  </si>
  <si>
    <t>LE CLIMAT CHANGE ET VOUS?
A l'occasion de la votation citoyenne qui permet aux https://t.co/MYPJ3Do0j0.s de se prononcer sur leur soutien au Plan Climat Air Énergie, découvrez notre sélection de documents sur la thématique du climat https://t.co/9FJdoofWxl #bib2paris @Paris https://t.co/ouDsPaDrUm</t>
  </si>
  <si>
    <t>Que pensez-vous de votre bibliothèque ? Vous êtes inscrits à la bibliothèque ? Passez à l'action et donnez votre avis ! Questionnaire : https://t.co/NEOopMlnai
#bibliothequemejanes #aixmaville #inet #questionnaire #enquete https://t.co/cOsmNaNp7p</t>
  </si>
  <si>
    <t>Samedi 2 juin à 15h30
📽️ECRAN des MÔMES 📽️
Film de 2014 - Inde -1h18 - en Version Originale - à partir de 8 ans
Détails ici : https://t.co/pQeIobCyk9 https://t.co/ORwvWs19GE</t>
  </si>
  <si>
    <t>Exposition 'Secrets de jardins' à partir du vendredi 1er juin https://t.co/UwGjfXIEX6 https://t.co/W1e1vtG1yW</t>
  </si>
  <si>
    <t>Fête de la musique https://t.co/B9bqfVEPKG https://t.co/7iWlYxUsep</t>
  </si>
  <si>
    <t>Fête de la musique https://t.co/B9bqfVEPKG https://t.co/4zVqTkQMBI</t>
  </si>
  <si>
    <t>Pour ceux et celles qui nous l'ont demandée, voici la liste des applis proposées lors du "Mai du Numérique" 2018
Cliquez Ici : https://t.co/FvRgevUnwT https://t.co/lKxj3zmbIz</t>
  </si>
  <si>
    <t>Des films à réserver dès aujourd'hui sur le site de la médiathèque : https://t.co/F3kGJvbanA https://t.co/16J4fxMCyD</t>
  </si>
  <si>
    <t>Aujourd'hui, zoom sur "Lou Andreas-Salomé" de Cordula Kablitz-Post. Espace Cinémusique : https://t.co/1JiS4367no https://t.co/O7oMa7LrK1</t>
  </si>
  <si>
    <t>"[12+] Le Journal du Gamer #2" : https://t.co/DeMvWDMhr5 via @YouTube</t>
  </si>
  <si>
    <t>Prix du premier roman des lecteurs des bibliothèques de la @VilleDeParis_ attribué à Pierre Souchon pour son superbe roman "Encore vivant" !
#litterature #prix #bib2paris #Encorevivant #lecteur #Histoire #bipolarité #roman  #autobiographie https://t.co/oclrWF4EV9</t>
  </si>
  <si>
    <t>Aux clics les juniors ! https://t.co/IWKKeJotQQ https://t.co/qr6Bn6pVKT</t>
  </si>
  <si>
    <t>Nous sommes fiers de vous annoncer qu'Alaskan Clee viendra jouer pour la #FêtedelaMusique à la bibliothèque de #Beaune ! Guitare #folk et voix rauque au programme 🎸https://t.co/YzykhQZY4Z</t>
  </si>
  <si>
    <t>Appli Day : Molotov https://t.co/8t55MAcjYY</t>
  </si>
  <si>
    <t>« Un aiwr dé dejââ-vou »
 Quand une pochette d’album nous en rappelle d’autres 😉
 Sélection préparée par Ana, notre stagiaire DUT originaire d’Espagne !
 Vous en connaissez d’autres qui se ressemblent ? https://t.co/y4HkkvNAAt</t>
  </si>
  <si>
    <t>C'est AUJOURD'HUI à 15h30 !
Conférence Histoire de l'ART : "Raphaël, 1509 à Rome"
https://t.co/TvYnVOqo57 https://t.co/T6Wp0aadcp</t>
  </si>
  <si>
    <t>Café Médiathèque - Samedi 26 mai 2018 https://t.co/NK40lFWGUa https://t.co/XWUbXi53vN</t>
  </si>
  <si>
    <t>Une étude des publics est en cours à la bibliothèque Méjanes ! 
Depuis le 6 mai, quatre fringants conservateurs stagiaires vous proposent de prendre le pouvoir. Partez à l'abordage ! #questionnaire #aixmaville #relookingextreme https://t.co/FTJkixGfPL</t>
  </si>
  <si>
    <t>C’est chez nos collègues et voisins @bibYourcenar #bib2paris 😀👍 https://t.co/Hz3xbJTHJ4</t>
  </si>
  <si>
    <t>#Vendredilecture Les amnésiques/Géraldine Schwarz
La journaliste franco-allemande examine ses 2 familles, celle de son père, fils d’1 entrepreneur ayant appartenu au parti national-socialiste et celle de sa mère, fille d’1 gendarme pendant l’Occupation https://t.co/ZLXqbbn6Uk https://t.co/Pma6zIg2zW</t>
  </si>
  <si>
    <t>😀ça se passe comme ça à la médiathèque pendant le "MAI du NUMERIQUE" 
VENEZ profitez des 2 derniers jours de ces animations : 
ce vendredi et samedi matin .🤗😀 https://t.co/N29mmp3nlr</t>
  </si>
  <si>
    <t>La #bibliothequemejanes vous propose des ateliers numériques en collaboration avec #lamaisondunumerique et l'association #anonymal ! Voici le programme complet ! #aixmaville
https://t.co/mxDTC2lEVw https://t.co/JHCMjANeo7</t>
  </si>
  <si>
    <t>Le fonds de partitions anciennes nous fait redécouvrir le talent des graphistes de la fin du XIX au début XXème.
 Ici la couverture Art nouveaux de l’Album Musica (1911) : motifs floraux, courbe et jeune musicienne sont au rendez-vous. https://t.co/9L4GjThDwM</t>
  </si>
  <si>
    <t>Aujourd'hui, atelier Fête des mères en section Jeunesse avec la généreuse contribution des parents pour les boîtes à camembert ! 😄😄
Quand on dit que le fromage c'est magique ! 🧀🧀
#jeunesse #fetedesmeres #bibliotheque #bib2paris https://t.co/uXi67eUnjW</t>
  </si>
  <si>
    <t>Demain à 16h30, #harpe à la médiathèque de #Douarnenez. https://t.co/dILYGp4S5z</t>
  </si>
  <si>
    <t>https://t.co/0enL0ueViq</t>
  </si>
  <si>
    <t>À emprunter dans les #bib2paris qui participent au prix Premier Roman comme @bibvaugirard ou à lire sur @BibNum2Paris https://t.co/OqzcHcQ0Mf</t>
  </si>
  <si>
    <t>JEUX EN BIBLIOTHEQUE
Plusieurs #bib2paris proposent dorénavant des jeux de société pour jouer sur place, en famille ou entre amis, ou dans le cadre d'animations. Dans le 15e, vous en trouverez à la Bibliothèque Gutenberg, @bibYourcenar @bibvaugirard https://t.co/9iDvvzQ22p</t>
  </si>
  <si>
    <t>Actuellement à la médiathèque : semaine du mardi 22 au samedi 26 mai 2018 https://t.co/K7GO5Y4ND7</t>
  </si>
  <si>
    <t>🌷🍀Découvrez le programme de la fête du Médiabus ! 🌷🍀@LaMejanes @aixmaville https://t.co/rcYVUFk605 https://t.co/v9xi8l3Jc7</t>
  </si>
  <si>
    <t>Les Goûters-Bibli de Mai, c’est la semaine prochaine ! https://t.co/QbeOGYdOQ1 https://t.co/tnZMVOnuFY</t>
  </si>
  <si>
    <t>Juin en musique à la bibliothèque ! https://t.co/5xiLVKNfck</t>
  </si>
  <si>
    <t>:) https://t.co/QpRQ83R2Bi</t>
  </si>
  <si>
    <t>Antoine, un de nos stagiaires, travaille actuellement au traitement d’un fonds d’anciennes partitions musicales. Ce fond est une donation d’un ancien professeur de piano du conservatoire de Beaune, Mme Pfeiffer. 
Plus d'infos ➡️ https://t.co/I2kT44lxeW https://t.co/Y8XREXaXfB</t>
  </si>
  <si>
    <t>Mai du Numérique, c'est tout ça👍🙂
Jusqu'au 26 mai 🙂
Découvrez le programme détaillé ici : https://t.co/EvQjSDuhub https://t.co/VpsPqlREcL</t>
  </si>
  <si>
    <t>Équipés pour le chouette club de lecture de ce matin !! 😃😃 
#Jeunesse #college #13eme @mairiedu13 #bib2paris https://t.co/lgtSDkuc8y</t>
  </si>
  <si>
    <t>L'heure des révisions est venue pour certains d'entre vous 😱...
Pas de panique : 
MAXICOURS dont l'accès est GRATUIT pour tous les adhérents de la médiathèque vous offre l'accès aux ANNALES corrigées 👍😀
Renseignements au 04-90-24-20-80 ou sur : https://t.co/7zfVfrtXzC https://t.co/81llUNIlAN</t>
  </si>
  <si>
    <t>https://t.co/qvRJ8hBdAE</t>
  </si>
  <si>
    <t>Spectacle petite enfance ! https://t.co/ZXxLjT68K4 https://t.co/FuYntJU4Tk</t>
  </si>
  <si>
    <t>Nous avons déjà bien rempli nos commandes mais nous ne voulons pas passer à coté de films🎞️ou d'albums de musique🎼 immanquables, alors partagez-nous vos coups de cœur ! https://t.co/OZHt2MZd29</t>
  </si>
  <si>
    <t>à partir de 16h aujourd'hui : 
découverte de la REALITE VIRTUELLE sur PS4 😀🎮👍
ON VOUS ATTEND !😃   jusqu'au 26 mai ! 
=&amp;gt; voir programme détaillé sur photo agenda https://t.co/TU6QnVE4Pt</t>
  </si>
  <si>
    <t>Conférence / Rencontres Littéraires https://t.co/SsKoO5xKAI https://t.co/k12aJOaNk5</t>
  </si>
  <si>
    <t>Derniers jours !! Mauvais genres : la science-fiction du 17 avril au 12 mai https://t.co/OYE5ZdlnF1 https://t.co/320E2JnYMz</t>
  </si>
  <si>
    <t>8 mai : ouvert / fermé ?
Les bibliothèques sont fermées mais vous trouverez certainement de quoi vous occuper!
https://t.co/3CW7YxLEh6</t>
  </si>
  <si>
    <t>Des oiseaux dans la bibliothèque ! https://t.co/sYsUZYRThH https://t.co/zQUJW0ERkd</t>
  </si>
  <si>
    <t>La bibliothèque Méjanes change ! En 2019, les fonds patrimoniaux déménagent dans l'actuel bâtiment des Archives départementales. #bibliothequemejanes #aixmaville #fondspatrimoniaux
https://t.co/igJ4aAOByO</t>
  </si>
  <si>
    <t>Samedi 5 mai de 10h à 12h, nous vous invitons au prochain Bibliocafé : un moment convivial pour discuter de coups de coeurs culturels, lectures, musiques, dvd, avec café, thé et madeleines ! #Douarnenez https://t.co/fOje4hWPmc</t>
  </si>
  <si>
    <t>⚠#lamejanes #aixmaville #fermeture https://t.co/k8X9Jp0XIj</t>
  </si>
  <si>
    <t>Ecrivain public Magali Roques /⚠️La séance du vendredi 4 mai est annulée, merci de vous adresser à un bibliothécaire pour vous inscrire aux prochaines séances du 11 et 18 mai à 14h(Bibliothèque Méjanes-Salle Civilisation, Société, Sciences et Techniques.) #lamejanes #aixmaville https://t.co/Au6XgrAgCF</t>
  </si>
  <si>
    <t>Aujourd'hui, zoom sur "Shadows and reflections" de Marc Almond. Espace Cinémusique : https://t.co/5IVj4mYqCW https://t.co/LBkMsf7E5k</t>
  </si>
  <si>
    <t>PREMIERS ROMANS
A découvrir @bibvaugirard et sur @BibNum2Paris 
Résultat des votes du public le 26 mai au Carreau du Temple! https://t.co/WLunnpmY6v https://t.co/4ZRupdKPPQ</t>
  </si>
  <si>
    <t>CONFERENCE
«FIGURATION NARRATIVE  ET POP ART»
Conférence de Romain Mathieu en liaison avec le Festival du 9e Art. #conference #manifestation #jardin #aixenprovence
Vendredi 4 mai 18h
Entrée libre
Bibliothèque Méjanes – Salle jules isaac | https://t.co/S8cpvGteOM</t>
  </si>
  <si>
    <t>Fonds patrimonial : en préparation des #JEP2018 à la @media_hyeres, vautours et buse issus des "Planches enluminées de l'Histoire naturelle des oiseaux" de #Buffon : https://t.co/tAMyyGiTe9 https://t.co/yfPbSsb5zu</t>
  </si>
  <si>
    <t>PARIS : MAI 68 DANS TA BIBLIOTHÈQUE
Site dédié avec des conférences, projections, expositions, débats et spectacles https://t.co/dVEdGj3zPU</t>
  </si>
  <si>
    <t>#Streetart #Arturbain #13eme #Paris https://t.co/s0GfDTohtN</t>
  </si>
  <si>
    <t>Ateliers d'écriture et soirée #slam à la médiathèque de #Douarnenez avec e.sens !
Toutes les informations ici : https://t.co/mD9todnoPE https://t.co/UDfoDbwdkp</t>
  </si>
  <si>
    <t>Actuellement à la médiathèque : semaine du mardi 24 au samedi 29 avril 2018 https://t.co/YB5Ak4oLJO</t>
  </si>
  <si>
    <t>Le Café-Lecture d’Avril https://t.co/3Dm5ENOZqy https://t.co/ztsBQQyIu2</t>
  </si>
  <si>
    <t>Aux livres les petits ! https://t.co/mTyaWNdedS https://t.co/D7G2iLy8a8</t>
  </si>
  <si>
    <t>C'est DEMAIN 🙂
Samedi 21 avril  à 15h
#LectureThéâtrale 
par le COLLECTIF SAYZEL 
Entrée libre et gratuite
Détails : https://t.co/vtOk525lto https://t.co/7iDlfkQZte</t>
  </si>
  <si>
    <t>ATELIER COLORIAGE 3D : vos coloriages prennent vie ! À partir de 5 ans 
C'est mercredi 25 avril 2018, de 14h à 16h @bibvaugirard https://t.co/2YEcSAUqwE</t>
  </si>
  <si>
    <t>4ème Fête du livre d'#Hyères : https://t.co/no3gWe84nC https://t.co/IoTyqBoAWI</t>
  </si>
  <si>
    <t>https://t.co/cYgTtTLOrl</t>
  </si>
  <si>
    <t>Rdv à 15hle premier jour des vacances de printemps pour une séance cinéma d'animation à la bibliothèque ! https://t.co/RdAUe5inK5</t>
  </si>
  <si>
    <t>Expo "Mai 68 : Affiches en lutte"
Venez la découvrir du 14 avril au 26 mai @bibvaugirard https://t.co/C3VV99vmlf</t>
  </si>
  <si>
    <t>Le Défi lecture du CMJ (Conseil Municipal des Jeunes) https://t.co/cJTFbIJPz9 https://t.co/jUtGTtPX9m</t>
  </si>
  <si>
    <t>#mercrediBD : "Petit Poilu" / Céline Fraipont
Petit Poilu est petit et poilu. Tous les matins, il quitte sa maman et sa maison pour aller à l'école. Mais il faut toujours que tout bascule ! https://t.co/bTPIwNzdw1 https://t.co/5NGOPhnpqY</t>
  </si>
  <si>
    <t>Très belle journée à la #MurderParty de la bib Hélène Berr !
Ds le cadre des #MordusduPolar les jeunes participants ont découvert une scène de crime et ont cherché le coupable avec la Cie de théâtre #LesInstantsvolés en présence de la lauréate Béatrice Bottet ! :) @bibliocite https://t.co/OJUm40WV6e</t>
  </si>
  <si>
    <t>Place au printemps ! https://t.co/zznWC5OXos https://t.co/dlqdFkzuU3</t>
  </si>
  <si>
    <t>La fin de vie https://t.co/ObzTq2yaaU</t>
  </si>
  <si>
    <t>J-4 :)
A ne pas manquer ! Poésie, lecture, partage...Que du bonheur :) https://t.co/xER8A2wdbX</t>
  </si>
  <si>
    <t>Aujourd'hui l'équipe présente à la Journée des tout-petits de la @mairiedu13 avec les collègues des bibliothèques Glacière et J.P Melville !! 😊 Beaucoup de monde et succès total 👍! @jerome_coumet #13eme #Paris #Enfance #Jeunesse #bibliotheque #lecture #toutpetits https://t.co/Xu9yh47fBv</t>
  </si>
  <si>
    <t>🎞️Médiathèque Numérique🎞️ A voir en streaming🍿 sur https://t.co/03MDNWbkGu : Memories of Murder de Joon-Ho Bong. On remonte loin loin dans l'histoire du @BeaunePolar, à l'époque où il se déroulait à Cognac. En 2004 ce film avait raflé 4 prix lors du festival ! https://t.co/TdERk5DiPZ</t>
  </si>
  <si>
    <t>✅  DEMAIN à  15H30  🎬  
Pour info : 
Pas besoin d'être inscrit, pas besoin de réserver...et c'est GRATUIT👍
On vous attend nombreux pour profiter de cette projection 😉
POUR TOUS👨‍👩‍👧‍👦 à partir de  7️⃣ans 🤗 https://t.co/8l0eA0oGAI</t>
  </si>
  <si>
    <t>🎞️Médiathèque Numérique🎞️
Mud, réalisé à seulement 34ans par Jeff Nichols à voir en streaming🍿 sur notre plateforme https://t.co/03MDNWbkGu https://t.co/n39kAPAoYe</t>
  </si>
  <si>
    <t>J-2 ‼️🤪 https://t.co/8l0eA0GhZi</t>
  </si>
  <si>
    <t>#Douarnenez Samedi 7 avril entre 10h30 et 12h, la médiathèque vous invite au Bibliocafé, un moment convivial pour partager les découvertes culturelles et les nouveautés. Une sélection spéciale sera présentée sur le thème du rêve et de l'utopie. https://t.co/WW4LomzlJR</t>
  </si>
  <si>
    <t>#mercrediBD : "Les enfants de la résistance" / Benoît Ers, Vincent Dugomier
Dans un petit village de France occupé par l'armée allemande, 3 enfants refusent de se soumettre. Mais comment s'opposer à un si puissant adversaire quand on n'a que 10 ans ? https://t.co/kxCcPNai12 https://t.co/aoMCT4FrVB</t>
  </si>
  <si>
    <t>C'est AUJOURD'HUI à 15h30 😉🧚‍♂️👀 https://t.co/6DSDM2AKez</t>
  </si>
  <si>
    <t>Aujourd'hui, zoom sur "Lotta sea lice" de #CourtneyBarnett et #KurtVile. Espace Cinémusique : https://t.co/rpLVXuOPbu https://t.co/H3P9TlnC51</t>
  </si>
  <si>
    <t>🎞️Médiathèque numérique🎞️ Prix du Jury et Prix de la Critique en 2011 au @BeaunePolar, Bullhead de Michael R. Roskam est à voir en streaming sur https://t.co/03MDNWsVy2 🍿 https://t.co/zckzu6ibli</t>
  </si>
  <si>
    <t>A l'occasion du Festival @BeaunePolar 🕵️‍♂️, nous offrons à nos abonnés un accès à des films policiers, des BO et des livres numériques ! Revivez les 10 ans du Festival avec une sélection de films primés aux précédentes éditions 🍿 https://t.co/ncClLYdeMH</t>
  </si>
  <si>
    <t>Ça y est ! Les livres en gros caractères sont également disponibles à la bibliothèque Saint-Jacques ! 👍👍👍#livres #lecture #lecturepublique https://t.co/HVtgHl2Kia</t>
  </si>
  <si>
    <t>J-7 🤗 https://t.co/6DSDM2AKez</t>
  </si>
  <si>
    <t>Samedi 14 avril à 17h
#POESIE : Lecture, rencontre 
autour du livre "Chair &amp;amp; sang" de Jean-Louis REYNIER
Lecture d'extraits par l'auteur et Marion Reynier 
suivi d’un échange avec le public. https://t.co/Lt9tSoRCdU</t>
  </si>
  <si>
    <t>Conférence en images  "La Naissance du paysage à Rome"
Samedi 31 mars 2018 à 15h30
Attention places limitées. - Réservation indispensable au 04-90-24-20-80
Entrée gratuite. https://t.co/Fo24JO6FeH</t>
  </si>
  <si>
    <t>Merveilleuse rencontre ce matin avec la talentueuse Clémentine Beauvais qui a irradié de sympathie tout le club lecture ! Équipe conquise et enfants ravis ! Merci 😍#Littérature #talent #auteure #college #jeunesse https://t.co/DhSfT3cGaa</t>
  </si>
  <si>
    <t>Cinéma https://t.co/NMB0SVoSbs https://t.co/pdHEr8sRnq</t>
  </si>
  <si>
    <t>ZOOM 2017 dans les #bib2paris : tout ça! 😉
https://t.co/C2Tb0GcIWb https://t.co/aniRxrOkUX</t>
  </si>
  <si>
    <t>En 2017, nous avons eu le plaisir d'accueillir @alx_plk et  les élèves de 1ère L du Lycée Jean-Marie le Bris, en partenariat avec le  festival @LDOndes . Écoutez dès à présent  la  création radiophonique donnée ce jour-là en public. Bravo à eux : https://t.co/2uUEBOUzvY</t>
  </si>
  <si>
    <t>Beau spectacle de Christelle Delhôme ce matin à la bibliothèque ! Des contes "au Fil de l'eau" et des enfants ravis ! #jeunesse #spectacle #bib2paris #bibliotheque https://t.co/XZCYmoBHsJ</t>
  </si>
  <si>
    <t>AUJOURD'HUI à 15h30 👍🕞🙂 https://t.co/JzZT6KqODb</t>
  </si>
  <si>
    <t>Petit souvenir de l'effervescence provoquée par la venue du champion @seanfreestyle devant la bibliothèque !! Chouettes battle avec des jeunes hyper talentueux !! #freestyle #freestylefootball #sport #style #profreestyle #football https://t.co/b1aF6ARh23</t>
  </si>
  <si>
    <t>FESTIVAL DES ECRIVAINS DU SUD 2018
"Animaux animots" du jeudi 22 mars au dimanche 25 mars
Lien de la programmation: https://t.co/TeDRuRl7OH 
#aixmaville  #écrivains #aixenprovence https://t.co/WTv3GnzNZ6</t>
  </si>
  <si>
    <t>Subtile et vénéneuse ! Voilà #IsabelleHuppert  dans #Eva le dernier film de #BenoîtJacquot. Retrouvez les autres films de ce réalisateur dans les bacs des #vidéothèques Saint-Jacques et centre ville ! https://t.co/3QdJOjyzZe</t>
  </si>
  <si>
    <t>Programme de formation gratuite d'initiation pour inspirer les jeunes filles, briser les stéréotypes et les former aux métiers de l'#Informatique et du #Web 👏👍 ! Beau projet pour instaurer la parité dans ce domaine ! @CodingGirls2018 #code #wifilles https://t.co/KKnGBMXtY6</t>
  </si>
  <si>
    <t>Merci aux classes de CM2 de St Denys qui ont réalisé 2 affiches suite à un atelier philo organisé en lien avec le spectacle « Oui… mais, alors ? » du samedi 24 mars 
https://t.co/ZApyrSfwlD …
Réservez vos places pour le spectacle au 04-90-24-20-80 🙂 https://t.co/dE2mDpo2gf</t>
  </si>
  <si>
    <t>Vernissage samedi 24 mars à 12h. Venez rencontrer et découvrir l'expo photos de Céline Gail Carroll ! https://t.co/qjzDtaaCoB</t>
  </si>
  <si>
    <t>Encore quelques places disponibles 😉
N'hésitez pas 👍 https://t.co/eoc8ZQbei3</t>
  </si>
  <si>
    <t>https://t.co/pch28uOOuN</t>
  </si>
  <si>
    <t>L'équipe Jeunesse ce matin au #salondulivre pour la Scène Polar et le prix des Mordus ! #bib2paris #Policier #Polar @Salondulivre https://t.co/aatIInELrt</t>
  </si>
  <si>
    <t>AUJOURD'HUI 15h30 🙂
🎼Histoire de la #Musique🎼
🎹🎷🎺🥁🎻🎧🎸🎤 https://t.co/p5kJ09eDY0</t>
  </si>
  <si>
    <t>C'est demain :) https://t.co/p5kJ09eDY0</t>
  </si>
  <si>
    <t>#nuitsdelaChapelle, dernière ligne droite avant de finir la semaine prochaine! Aujourd'hui on vous parle de Thierry Paulin, qui a semé la terreur dans le nord de Paris et à la Chapelle...
Ça se passe ici -&amp;gt; https://t.co/E9gl1onX5J https://t.co/2heuAX99u2</t>
  </si>
  <si>
    <t>Conférence "Du concours au chantier" par Les Amis de la Méjanes
Jeudi 22 mars à 18h30 en salle Armand Lunel
Avec la présentation de la réalisation de la bibliothèque universitaire des Fenouillères par Mr Ronan Le Hyaric, architecte au sein de l’agence Nicolas Michelin et associés https://t.co/ddMbTJS5dT</t>
  </si>
  <si>
    <t>Les visages de la poésie 2018 https://t.co/ye5KfbFpLD https://t.co/HJvpx7q4Lc</t>
  </si>
  <si>
    <t>POT DE DÉPART 
Notre « transfuge » Aymen (marseillais) nous quitte prochainement pour rejoindre nos collègues et voisins @bibYourcenar Prenez soin de lui! 
https://t.co/ooGm3KpDch https://t.co/sfg4rKmXHm</t>
  </si>
  <si>
    <t>Beaucoup d'émotion hier soir pour une pièce engagée "ELLES" sur la condition des femmes par la Cie Posada de Don Quichotte de Cavaillon. "Une magnifique performance ! https://t.co/oCNdR2PdLS</t>
  </si>
  <si>
    <t>Il est encore temps de réserver votre place !
Rendez-vous avec Muriel Gilbert lors de la semaine de la langue française
mardi 20 mars 2018 | 19h https://t.co/YaCtRvQ8tH</t>
  </si>
  <si>
    <t>Tourné en #Bourgogne et dans les #Ateliersducinéma à Beaune le film de #XavierLegrand "Jusqu à la garde" nous bouleverse ! https://t.co/0gst0oL3m6</t>
  </si>
  <si>
    <t>Les mystères du Carnaval de Venise… https://t.co/gLvQtPXKQs https://t.co/GX7pa56yJP</t>
  </si>
  <si>
    <t>Actuellement à la médiathèque : semaine du mardi 13 au samedi 17 mars 2018 https://t.co/JSk15ElPCZ</t>
  </si>
  <si>
    <t>BON DIMANCHE 
dans les #bib2paris et bon premier dimanche d’ouverture à nos collègues de @EdmondBib 👍 https://t.co/ShQUFxBTfh https://t.co/pRXiSz0iIQ</t>
  </si>
  <si>
    <t>PROJECTION
C’était ce matin!
Des courts métrages d’animation qui associent des poèmes de Robert Desnos à l’univers graphique de jeunes réalisateurs tout juste sortis des écoles d'animation françaises.
https://t.co/NWs8CYb2f0
https://t.co/RpGtbLPzhf #printempsdespoètes</t>
  </si>
  <si>
    <t>N’oubliez pas le rendez-vous des curieux de lecture… https://t.co/KsJnISXx3d https://t.co/KSdnYN2LJw</t>
  </si>
  <si>
    <t>Samedi 17 mars à 15h30 
Histoire de la #Musique
Du chant grégorien à nos jours, 1500 ans d'évolution musicale...
#Conférence par Cédric Dol, professeur à l'Association Musicale des Tours.
https://t.co/2ucmgKMUGG https://t.co/btCWn1w3qx</t>
  </si>
  <si>
    <t>Fonds patrimonial : en attendant l’exposition à l'automne, "Mollusques méditerranéens observés, décrits, figurés et chromolithographiés d'après le vivant..." de Jean-Baptiste Verany (1851) https://t.co/uuXSKaebeZ https://t.co/Clqhhk0OJG</t>
  </si>
  <si>
    <t>Demain à 18h30 à l'auditorium dans le cadre du printemps des poètes, nous vous invitons à notre récital poétique avec le collectif 30 minutes d'insomnie. Animation gratuite, réservation conseillée @P_D_Poetes #Douarnenez #Ardeur https://t.co/VcjsN2zGft</t>
  </si>
  <si>
    <t>Les créations lors de l'atelier Folies bestiaires à la bibliothèque ! #vitrogram #lafabulerie https://t.co/VpZLizdDdn</t>
  </si>
  <si>
    <t>Aujourd'hui, zoom sur "Le garçon qui parlait avec les mains" de Sandrine Beau, illustré par Gwenaëlle Doumont. Espace Jeunesse : https://t.co/ztgsKOSsi3 https://t.co/M4nLB6yHqR</t>
  </si>
  <si>
    <t>Mercredi prochain, 19h : speedbooking ! 🗣️ Consacrez 4 mn à votre dernier coup de coeur 😍 
➕pour le #printempsdespoètes, nous vous inviterons à poursuivre la soirée avec quelques jeux littéraires ✏️✒️ https://t.co/BCyORdAI4s</t>
  </si>
  <si>
    <t>STOP MOTION
Atelier Stop Motion à la bibliothèque hier : décor estival choisi par les participant.e.s !🤔
Le film demain👍 https://t.co/6OtnNqEMAj</t>
  </si>
  <si>
    <t>Samedi c'est BiblioCafé à la médiathèque ! Nous évoquerons  : un  critique d'art et journaliste qui a transformé des dépêches relatant des  faits divers en d'authentiques haïkus (#felixfeneon) , un merveilleux classique de la  littérature tchèque (#otapavel),</t>
  </si>
  <si>
    <t>https://t.co/6UyEmLWVTD</t>
  </si>
  <si>
    <t>Au mois de mars, la médiathèque vous propose de partir à la découverte des rapaces nocturnes avec l'exposition... https://t.co/LrkBzYNR7T</t>
  </si>
  <si>
    <t>Conférence "Naissance du mouvement pour les droits des femmes aux Etats-Unis" avec la présence de Claire Sorin
Mardi 6 mars à 18h00
Entrée libre
Espace Jules Isaac
@LaMejanes #conference https://t.co/n62IUtedl7</t>
  </si>
  <si>
    <t>mardi 20 mars 2018 | 19h
Réservez votre soirée !
Rendez-vous avec Muriel Gilbert lors de la semaine de la langue française pour son nouvel opus "Quand le pou éternuera" https://t.co/y3Ecdl6ONe</t>
  </si>
  <si>
    <t>A faire ! Une visite twitter d'un musée sur le principe des "livres dont vous êtes le héros". Conseil : ne touchez pas les tableaux 😁 https://t.co/tSreTjtom3</t>
  </si>
  <si>
    <t>Samedi 17 mars à 15h30 
#ConférenceMusicale : 
L'Association Musicale des Tours vous propose une #conférence animée par Cédric Dol, professeur à l'école de musique sur l'évolution de la #musique du #MoyenAge à nos jours ...
Entrée libre et gratuite.
https://t.co/T9g2cHfRyw https://t.co/MQnegjBlE2</t>
  </si>
  <si>
    <t>Les applications de la #réalitévirtuelle dans la recherche sont à inventer!👍 https://t.co/X9LeRQRSPA</t>
  </si>
  <si>
    <t>Encore plein de petits bonshommes à la bibli… https://t.co/P0Afkn2mhJ https://t.co/HL2K097u86</t>
  </si>
  <si>
    <t>Allez pour les  #nuitsdelaChapelle aujourd'hui on se penche sur le cas AVINAIN, Dépeceur des batignolles, démembreur de #LaChapelle, un mec *plutôt* antipathique 👇 https://t.co/96Lzh3zmQj</t>
  </si>
  <si>
    <t>CONCOURS de SLAM 
organisé par le Service Développement Durable
Détails et réglement ici :
https://t.co/g2qdVM820f https://t.co/N6E5yxBq3k</t>
  </si>
  <si>
    <t>Vous ne le saviez pas encore ? 
La Méjanes se met au vert ....🌱🌿🍀
Du 17 mars au 6 juin, la bibliothèque, ses annexes et médiabus organisent une super manifestation sur les "Jardins en Révolution !" Restez connecté pour découvrir prochainement toute la programmation! #Aix https://t.co/Cj9wSSa6ui</t>
  </si>
  <si>
    <t>[12+] Découvrez TowerFall Ascension, un jeu "pour des petits tournois entre amis" 👌 ©Tom ! 
 Une critique présentée par les honorables membres du club 12+ 🎮😆https://t.co/8UDpVALy1c</t>
  </si>
  <si>
    <t>[EN COURS] après l'heure du conte, l'atelier masque vénitien bat son plein! Beaucoup de participants en cette période de vacances ! https://t.co/PoI4x28qPL</t>
  </si>
  <si>
    <t>Aujourd'hui, zoom sur "Ununiform" de #Tricky. Espace Cinémusique : https://t.co/3d5GsHIKM0 https://t.co/apSlqub8Zz</t>
  </si>
  <si>
    <t>Un peu de lecture! https://t.co/1LlVEeugxx</t>
  </si>
  <si>
    <t>Le plein de films pour les vacances à venir… https://t.co/kUWwqyD3ap https://t.co/L2ICpm1IXQ</t>
  </si>
  <si>
    <t>Exposition d’œuvres brodées, Brigitte Hourtal Baudet https://t.co/EbFvlGb8oB https://t.co/mDdWnMJyR1</t>
  </si>
  <si>
    <t>Exposition Atelier de la Maison des Arts de Castelnau-le-Lez https://t.co/3kNWHoy3Zu https://t.co/A6La4IFfzz</t>
  </si>
  <si>
    <t>Quand les enfants découvrent l’exposition “Nout’ Berry, nout’ Parlure”… https://t.co/55vDcRUCV8 https://t.co/YnhpO4AEUa</t>
  </si>
  <si>
    <t>La soirée jeux déjà de retour la semaine prochaine 🙌🎲🙌 #jeuxdesociété https://t.co/plbabfmMrw</t>
  </si>
  <si>
    <t>Les jeux de société accessibles à tous? 👌
https://t.co/squVdCC7VP</t>
  </si>
  <si>
    <t>Les #nuitsdelaChapelle ça n'est pas qu'apaches et loi du milieu, assassins et belles de nuit! C'est aussi un art des petites entourloupes, menus larcins et  filouteries. Un peu comme les: https://t.co/GBmn8M76F3</t>
  </si>
  <si>
    <t>OYEZ ! OYEZ ! 
Médiathèque en mode "Objets trouvés" :)
- 2 bonnets
- une écharpe
- un skate
-et un parapluie....
... attendent leur propriétaire  :) https://t.co/R49DFJ2AEQ</t>
  </si>
  <si>
    <t>à la consultation de DVDs:
"- La guerre des boutons? Y'a de l'action ouais.
- Oui c'est comme les guerres de gangs, mais avec des petits."
&amp;lt;3 nos lecteurs</t>
  </si>
  <si>
    <t>#MardiConseil 
Le coup de cœur DVD de Laura pour...😱
"J'ai eu un coup de coeur pour ce film en noir et blanc qui, malgré le crime au tout début, demeure plein de suspense et d'intrigue. C'est ce qui m'a le plus plu dans ce film."
https://t.co/okE9MWurVe</t>
  </si>
  <si>
    <t>C’est jeudi @mairie15 https://t.co/RfBQ7vCSXy</t>
  </si>
  <si>
    <t>L'Oeil de la Police is watching you ! Règlement de comptes amoureux rue Myrha pour les #nuitsdelachapelle : l'amante délaissée était à cran (d'arrêt).
Crédits : L'Oeil de la Police 56, p.4 - consultable sur @Criminocorpus https://t.co/ls28WMuXww</t>
  </si>
  <si>
    <t>Alors alors on poursuit les #nuitsdelaChapelle avec un évènement survenu Place de la Chapelle en 1936. Il s'agit d'un petit fait-divers, à dérouler 👇 https://t.co/dSh3yMEPkz</t>
  </si>
  <si>
    <t>Et voilà la jolie #chouette décorant le #manuscrit 2 daté du 15ème siècle ! Elle a aussi été présentée aux jeunes participants lors de la Nuit #HarryPotter à la bibliothèque, petit clin d’œil à Hedwige, la chouette blanche d'Harry P. https://t.co/5e61MHY7a5</t>
  </si>
  <si>
    <t>DEMAIN Samedi 10 février de 14h30 à 17h
#AtelierdEcriture
Vous êtes les bienvenus ! :)
https://t.co/5RUDKbFlRt…/atelier-d-ecriture https://t.co/M8vti3qkuf</t>
  </si>
  <si>
    <t>Dit-on "de #Hyères" ou "d'Hyères" ? 🤔🤓 (La République du 2 décembre 1960) #MaîtreCapello https://t.co/R3LAYvEpJN</t>
  </si>
  <si>
    <t>Aujourd'hui, zoom sur "La maison dans laquelle" de Mariam Petrosyan. Espace Grand public : https://t.co/vrVIAJXX2q https://t.co/7qZoCEmImy</t>
  </si>
  <si>
    <t>Nous ce matin, face à la porte coincée à cause de la neige... Problème heureusement très vite réglé ! #snowinparis #bib2paris https://t.co/pNZyPU0yMF</t>
  </si>
  <si>
    <t>Les #nuitsdelaChapelle ça continue, avec les mésaventures de RITON et NENETTE rue Caillié, pour lesquelles on vous a concocté un petit #Storymap! Ça se passe ici -&amp;gt;
https://t.co/Se37zwjFyy
#Chapnum #Lachapelle https://t.co/Azm4LDwXVN</t>
  </si>
  <si>
    <t>Merci aux jeunes participants à la  Nuit #HarryPotter  qui ont pu découvrir un superbe #griffon, marque de l'éditeur lyonnais Sébastien #Gryphe, dans les livres du 16ème siècle de la bibliothèque ! https://t.co/W7RkXh0ns3</t>
  </si>
  <si>
    <t>Traces, d’ici et d’ailleurs
exposition autour du livre de jeunesse : du 7 au 17 février 2018
Le vernissage c’était aujourd’hui avec les enfants artistes! Travail coordonné par Muriel Diallo bécédiste👍 https://t.co/iWftryOezL</t>
  </si>
  <si>
    <t>Viens à participer à l'atelier la fabrique de chimères le jeudi 1er mars à 14h. À partir de 8 ans. Inscription indispensable !! https://t.co/AdZo0k0W3L</t>
  </si>
  <si>
    <t>Aujourd'hui, zoom sur "La Passion de Jeanne d'Arc" de Carl Theodor #Dreyer. Espace Cinémusique : https://t.co/PjTjKvPjqO https://t.co/6yFwID9iZE</t>
  </si>
  <si>
    <t>OK les #nuitsdelaChapelle c'est parti! Suivez nous ici, sur FB et retrouvez le tout au fur et à mesure sur le blog! On commence tout doux avec UNE HISTOIRE DE CHIEN 🐶</t>
  </si>
  <si>
    <t>Conférence aujourd'hui à 18h (auditorium) : "La construction du paysage, du bucolique au sublime industriel" https://t.co/aBHPXvI16N https://t.co/tMmp2K2ziw</t>
  </si>
  <si>
    <t>https://t.co/61vvDQnfxt</t>
  </si>
  <si>
    <t>Appli Day : Top 5 des applications TTS (Text To Speech) sur ANDROID https://t.co/PXedee9Efb</t>
  </si>
  <si>
    <t>De nouvelles assises coin Presse :) https://t.co/grJs7H7eYN</t>
  </si>
  <si>
    <t>Actuellement à la médiathèque : semaine du mardi 06 au samedi 10 février 2018 https://t.co/eCqKy99SQp</t>
  </si>
  <si>
    <t>La médiathèque hisse les couleurs de Carole Chaix | via @ouestfrance  https://t.co/JB09GTHeHe</t>
  </si>
  <si>
    <t>105 films deviennent réservables ce matin ! La liste ici : https://t.co/F3kGJvbanA https://t.co/C7cjGl7CzH</t>
  </si>
  <si>
    <t>Besoin de #MardiConseil ? Piochez dans notre TOP 2017 des romans les plus empruntés dans notre bibliothèque. On vous met aussi les coups de cœur des bibliothécaires 😉 Bravo à vos auteurs @LattesLeMasque et @ActesSud ! https://t.co/Q0GmJnX9Ci</t>
  </si>
  <si>
    <t>Le premier Café-Lecture de 2018, et sa surprise… https://t.co/02tR6KNGIf https://t.co/PqnUBLtwsT</t>
  </si>
  <si>
    <t>🏆Top 2017 Romans jeunesse🏆
Incroyable ! Harry Potter s'est fait détrôner cette année ! https://t.co/Pmtd6MEDyM</t>
  </si>
  <si>
    <t>Retour sur les Goûters-Bibli de janvier… https://t.co/yd7tElpyKx https://t.co/g3JdwdjKPI</t>
  </si>
  <si>
    <t>La médiathèque prend des couleurs : un article du @telegramme sur l'exposition #CaroleChaix à #Douarnenez.
https://t.co/ecP8auXiAs</t>
  </si>
  <si>
    <t>C’est la fête de la BD à Angoulême du 25 au 28 janvier
https://t.co/5oktEjBpy5 @bdangouleme 
@bibvaugirard et dans les #bib2paris c’est toute l’année! Passez nous voir!📚 https://t.co/Ek6MqSyGgK</t>
  </si>
  <si>
    <t>À noter dans vos agendas ! Rencontre avec Bernadette Murphy le 10 février à 10h dans votre bibliothèque ! https://t.co/ukrTIWXx6I</t>
  </si>
  <si>
    <t>Atelier cartes de vœux en cours avec des petites mimines qui travaillent bien, faisant de très jolis effets ! 😊😊 @bibliocite #Bib2Paris #bibliotheque #jeunesse #origamis #atelier https://t.co/jSFIbsfAMX</t>
  </si>
  <si>
    <t>/// Conférence ///
"Les grandes étapes de l'évolution de l'homme"
Par M. Henri de Lumley, directeur de l'Institut de paléontologie humaine
Organisée par Les Amis de la Méjanes 
Jeudi 25 janvier 2018
Salle Armand Lunel à 18h30
Entrée libre https://t.co/klExNQ1Txp</t>
  </si>
  <si>
    <t>Prise en main de notre imprimante #3D et première réalisation 🦊 ! Bientôt ouvertures des ateliers 🤩 https://t.co/vr1fK68qkL</t>
  </si>
  <si>
    <t>https://t.co/zxMPARHk7C</t>
  </si>
  <si>
    <t>Découvrez l'univers de #CaroleChaix à partir de samedi à la médiathèque de #Douarnenez : https://t.co/znTAbBAJIE https://t.co/Z9KhmrRhrJ</t>
  </si>
  <si>
    <t>Ce vendredi venez rencontrer un créateur de jeux de société à la bibliothèque lors de la traditionnelle soirée jeux 🎲. Gratuit et ouvert à tous, que vous soyez seul, en famille ou entre amis 🤠. https://t.co/ms00Szajpw</t>
  </si>
  <si>
    <t>Samedi 3 février à 15h30
#ECRANdesMOMES
Film d'animation de 2013  (1h20) - À partir de 6 ans. 
https://t.co/JdlEPQNiBu https://t.co/yu0rKVWBxK</t>
  </si>
  <si>
    <t>Cinéma https://t.co/X4aoR7YhYT https://t.co/yRiCO0gHjY</t>
  </si>
  <si>
    <t>Stage aquarelle https://t.co/RpoUCpqCD2 https://t.co/4DqppnmvyA</t>
  </si>
  <si>
    <t>On termine cette belle #Nuitdelalecture par un Haïkus ⭐️ https://t.co/c8BSYoX9HF</t>
  </si>
  <si>
    <t>Et l'heure du conte continue 😀 ! 😊 https://t.co/bTYLoPMcop</t>
  </si>
  <si>
    <t>Une lecture-surprise… https://t.co/bRi6xDpFFQ https://t.co/MPqtrZdEt9</t>
  </si>
  <si>
    <t>Daniel Pennac a dit "ce sera une #NuitLecture à haute voix". Ce que M. Pennac a dit, sera ! https://t.co/TAnmsKF9nu @libe</t>
  </si>
  <si>
    <t>Ouh la la en effet très riche cette collection SNCF :V :V :V MIAM LE BON SÉPIA
https://t.co/zIHGZ1GepC https://t.co/8am62gsM6I</t>
  </si>
  <si>
    <t>Atelier de dessins stellaires au top cet après-midi avec l'adorable et talentueuse illustratrice Hélène Rajcak ! Les belles constellations sont exposées à l'entrée de la section jeunesse 😊😊✨🌟 @bibliocite #bibliotheque #Jeunesse #Illustrations https://t.co/5cuZUjhFZQ</t>
  </si>
  <si>
    <t>L'Atelier d' #Enluminures à destination des enfants à l'occasion de la #NuitDeLaLecture  le 20 janvier est en préparation !
8 enfants maximum , réservation obligatoire
(#manuscrit 39, 13ème siècle, folio 3 verso) https://t.co/01gCstxIdg</t>
  </si>
  <si>
    <t>samedi 20 janvier 2018 | 15h
Fééries électriques : photographies
exposition du 16/01 au 17/02
Présentation et démonstration de stéréoscopie, procédé de prise de vue et de visionnage en relief
Dans la cadre du programme « quand vient la nuit » et du cycle « l’original du mois  » https://t.co/5Ny39yHdzi</t>
  </si>
  <si>
    <t>Fresques murales magnifiques et balades #StreetArt sublimes partout dans le #13ème !! @mairiedu13 #artsderue #muralisme #Paris https://t.co/h3JnfB7f8K</t>
  </si>
  <si>
    <t>ArTeyran 2018 : appel à candidatures https://t.co/kGZaGvqOsA https://t.co/Z4FJPfzIy4</t>
  </si>
  <si>
    <t>http://pbs.twimg.com/media/DTRoRK-VAAEo3C7.jpg</t>
  </si>
  <si>
    <t>Appli Day : Eurêkoi https://t.co/v8YZBmmU2I</t>
  </si>
  <si>
    <t>https://t.co/SWYl9eRIJa</t>
  </si>
  <si>
    <t>Bonne année et bonnes lectures de la part de toute l'équipe de la bibliothèque Italie ! #BonneAnnee2018 https://t.co/rJBGkDqRUm</t>
  </si>
  <si>
    <t>// Conférence //
Dans le cycle des "Clefs pour l'art contemporain", Romain Mathieu présentera le basculement du moderne au postmoderne au cours des années 80. 
Nous vous proposons de revenir sur les significations de ces deux termes !
Espace Jules Isaac -19 janvier -18h https://t.co/nbz54gx6eT</t>
  </si>
  <si>
    <t>[Sentiers philosophiques]
#SimoneWeil fut, en son temps, une lanceuse d'alerte. Le débat sur son "appel à  une dissidence ultime" n'est-il pas, en ce début de XXIème siècle, plus que jamais d'actualité ?
Entrée libre
Bibliothèque de la Halle aux Grains
Samedi 13 janvier 15h https://t.co/txZizw2Ls6</t>
  </si>
  <si>
    <t>Samedi 13 janvier 14h30-17h #ATELIERdECRITURE
Inscrit ou non à la médiathèque=&amp;gt; Entrée libre et gratuite :o)
Les débutants et les curieux sont les bienvenus. :o)
https://t.co/60N8k7kj7m https://t.co/EYfKamTiSl</t>
  </si>
  <si>
    <t>/// SAMADAMA ///
 Du 20 janvier au 17 février, découvrez notre manifestation autour de Françoise Malaval imagière 🐘#événementculturel #aixmaville https://t.co/0UxR8ZhTas</t>
  </si>
  <si>
    <t>#NuitLecture Non le programme n'est toujours pas fini !! à 17h00, le secteur jeunesse proposera une heure du conte numérique (à partir de 3 ans) https://t.co/GhHhJsgkT7</t>
  </si>
  <si>
    <t>[ Concert ]
Samedi 13/01 à 16h à la bibliothèque Méjanes
Découvrez #Woodpicker, groupe acoustique, qui revisite à sa manière les vieux blues et ragtime du siècle dernier jusqu'à nos jours, en passant par le folk et la country des sixties/seventies. https://t.co/Sg2ZJ8bdbM</t>
  </si>
  <si>
    <t>#NuitLecture / Quoi ! Encore un atelier pour les jeunes ? Et oui... pour ceux que le japon n'inspire pas, pourquoi pas le Moyen-Age ? de 15h30 à 17h30, Club lecture  jeunes avec atelier enluminures ! (à partir de 9 ans – 8 enfants max : réservation obligatoire au 03 80 24 55 71) https://t.co/BpJzVX15Ol</t>
  </si>
  <si>
    <t>Nuit de la Lecture le 20 janvier 2018 à partir de 17h00
Venez passer la soirée en notre compagnie pour la #nuitdelalecture à la #bibliothequemejanes ! Découvrez notre programmation pour cette deuxième édition nationale organisée par le @MinistereCC https://t.co/7stQ2nCuMf</t>
  </si>
  <si>
    <t>Bonne année 2018 en notre compagnie ! https://t.co/NOjphI7vUv https://t.co/T8hA3zGlPV</t>
  </si>
  <si>
    <t>#NuitLecture next : petit bookface de 10h à 17h, venez vous faire tirer le portrait en vous amusant avec des livres ! Vous retrouverez les photos sur les réseaux sociaux dans la soirée 😎 https://t.co/q6CJrePYis</t>
  </si>
  <si>
    <t>DEMAIN à 15h30 :o)) https://t.co/Az0jwo9IC7</t>
  </si>
  <si>
    <t>Encyclopédie Diderot  et d'Alembert : savez-vous que nous possédons l’édition Franco Maria Ricci datée de 1970, composée de 17 volumes dont la reproduction intégrale de planches ? 
Prenez RDV pour une découverte approfondie avec un.e bibliothécaire https://t.co/JyQ2Vf5tCe</t>
  </si>
  <si>
    <t>Voilà, janvier est là... les fêtes sont finies, d'accord, mais il y a encore une fête qui arrive et qu'on ne manquera pas : la nuit de la lecture ! Mise en bouche : expo "Jack Kirby, centenaire du roi des comics" #NuitLecture on commence tôt @BibBeaune ! https://t.co/x1zVMPxUL0</t>
  </si>
  <si>
    <t>Vendredi 12 janvier à 19h
#SOIRÉE #APÉRO #ETOILE"
Invitation #SalledelEtoile, av. Léo Lagrange à Châteaurenard.
Présentation de la #programmation du lieu et des actions de la médiathèque et autres services #culturels de la commune.
Ouvert à tous https://t.co/2NDObR1nXx</t>
  </si>
  <si>
    <t>🎉 Nous avons le plaisir de vous accueillir aujourd’hui pour la réouverture de la bibliothèque Méjanes dans les nouveaux espaces 🎉 #bibliothèques #aixmaville https://t.co/2crPnSgIhA</t>
  </si>
  <si>
    <t>mercredi 3 janvier 2018 : 15h|16h
Des livres et des applis
De chouettes univers à explorer sous forme ludique !
3-8 ans, sans inscription https://t.co/JzemJLky6A</t>
  </si>
  <si>
    <t>Dernière semaine ! Noël à la médiathèque ! https://t.co/MgYpJyy5o3</t>
  </si>
  <si>
    <t>Samedi 6 janvier à 15h30 #GRANDECRAN
Diffusion film espagnol de 2015 - durée 1h44
Entrée libre et gratuite
https://t.co/VY2ILyYXbz https://t.co/Xmt2qWn962</t>
  </si>
  <si>
    <t>Les bibliothécaires vous souhaitent une excellente année 2018 et de belles lectures ! https://t.co/cGhhzr2UsO</t>
  </si>
  <si>
    <t>Toute l'équipe de la #Bibliothèque de #Beaune vous souhaite une très #BonneAnnee2018  !
(#enluminure Sandra Clerbois https://t.co/QsKA80amXi) https://t.co/3f3z5dsGkk</t>
  </si>
  <si>
    <t>🛎️ APPEL A CANDIDATURE !!!
Vous aimez la littérature, échanger autour d'un coup de cœur? Venez participer à la #NuitdelaLecture le 20 janvier 2018 avec nous.
N'hésitez pas à nous contacter pour participer aux ateliers de Speed booking, de lectures en vrac ou d'Haïkus. https://t.co/dB12rYR3ph</t>
  </si>
  <si>
    <t>💿🎥📕 Disques, films, livres : quels ont été vos choix en 2017 à la médiathèque de #Douarnenez ? La liste ici : https://t.co/TcOJm5fVJZ https://t.co/qAQw6qPSj1</t>
  </si>
  <si>
    <t>Des chocolats offerts par une lectrice et une carte de remerciements pour l'équipe! https://t.co/Cx0Ynuycv0 https://t.co/LdafI94CY4</t>
  </si>
  <si>
    <t>Profitez des vacances! https://t.co/lEqf1yjujI</t>
  </si>
  <si>
    <t>#calendrierdelavent #patrimoine 24 décembre ! Pour finir en beauté des hommes nus chevauchant des #escargots ! Super quattuor libros Institutionum Justiniani de Baldus de Ubaldis, #incunable 3, 1480-1481 https://t.co/lFgdH6R8VL</t>
  </si>
  <si>
    <t>https://t.co/Zm7WgHAyVB</t>
  </si>
  <si>
    <t>C'est ce matin : samedi 23 décembre 11h-12h
Atelier Jeunesse 6-10 ans
Viens créer ta carte de vœux personnalisée ! https://t.co/GHKSE9mgId</t>
  </si>
  <si>
    <t>Demain samedi @bibvaugirard https://t.co/OXpxwvDXii</t>
  </si>
  <si>
    <t>Chers lecteurs,
Durant les vacances de Noël, la médiathèque de #Douarnenez ouvrira aux horaires habituels excepté les samedi 23 et 30 décembre (17h00 au lieu de 18h00).
L’équipe de la médiathèque vous souhaite de belles fêtes de fin d’année. 🎄</t>
  </si>
  <si>
    <t>Retrouvez sur Youtube, notre vidéo sur le #réaménagement des espaces de la #bibliothèque Méjanes !!! Réouverture le mercredi 3 janvier 2018 
https://t.co/V8IIMIpDCl</t>
  </si>
  <si>
    <t>Attention fermeture le mardi 2 janvier 2018! https://t.co/AnLY6hAbWI</t>
  </si>
  <si>
    <t>Les bibliothécaires vous souhaitent de très belles fêtes ! https://t.co/y9Rzu53P2I</t>
  </si>
  <si>
    <t>#calendrierdelavent #patrimoine 20 décembre !
Devinez quel est cet oiseau !
Heures à l'usage de Rome manuscrit 60 sur parchemin, folio 97 verso https://t.co/d7QP3WDX7u</t>
  </si>
  <si>
    <t>C’est aujourd’hui à 18h30 !!! https://t.co/QM7qO0AbAI</t>
  </si>
  <si>
    <t>#calendrierdelavent #Patrimoine, 18 décembre !
Mozart et le théâtre ."La Petite Illustration", fonds théâtre Copeau-Dasté, conservé à la Bibliothèque Gaspard Monge. https://t.co/6euS3Wt5Fz</t>
  </si>
  <si>
    <t>C'est samedi prochain 23 décembre 11h-12h
Atelier Jeunesse 6-10 ans
Viens créer ta carte de vœux personnalisée ! sur inscription https://t.co/LTuBIrlowu</t>
  </si>
  <si>
    <t>Vite, vite, à vos traîneaux, le samedi des p'tits bouts va commencer ! #bébéslecteurs #Noel https://t.co/e5zUUZjbvR</t>
  </si>
  <si>
    <t>⚠️ En raison de la venue exceptionnelle du Père Noël, la soirée jeux n’aura pas lieu ce mois-ci, mais retour en 2018 dès le 26 janvier pour une soirée avec invité spécial... ! 😮 🎲
D'ici là bonnes fêtes à tous les ludovores ! https://t.co/oEvy9MTojl</t>
  </si>
  <si>
    <t>Lancement des 4e états généraux de la Jeunesse @mairie15 avec les #bib2paris du 15e @bibvaugirard @bibYourcenar Andrée Chedid et Gutenberg et #NAO https://t.co/6LAArtIWvM</t>
  </si>
  <si>
    <t>Offre d’emploi – Animateur/Animatrice Multimédia https://t.co/Wc58iZEhvO https://t.co/hcbQmayZsh</t>
  </si>
  <si>
    <t>ENLIVREZ-MOI, prix des jeunes lecteurs du 15ème.
Vendredi 8 décembre, 15 classes de CM1 se sont retrouvées dans la salle des fêtes @mairie15 pour découvrir l'album préféré des écoliers : Le Royaume de Minuit / Max Ducos https://t.co/Z2vdVqEG0b</t>
  </si>
  <si>
    <t>/// Conférence ///
A la découverte des mascarons d'Aix!
Organisée par Les Amis de la Méjanes
Jeudi 21 décembre à 18h30, salle Armand Lunel
Entrée libre
Pour plus d'infos: https://t.co/pRG0eMUtOQ https://t.co/3uQ3Sd5pYO</t>
  </si>
  <si>
    <t>Retrouvez ce vendredi et vendredi 22 décembre à 14h à la bibliothèque Méjanes, @MagaEcrivain, écrivain public !  
Découvrez son beau métier à travers ce reportage de @France3Provence, en cliquant sur le lien suivant: 
https://t.co/xAjYPkrKWn https://t.co/bUyAIXmiPB</t>
  </si>
  <si>
    <t>#CalendrierDeLavent #Patrimoine, 13 décembre !
Beau décor d'#incunable : De Situ orbis / Strabo. Italie, 1472 https://t.co/W0TX9PFEN7</t>
  </si>
  <si>
    <t>Pendant les fêtes 2017 : 
La médiathèque sera ouverte aux horaires habituels
sauf les samedis 23  et 30 décembre après-midi
et mardi 26 décembre, jours de fermeture exceptionnelle. https://t.co/tckpqvL1qC</t>
  </si>
  <si>
    <t>Ce fût une journée bien chargée pour #AudePicault à la médiathèque de #Douarnenez...
Un grand merci à elle pour sa gentillesse, sa disponibilité et son humour... https://t.co/R3rai7osno</t>
  </si>
  <si>
    <t>https://t.co/KSaUZ908pg</t>
  </si>
  <si>
    <t>NOUVEAU : PREMIERS ROMANS 
1 prix des lecteurs, 1 jury!
Contactez les #bib2paris participantes dont @bibvaugirard pour participer au jury
https://t.co/ncwQRIcguZ https://t.co/Rg8zLCmZjm</t>
  </si>
  <si>
    <t>⚠️9/12 : Fermeture exceptionnelle de 13h à 14h pour la section adulte et disco/vidéo #collèguesenquarantaine https://t.co/3fbvAguWqY</t>
  </si>
  <si>
    <t>/// Concert ///
Artistes en herbe
Mardi 12/12 à 18h00 à l'Amphithéâtre de la Verrière
Manifestation organisée par le Conservatoire Darius Milhaud
Entrée libre sous réserve des places disponibles
Renseignements au 0488718420
#aixmaville #concertenfant #musique https://t.co/0ztYMlZRkN</t>
  </si>
  <si>
    <t>Six livres pour adolescents que les « booktubeurs » français adorent — via @lemondefr https://t.co/WFtZWH9CAr</t>
  </si>
  <si>
    <t>Vendredi 13 août 1965, #JohnnyHallyday se produisait à #Hyères pour la 3ème fois dans le cadre du Théâtre aux étoiles. #fondspatrimonial https://t.co/mRF71tN3zm</t>
  </si>
  <si>
    <t>Aujourd'hui, zoom sur "La princesse qui aimait les chenilles", contes racontés et réunis par René de Ceccatty et Ryôji Nakamura. Espace Grand public : https://t.co/wjBTAd81nL https://t.co/8mhrrAFFLK</t>
  </si>
  <si>
    <t>Chaîne Youtube @bibvaugirard 
Voici les films réalisés en Stop Motion lors d’un atelier pendant #Numok
https://t.co/trfdKnY2Ne https://t.co/4UJCdiiPiS</t>
  </si>
  <si>
    <t>Noël est déjà à la bibliothèque… https://t.co/jjMDv1Q4DT https://t.co/iqDHnW2G4l</t>
  </si>
  <si>
    <t>[ Prix littéraire des lycéens et apprentis PACA] organisé par @ArLPaca 
Rencontre avec l'auteur Eric Faye à la @librairiedeprovence. Présentation de son dernier roman "Eclipses japonaises" publiée en 2016 aux @EditionsduSeuil 
Jeudi 7 décembre à 17h30 https://t.co/uvwO98h4pG</t>
  </si>
  <si>
    <t>Incroyable 😂 https://t.co/Ws2OCfCUU7</t>
  </si>
  <si>
    <t>https://t.co/ERXSBXQL1E</t>
  </si>
  <si>
    <t>/// Conférence ///
Intelligences animales, l'humain fait-il exception?
Samedi 16 décembre à 16h à la bibliothèque Méjanes.
Conférence animée par Marie Montant, maître de conférences à @univamu Laboratoire de psychologie cognitive https://t.co/0jt2KPf8nG</t>
  </si>
  <si>
    <t>[ Cahier de guerre ] par la Cie La tête dans les Nuages
Spectacle à l'Amphithéâtre de la Verrière
Mardi 19 décembre à 18h30 (durée 1h30)
https://t.co/eFQbR2QkGI https://t.co/Kpkx4MP6kf</t>
  </si>
  <si>
    <t>#JeandOrmesson a tant écrit que nous avons dû lui dresser une table dans l'entrée de la bibliothèque. Une table, ce n'est pas grand chose... mais elle essaie de soutenir son oeuvre dignement ! Aurevoir Monsieur d'Ormesson https://t.co/UhRFx5TO4Z</t>
  </si>
  <si>
    <t>Samedi 9 décembre 14h30-17h 
Entrée libre et gratuite.
https://t.co/5RUDKbFlRt…/atelier-d-ecriture https://t.co/EvtnzgyXa8</t>
  </si>
  <si>
    <t>#calendrierdelavent  #Patrimoine, 5 décembre !
Ils sont rares cette année mais pour ne pas se tromper « Histoire des champignons comestibles et vénéneux » de Joseph Roques (date inconnue), édité par #VictorMasson (1807-1879), éditeur scientifique #beaunois https://t.co/AdzrszFlBv</t>
  </si>
  <si>
    <t>En manque d'idée pour vos repas de fête ? Venez faire le plein à la bibliothèque ! (sans oublier les derniers numéros de #CuisineetVinsdeFrance et @cuisineactuelle !) 🥘 🍾 #Noel #gastronomie https://t.co/iNsSZ8rNAG</t>
  </si>
  <si>
    <t>Pendant plusieurs séances, la médiathèque de Locminé a mis à disposition un casque de réalité virtuelle aux élèves... https://t.co/nZpqWzzKi6</t>
  </si>
  <si>
    <t>#calendrierdelavent #Patrimoine 2 décembre ! Belles couleurs ! Extrait du Livre d'or des apothicaires (1612) (manuscrit 341,sur papier, folio 76) https://t.co/GXG4llm7qo</t>
  </si>
  <si>
    <t>Retrouvez tous nos #livresnumériques sur notre site #MéjanesNumérique dont le dernier roman d'Eric Faye "Eclipses japonaises" que vous pourrez rencontrer le 7 décembre à 17h30 à la #librairiedeprovence !
https://t.co/f6qj2gky7D https://t.co/F4GhHcMBRP</t>
  </si>
  <si>
    <t>Samedi 2 décembre, rendez-vous au bibliocafé pour partager, entre autres, des réflexions sur le plaisir, autour de livres présentés, mais aussi de tout ce que vous pouvez apporter. C'est entre 10h30 et midi, c'est gratuit et on offre café, thé et madeleines ! #Douarnenez</t>
  </si>
  <si>
    <t>De la #neige le 1er Décembre !!☃️❤️#igersbourgogne https://t.co/5iTMp9GNWd</t>
  </si>
  <si>
    <t>C'est ce soir @mairie15 https://t.co/nZ5EpuXoom</t>
  </si>
  <si>
    <t>Aujourd'hui, zoom sur "David Hockney" sous la direction de Didier Ottinger. Espace Grand public : https://t.co/igro8V3XD5 https://t.co/pqPOuGL1Lr</t>
  </si>
  <si>
    <t>Les clubs lecture italiens et espagnols sont sur inscription au 0442919888. Seul le club lecture en italien est proposé pour le mois de décembre, retrouvez les prochaines dates en janvier 2018 :-) https://t.co/SI7uHLphnx</t>
  </si>
  <si>
    <t>Aujourd'hui, zoom sur "Au bureau des objets trouvés" de Junko Shibuya. Espace Jeunesse : https://t.co/XMJrFOPsuz https://t.co/kHO0cyAPBF</t>
  </si>
  <si>
    <t>Nous étions faits pour être heureux de Véronique Olmi https://t.co/428ziaXQgc</t>
  </si>
  <si>
    <t>Jacques Brigaud https://t.co/AQiXrCmRf4 https://t.co/XAbhHEgb87</t>
  </si>
  <si>
    <t>https://t.co/aCUEdjlBX0 https://t.co/RxPLguIa0s</t>
  </si>
  <si>
    <t>Prix des lecteurs https://t.co/VAdhI8dBzw https://t.co/BPJB1i2zDL</t>
  </si>
  <si>
    <t>Information fin d’année https://t.co/pQ8ycgNHyx https://t.co/EqpJEoGyo4</t>
  </si>
  <si>
    <t>Samedi 25 novembre à 11h, lecture d'albums en breton à l'occasion du festival #DisparAmzer #Douarnenez en partenariat avec l'association Emglev Bro Douarnenez. https://t.co/85Ae69DMID</t>
  </si>
  <si>
    <t>Ce soir à 18h, rencontre avec Lenka Horňáková-Civade, auteure des Giboulées de Soleil,  Prix Renaudot des Lycéens 2016 : comment quatre femmes tissent un  héritage malgré l'ostracisme, au fil de l'histoire de la République  Tchèque. #Douarnenez https://t.co/q7yh0nsLAK</t>
  </si>
  <si>
    <t>Jeudi à 20h nous vous invitons dans le cadre du @MoisDuDoc à la projection du film "Casa" de Daniela de Felice suivie d'une rencontre avec la réalisatrice : un itinéraire poétique où une maison intemporelle devient le lieu d'une remémoration émouvante de la famille. #Douarnenez</t>
  </si>
  <si>
    <t>Conférence "Clés pour l'art contemporain" vendredi 24 novembre 2017 à 18h à l'auditorium de la bibliothèque Méjanes https://t.co/32SGZLu0Mj</t>
  </si>
  <si>
    <t>C'est ce samedi après-midi :)
Il reste encore quelques places :) https://t.co/OiwPlU7bnE</t>
  </si>
  <si>
    <t>Dragon, Dragons… spectacle avec marionnettes, conte, chant, diapositives etc… https://t.co/s6egJbRnrI https://t.co/LcMYQXcJjM</t>
  </si>
  <si>
    <t>C'est la semaine prochaine!
Toujours de belles découvertes et de chouettes rencontres. https://t.co/IAxDf8pEi5</t>
  </si>
  <si>
    <t>ANNÉE FRANCE COLOMBIE
rencontre avec R. Burgos Cantor, M. Dulcey,auteurs colombiens,animée par R. Salazar @FrCol2017 https://t.co/8Pqatbb1hc</t>
  </si>
  <si>
    <t>C'EST MAINTENANT
rencontre avec Roberto Burgos Cantor et Mario Dulcey, auteurs colombiens
Rencontre animée par Roberto Salazar @bibliocite https://t.co/YuIddV7G9V</t>
  </si>
  <si>
    <t>J-8 :) https://t.co/OiwPlU7bnE</t>
  </si>
  <si>
    <t>Nouvelle date pour la rencontre avec Lenka Horňáková-Civade reportée suite à l' #IncendiePortRhu : vendredi 24 novembre à 18h. Une nouvelle chance pour découvrir l'auteure du Prix Renaudot des Lycéens 2016 avec ses belles "Giboulées de Soleil" aux éditions Alma #Douarnenez</t>
  </si>
  <si>
    <t>Dès demain on fête la vente des vins à #Beaune, alors on se retrouve pour le @MoisDuDoc vendredi 24 novembre ! Découvrez toutes les dates et films à venir sur notre site ➡️https://t.co/M7q2IuspIp https://t.co/ENaBwMyBc1</t>
  </si>
  <si>
    <t>Mercredi 15 novembre à 18h, rencontre avec Lenka Horňáková-Civade, auteure des Giboulées de Soleil, Prix Renaudot des Lycéens 2016 : comment quatre femmes tissent un héritage malgré l'ostracisme, au fil de l'histoire de la République Tchèque. #Douarnenez https://t.co/q7yh0nsLAK</t>
  </si>
  <si>
    <t>Ce soir à la bibliothèque découvrez l'histoire fou du film jamais réalisé, mais qui a pourtant inspiré Star Wars, Alien, Matrix et tant d'autres... Sacré Alejandro Jodorowsky... https://t.co/yUxTzyNpEF</t>
  </si>
  <si>
    <t>Concours de nouvelles de science-fiction. Règlement et inscription : https://t.co/aIUlsPXTlu https://t.co/R0A72KWsKm</t>
  </si>
  <si>
    <t>https://t.co/iHfVob3cR3</t>
  </si>
  <si>
    <t>À emprunter dans les #bib2paris! https://t.co/AinnJOclGi</t>
  </si>
  <si>
    <t>🌼Welcome, bienvenue sur notre compte Instagram ... Nous aurons le plaisir de vous faire… https://t.co/sxkjRNoEA3</t>
  </si>
  <si>
    <t>Bienvenue à la bibliothèque Méjanes !!!!
#monpremierTweet #bibliotheque #aixenprovence #aixmaville https://t.co/6lelLu50sp</t>
  </si>
  <si>
    <t>Samedi 11 novembre, c'est férié.
Les #bibs2paris seront fermées. Passez nous voir avant pour faire le plein de lectures 📚 https://t.co/rR6ttarIqr</t>
  </si>
  <si>
    <t>Ici @BibBeaune, on est suuuuuuuuuper contents de pouvoir tweeter en #280caractères pour pouvoir vous parler plus longuement de nos évènements, nos livres, nos CD, nos vinyles, nos DVD, nos BD, nos albums jeunesse, nos expos, nos jeux aussi toussa (c'est dingue la place qu'on 🤐🙃</t>
  </si>
  <si>
    <t>Pensez à réserver votre place :)
Places limitées - Entrée Gratuite - https://t.co/OiwPlU7bnE</t>
  </si>
  <si>
    <t>1ère séance du @MoisDuDoc réussie avec Antoine Page, réal. de "C'est assez bien d'être fou". Merci d'avoir partagé la vision de Zoo Project. https://t.co/C4TyMxqLhA</t>
  </si>
  <si>
    <t>https://t.co/WLlqLXagA6</t>
  </si>
  <si>
    <t>Sinon c'est le moment de voter pour le People's Choice Award de #gifitup2017 go go go https://t.co/A9O9rnrHGL</t>
  </si>
  <si>
    <t>Empruntable où vous savez 😉 https://t.co/J2x53Ng4g0</t>
  </si>
  <si>
    <t>#GRANDECRAN 
Samedi 4 novembre 15h30
Film sud-coréen -séance suivie de l'intervention de Boris Henry-
https://t.co/HV5e5j2FEv https://t.co/UlZYiOoCMG</t>
  </si>
  <si>
    <t>JEUNESSE
Les albums sans texte laissent parfois les adultes perplexes. Déclencheurs de parole chez les + jeunes, ces albums sont aussi le moyen d'initier les + grands à la lecture d'images et de leur montrer la force qu'elles peuvent avoir. Sélection : https://t.co/nBPLuwbwiK https://t.co/b17sCGhbya</t>
  </si>
  <si>
    <t>CINÉ 
Tout savoir ou presque sur les films d'animation tournés en rotoscopie comme Téhéran Tabou actuellement @CinemasChaplin Saint-Lambert ou La Passion Van Gogh
Passez nous voir et empruntez gratuitement des DVD dans l'espace Jeunesse!
https://t.co/RlfaXnY2LE</t>
  </si>
  <si>
    <t>Vous avez dit ..... Halloween ? :)
des idées à dénicher dans nos rayons :)
(en cliquant sur le lien suivant)
https://t.co/6HolY3HR3v https://t.co/idajBgyx6Q</t>
  </si>
  <si>
    <t>https://t.co/IBWdNp3xIQ</t>
  </si>
  <si>
    <t>https://t.co/LNoYIdD3fH</t>
  </si>
  <si>
    <t>OKAY le concours photo est désormais terminé, merci à tous!</t>
  </si>
  <si>
    <t>Doxacours, Cours et exercices de mathématiques en ligne du CE1 à la 6è https://t.co/WAwJq424R0</t>
  </si>
  <si>
    <t>Aujourd'hui, zoom sur "Chemins toxiques" de Louis Sachar. Espace Jeunesse : https://t.co/y4ImaWmQud https://t.co/ddHrU4lpbU</t>
  </si>
  <si>
    <t>Atelier Stop Motion #Numok @FestivalNumok 
Voici les 2 films réalisés pendant l'atelier mercredi 19/10
Combat de Romains : https://t.co/uFwXSkUKYy
Le grand sauvetage : https://t.co/lHlX7gs8Es
Merci aux participant.e.s! https://t.co/VrXgP0VQKj</t>
  </si>
  <si>
    <t>C'était le forum du goût samedi @mairie15 avec la Caisse des Écoles 
Le hall de notre bâtiment en témoigne!😋https://t.co/AyC5gVN2oC https://t.co/m61HO2JdSL</t>
  </si>
  <si>
    <t>Exposition Christian Calmé https://t.co/o0R9kIdIxw https://t.co/5bfWMpPG24</t>
  </si>
  <si>
    <t>Felip Costes, invité d’honneur du Salon ArTeyran https://t.co/akqm7MPN9R https://t.co/3rTiWHxKnm</t>
  </si>
  <si>
    <t>Les rendez-vous des Assistantes Maternelles https://t.co/gbIPRqgu36 https://t.co/7ZCmPXfiHu</t>
  </si>
  <si>
    <t>La Métropole en jeux https://t.co/fcmpYAZSoz https://t.co/udkalIplm2</t>
  </si>
  <si>
    <t>Michel Hindenoch https://t.co/R9AEgN4JhA https://t.co/jgEUWODgoH</t>
  </si>
  <si>
    <t>Samedi 21 octobre à 15h30
Rencontre avec Hélène Monreal
Conférence par Roberto Forniés Alaiz
Entrée libre
détails : https://t.co/J8b6tyMHrM https://t.co/SRvhDm3z2t</t>
  </si>
  <si>
    <t>Mercredi 18 octobre 10h15 et 11h
Lectures d'histoires : pour les tout-petits et leurs parents
#festivaldelafamille
https://t.co/KR2m6IYv5u https://t.co/AnLpFx5dLF</t>
  </si>
  <si>
    <t>❤️ Le coup de cœur de Benoit pour les @pinkfloyd  : Wish You Were Here  🎧 @MardiMusique  https://t.co/xbCu0x8N3V</t>
  </si>
  <si>
    <t>Fourmidable,  de Jo Hoestlandt, édité chez Thierry Magnier https://t.co/zRMApgWejE</t>
  </si>
  <si>
    <t>Aujourd'hui, zoom sur "Le Carrosse d'or" de #JeanRenoir. Espace Cinémusique : https://t.co/wxTe7RqHmv https://t.co/VlCGbeevMc</t>
  </si>
  <si>
    <t>En raison d’un mouvement de grève national, la bibliothèque sera fermée aujourd'hui. Nous nous excusons pour la gêne occasionnée.</t>
  </si>
  <si>
    <t>Aujourd'hui, zoom sur "Le dernier songe de lord Scriven" d'Eric Senabre. Espace Jeunesse : https://t.co/HfrslqAk3s https://t.co/uHhtO8CdDk</t>
  </si>
  <si>
    <t>La #fetedelascience et la semaine de la fabrication numérique du Pays de Pontivy a permis de découvrir le... https://t.co/VlFsKtOdiv</t>
  </si>
  <si>
    <t>Vous avez déjà été faire un tour sur notre Flickr? (Presque) une #bibnum! Du lourd sur l'histoire de #LaChapelle ! Abonnez-vs! Rabonnez-vs! https://t.co/XwzkF7wyhk</t>
  </si>
  <si>
    <t>Aucun bibliothécaire n'a été blessé (gravement) sur ce tournage ! 
Quadrilogie Alien disponible ➡️ https://t.co/Bbxz8TS60q #Beaune https://t.co/ZMvfY6hH9V</t>
  </si>
  <si>
    <t>DEMAIN #GRANDECRAN
Samedi 7 octobre à 15h30
Film colombien de 2014-1h26
(à partir de 12/13 ans) en V.O sous-titrée
https://t.co/bBQhwuAf8k https://t.co/HOC0YdJFvC</t>
  </si>
  <si>
    <t>"Le Buffon des enfants : les animaux sauvages de chez nous" de B. Roy, ill. par F. Lorioux (1953). Avec le 45 T ! https://t.co/exqRdbosJi https://t.co/k2GhNPRlgA</t>
  </si>
  <si>
    <t>5j déjà que #GIFITUP a commencé, plus de temps à perdre! Go -&amp;gt;   
@Europeanaeu / @dpla / @TroveAustralia / @DigitalNZ, remix &amp;amp;   
amusez-vs! https://t.co/QzcdJ2PCRK</t>
  </si>
  <si>
    <t>Samedi 7/10 à 11h00
Les bibliothécaires en font des histoires !
Les enfants de 3 à 7 ans et leurs parents sont invités à venir écouter de merveilleuses histoires. https://t.co/PDVRiZvP1M</t>
  </si>
  <si>
    <t>Aujourd'hui, zoom sur "Tiens ferme ta couronne" de Yannick Haenel. Espace Grand public : https://t.co/TrHjWY6wFY https://t.co/kQRyWSpwf5</t>
  </si>
  <si>
    <t>SQUARE SAINT-LAMBERT
Les jardiniers préparent les pelouses et parterres au repos hivernal.
Nous en avons profité pour ramener quelques fleurs et une jolie plante @bibvaugirard Savez-vous ce que c'est?🤔 https://t.co/onkb3gsR5M</t>
  </si>
  <si>
    <t>Aujourd'hui, zoom sur "In.ter a.li.a" par #AtTheDriveIn. Espace Cinémusique : https://t.co/wJzIbCkGFD https://t.co/P7aKWzG5NF</t>
  </si>
  <si>
    <t>Le prochain spectacle : “Contes illustrés”, de la Cie Troll https://t.co/66lg6494Tn https://t.co/2Km4sGvcqu</t>
  </si>
  <si>
    <t>Aujourd'hui, zoom sur "Frères d'exil" de Kochka, illustré par Tom Haugomat. Espace Jeunesse : https://t.co/GCslsrA0aC https://t.co/bhxmuqz7yh</t>
  </si>
  <si>
    <t>https://t.co/oaxZWspDpS</t>
  </si>
  <si>
    <t>JEUNESSE 1/2
De septembre à décembre, le prix littéraire jeunesse "Enlivrez-moi" fait découvrir aux enfants de 17 classes de CM1 5 livres https://t.co/N8Jk4K1dxr</t>
  </si>
  <si>
    <t>Dernier jour pour voter! https://t.co/GV2eux50AQ</t>
  </si>
  <si>
    <t>Les débats sur les espaces verts à #LaChapelle ne datent pas d'hier!
Pr le projet Chapelle-Charbon rdv le 05/10
https://t.co/FePdU9Nzsa https://t.co/k0RDNb3TfU</t>
  </si>
  <si>
    <t>Patrimoine : la jeunesse à l'honneur ! https://t.co/7ZvHCIvF64 https://t.co/4y9EbaTF2y</t>
  </si>
  <si>
    <t>#Fondspatrimonial : "Les îles d'or (#Hyères) : #polka" d'Aimé Maurel, illustré par H. Viollet. : https://t.co/l9qeDPgzzE https://t.co/KhUGXbGf3G</t>
  </si>
  <si>
    <t>Forum des nouveaux arrivants @mairie15 avec les collègues @bibYourcenar Chedid et Gutenberg #Bib2Paris Promotion de nos bibs et services😉 https://t.co/nEilGmFKpc</t>
  </si>
  <si>
    <t>RENTRÉE LITTÉRAIRE
Les nouveautés vous attendent : A. Zeniter, Véronique Olmi, Kamel Daoud, M. Darrieussecq, Philippe Jaenada, A. Nothomb... https://t.co/Gj3CfxGX5c</t>
  </si>
  <si>
    <t>https://t.co/2gHpwVVY7O</t>
  </si>
  <si>
    <t>Ca y est! Plus qu'à tout remettre en place à St-Jacques! Vous ne savez pas quoi faire aujourd'hui? 🤭#emménagement https://t.co/eE8mOaL3pK</t>
  </si>
  <si>
    <t>https://t.co/uHgYBka5mW</t>
  </si>
  <si>
    <t>JEUNESSE
cycle "Révolution Russe" : les bibliothèques Jeunesse vous proposent des albums, contes et romans russes.
https://t.co/IkEb0Hmy1o https://t.co/E1GXsTKihH</t>
  </si>
  <si>
    <t>EXPO PHOTOS
samedi 23/09 @bibvaugirard : visite commentée de l'expo à 14h30 ou 16h
PAYSAGES MOSCOVITES 1896-1935
https://t.co/63krEzYgcd https://t.co/s7a1zHTCmP</t>
  </si>
  <si>
    <t>#Vendredilecture : Le marchand de sable de Lars Kepler
Les retrouvailles entre l'inspecteur Joona et le tueur en série Jurek  Walter... https://t.co/d0somMeIyM</t>
  </si>
  <si>
    <t>❤️Le coup de cœur d'Anaïs 📕 : La Fissure de @spottorno et @GuillermoAbril. #VendrediLecture 
https://t.co/lVDWcSWf9D</t>
  </si>
  <si>
    <t>Durant l'expo "Coup de jeune sur le #patrimoine", découvrez les #PopUp du fonds jeunesse, parmi d'autres curiosités https://t.co/GVQJhL1fjJ https://t.co/iVdOujm5zL</t>
  </si>
  <si>
    <t>Santé vous bien ! : découvrir le Pilates https://t.co/nQpDYovlbK</t>
  </si>
  <si>
    <t>prochain rendez-vous https://t.co/2iClHbJBxe</t>
  </si>
  <si>
    <t>¡cuidado amigos!
Reprise de notre atelier hebdomadaire de conversation en espagnol animé par Diana, vendredi 22 septembre à 14h30 https://t.co/SzWalr5AMn</t>
  </si>
  <si>
    <t>Expo “Voyage autour du goût” https://t.co/Vzi5kCMAvP https://t.co/zoP1emkH2u</t>
  </si>
  <si>
    <t>Aux livres les petits ! https://t.co/uGGIOLD367 https://t.co/I4TdcIZ07s</t>
  </si>
  <si>
    <t>Multimédia Vacances de Toussaint https://t.co/aCbyjx9vPq https://t.co/5cqthuro1u</t>
  </si>
  <si>
    <t>Tout le programme de la bibliothèque pour les #JEP2017 est ici ! ➡️https://t.co/yBxsxItwrI https://t.co/gnOemZWI5c</t>
  </si>
  <si>
    <t>Hervé, la nouvelle mascotte de la bibliothèque… https://t.co/xB04FkhNg1 https://t.co/7rrmVu5KmC</t>
  </si>
  <si>
    <t>Aujourd'hui, zoom sur "Loving" de Jeff Nichols. Espace Cinémusique : https://t.co/pponvYJWJX https://t.co/mbjBEbrBx0</t>
  </si>
  <si>
    <t>La Rentrée littéraire à la médiathèque avec @librairieCharl ! https://t.co/kxmWXlAerZ</t>
  </si>
  <si>
    <t>Le programme des activités multimédia est disponible ! https://t.co/kn1qpXgc2o https://t.co/PVIf5Ry5Qu</t>
  </si>
  <si>
    <t>Septembre : c’est la reprise pour les Goûters-Bibli ! https://t.co/lNmVfNoSX5 https://t.co/rETrblhXbq</t>
  </si>
  <si>
    <t>Les premiers achats de la rentrée littéraire ! https://t.co/Ut1Y2etcXG</t>
  </si>
  <si>
    <t>"Je ne peux que te montrer la porte [de la bibliothèque]. C'est à toi qu'il appartient de la franchir." Morpheus 
#bibbeaune #Beaune https://t.co/Tc7YqQ40CM</t>
  </si>
  <si>
    <t>Café médiathèque : samedi 9 septembre 2017 https://t.co/WNfY1vpx6d</t>
  </si>
  <si>
    <t>Le RDV des 3-6 ans :
Mercredi 6 septembre à 15h30 :)
pour la 1ère séance #Malleauxhistoires après la pause estivale.
https://t.co/2aA55zcCmb https://t.co/NuCHLRx7N0</t>
  </si>
  <si>
    <t>Nouvelles plumes de choix au « Monde des livres » — via @lemondefr https://t.co/9MqwiGBO8b</t>
  </si>
  <si>
    <t>Spectacle “Les Confidences du Berry” https://t.co/OEDMAM9a45 https://t.co/jxAQgSQLh4</t>
  </si>
  <si>
    <t>https://t.co/QmTWqV5MqB</t>
  </si>
  <si>
    <t>L’écharpe de l’Abbaye : un cadeau d’anniversaire ? https://t.co/YPYPm5Vhx1 https://t.co/kSCVQXnEP2</t>
  </si>
  <si>
    <t>À ne pas manquer : écriture&amp;lt;s]  une exposition d'art numérique  pour cette rentrée ! Rencontre avec l'artiste Cléa Coudsi le  16/09 à 10h30 https://t.co/EiJ7lcexMy</t>
  </si>
  <si>
    <t>...une petite partie ? au calme ds le #patio #jeudechecs #pourquoipas
:) https://t.co/PHB4Tqy6Vk</t>
  </si>
  <si>
    <t>Journées européennes du patrimoine 2017 : la jeunesse à l'honneur ! https://t.co/WQjfsX3FL2 https://t.co/eRTiosta2k</t>
  </si>
  <si>
    <t>Des suggestions d'a-chats ? Venez directement échanger avec vos bibliothécaires ou retrouvez les chats-lecteurs au secteur adulte ! #lecture https://t.co/4vsrt6PHXA</t>
  </si>
  <si>
    <t>Voici un petit aperçu du nouvel agencement de votre médiathèque :) https://t.co/fTnIAhpVUt</t>
  </si>
  <si>
    <t>Hier, avec Vergers Urbains, arrosage, découverte des plantes sauvages et reconnaissance végétale avec l'appli @PlantNetProject  ! https://t.co/CEF8XkfZlV</t>
  </si>
  <si>
    <t>CMA c'est quoi ? Les cours municipaux pour adultes : on vous aide à vous inscrire tous les jours à 16h au rdc de la bibli ! :) #CMA https://t.co/mr4nSvYoZN</t>
  </si>
  <si>
    <t>OYEZ ! :)
Réouverture de votre médiathèque 
AUJOURD'HUI :
mardi 22 août à 14h :) :) https://t.co/pWiQAgP43o</t>
  </si>
  <si>
    <t>#JEP2017 #patrimoine #littératurejeunesse #exposition https://t.co/FpOmhH8nNY</t>
  </si>
  <si>
    <t>Les animations de septembre sont programmées https://t.co/0JSC1ETgE6 https://t.co/ewDCTNHhhm</t>
  </si>
  <si>
    <t>150 films d'animation pour enfants en accès gratuit et légal https://t.co/F4axtQrQxP
Pensez aux DVD Jeunesse : prêt gratuit pour les enfants</t>
  </si>
  <si>
    <t>Les bibliothèques, un lieu pour tous y compris les précaires ? https://t.co/mHPrfX1gIJ https://t.co/ROPW2KEjUu</t>
  </si>
  <si>
    <t>On trouve de tout dans les livres #bêtisiers https://t.co/bHqxl9uW9F https://t.co/1RAUwegdXz</t>
  </si>
  <si>
    <t>#AvisALaPopulation #BD et #ComicAddicts : les nouveautés commencent à arriver... et notamment les séries The #Valiant de chez @blisscomics 😈 https://t.co/yoeK3ZmAqf</t>
  </si>
  <si>
    <t>📚 Arrivée en force des nouveautés en gros caractères ! 📚 Yes ! 👍 #VendrediLecture https://t.co/csrVFKpDHg</t>
  </si>
  <si>
    <t>Aujourd'hui @ProjetVU est venu pour jardiner, bouturer et faire des herbiers 🌱🌿🌻...prochain RDV mercredi prochain à 15h ! https://t.co/M1gtK6GHzR</t>
  </si>
  <si>
    <t>Pour rappel, la bibliothèque est fermée mardi, rendez-vous mercredi prochain ! https://t.co/sgy2wLvjRh</t>
  </si>
  <si>
    <t>Pour ce week-end venez emprunter #4FilmsQuiFontDuBien ! Romance, comédie et nostalgie, vous serez sur un petit nuage après les avoir vus 😊 https://t.co/wCzslmoJbJ</t>
  </si>
  <si>
    <t>Bullez Jeunesse ! : 'Valérian et Laureline' de Jean-Claude Mézières et Pierre Christin https://t.co/uRHZnk3FqT</t>
  </si>
  <si>
    <t>Ce matin c'est #aspirateur et #ménage faut que ça brille dans nos collections ! https://t.co/ZuHAOs6SY3</t>
  </si>
  <si>
    <t>Concours d'Art Postal : édition 2017 - palmarès, remise des prix, exposition... https://t.co/zTrzrKrTjK https://t.co/smoxVvEAch</t>
  </si>
  <si>
    <t>Forum https://t.co/VYpzZnDrG9 https://t.co/YvyK0TAjED</t>
  </si>
  <si>
    <t>Exposition Christiane Millan https://t.co/iCCfykWxGq https://t.co/WIOZlIgwgo</t>
  </si>
  <si>
    <t>Forum https://t.co/pf9doIVYJk https://t.co/nzvWwS49Uh</t>
  </si>
  <si>
    <t>Préparer les animations de l’automne… https://t.co/bE79Wh65XG https://t.co/Jxye4rpSva</t>
  </si>
  <si>
    <t>Vidéo Fête de la musique / Mamasound https://t.co/PgHanaCsqT https://t.co/Hmy7bN0lRs</t>
  </si>
  <si>
    <t>Jeanne Moreau, une grande dame
https://t.co/pJCu5cV80I @bibvaugirard #bib2paris https://t.co/fAZHMc21ID</t>
  </si>
  <si>
    <t>https://t.co/fx4qEaQuqX</t>
  </si>
  <si>
    <t>On n'oublie pas! https://t.co/gi39SNYtGP</t>
  </si>
  <si>
    <t>Dernière semaine pour venir faire le plein de lectures avant notre petite pause estivale (du 1er au 21 août) :)
On vous attend :) https://t.co/iNyfQcLX5N</t>
  </si>
  <si>
    <t>Les travaux pendant les travaux https://t.co/kqDQaHwtn8 https://t.co/IkPDlHqqB2</t>
  </si>
  <si>
    <t>Découvrez #MAXICOURS : En accès libre à la médiathèque ou connecté à votre compte lecteur de tout accès Internet.
  https://t.co/w4f5nEl4Ki https://t.co/eE6CQohzC5</t>
  </si>
  <si>
    <t>Retrouvez désormais les CD "Enfants" en section jeunesse :)
Pour le plus grand plaisir des oreilles de vos chérubins :) https://t.co/Bs92ZZiLYy</t>
  </si>
  <si>
    <t>Charivari à la médiathèque :)
Cache-cache et jeu de piste de livres au menu de cet été  :)
avant grand réaménagement de la rentrée :) https://t.co/wf6KnnjxeD</t>
  </si>
  <si>
    <t>Cet été, l'antenne de la Médiathèque à #Porquerolles : https://t.co/nfMrUZIh1T https://t.co/yjmpB8vi28</t>
  </si>
  <si>
    <t>Aujourd'hui, zoom sur "Because the internet" de Childish Gambino. Espace Cinémusique : https://t.co/n3uXeGDvDl #ChildishGambino https://t.co/bCA4rD2LKF</t>
  </si>
  <si>
    <t>INFO : Petite pause estivale du 1er au 21 août 2017
de bonnes vacances à toutes et tous !
Réouverture mardi 22 aôut à 14h. ;o) https://t.co/v1DMLptXVS</t>
  </si>
  <si>
    <t>Aujourd'hui zoom sur "Le Mensonge" @LesIncos de Catherine Grive, illustré par Fréderique Bertrand. Espace Jeunesse : https://t.co/01oaBmxd97 https://t.co/lSVVPUJbfL</t>
  </si>
  <si>
    <t>Actuellement à la médiathèque : mois de juillet 2017 https://t.co/GGKfFGvpmE</t>
  </si>
  <si>
    <t>Horaires d'été 2017 https://t.co/b6zNTT6IHb</t>
  </si>
  <si>
    <t>Création de mini jeux vidéo en 2D https://t.co/Anwa0bb0JQ https://t.co/cKkdESPKr2</t>
  </si>
  <si>
    <t>Aujourd'hui, zoom sur "La vérité sur mes incroyables vacances" de D. Cali, illustré par B. Chaud. Espace Jeunesse : https://t.co/sQ6t1PDlZn https://t.co/T8IqRQYV7e</t>
  </si>
  <si>
    <t>La médiathèque vous ouvre son patio cet été. Profitez-en pour venir lire à l'ombre et en toute détente.</t>
  </si>
  <si>
    <t>https://t.co/nrB81WAZHI</t>
  </si>
  <si>
    <t>Actuellement à la médiathèque : mois de juillet 2017 https://t.co/GmAsqmNVnP</t>
  </si>
  <si>
    <t>La bibliothèque est fermée la semaine… mais les bibliothécaires travaillent quand même ! https://t.co/SiETqkp8s3 https://t.co/m4Abe9Aevn</t>
  </si>
  <si>
    <t>Vous ne savez pas quoi lire? Vous attendiez #VendrediLecture pour dénicher des idées? Mais, comme d'habitude, nous on en a plein des idées!! https://t.co/aRyA7x4Dgy</t>
  </si>
  <si>
    <t>...et sur nos liseuses ;) https://t.co/VUSniXfY2C</t>
  </si>
  <si>
    <t>Ne manquez pas le compte @Flickr des Archives municipales de Beaune, les initiatrices de la vague Flickr https://t.co/eqElPXPwg8 https://t.co/vEIFVkFLix</t>
  </si>
  <si>
    <t>TAP : Création albums kamishibaï https://t.co/6XP4OnUVPL https://t.co/LWBD9zLLs2</t>
  </si>
  <si>
    <t>Aujourd'hui, zoom sur "The Strangers" de Na Hong-jin. Espace Cinémusique : https://t.co/s6RbZpGz5D https://t.co/meAXAVOJZn</t>
  </si>
  <si>
    <t>Dans la série "improbables marque-pages".... https://t.co/0MFO6C76NQ</t>
  </si>
  <si>
    <t>"Comprendre une culture est le plus important pour parler la langue" l'itw d'Isidora, stagiaire FLE sur notre blog https://t.co/f78EWiXAw5 https://t.co/x5prpdB4UC</t>
  </si>
  <si>
    <t>Actuellement à la médiathèque : semaine du mardi 04 au samedi 08 juillet 2017 https://t.co/nJ4V9hPtOa</t>
  </si>
  <si>
    <t>Clap de fin de saison pour l’atelier tricot-crochet… https://t.co/AuYTmMVXsF https://t.co/CPwC02LQX8</t>
  </si>
  <si>
    <t>#vendredilecture 
La démocratie des crédules / Gérald Bronner
Comment naissent ces phénomènes, les "fake news"? https://t.co/mZ2TolgmqN https://t.co/Pu1Uoj0Jut</t>
  </si>
  <si>
    <t>ArTeyran https://t.co/XOEv24SghT https://t.co/0HiMKF2YZN</t>
  </si>
  <si>
    <t>Open Game https://t.co/LOtijNbgWA https://t.co/EyC8u4xQCM</t>
  </si>
  <si>
    <t>Le Prix des Incorruptibles https://t.co/OtiRgPV6Nl https://t.co/odimLioZyj</t>
  </si>
  <si>
    <t>Prix des lecteurs https://t.co/IRQfnHYot0 https://t.co/evm118v4Gd</t>
  </si>
  <si>
    <t>Vacances d’été https://t.co/9ESG1pg7eA https://t.co/KnXyWWWJdQ</t>
  </si>
  <si>
    <t>La chaîne Booktube Winter is reading https://t.co/p9ormb0OBe</t>
  </si>
  <si>
    <t>Hop hop hop, c'est aujourd'hui ! A ne pas manquer ! @franceculture #livres https://t.co/3gtLenHxqn</t>
  </si>
  <si>
    <t>C'est samedi! Avec les #bib2paris du 15e @bibvaugirard @bibYourcenar Chedid et Gutenberg https://t.co/4r0UJ48TYT</t>
  </si>
  <si>
    <t>A l'occasion de la tournée des Vieilles canailles, venez découvrir la sélection de CD et DVD qui leur est... https://t.co/OKwvJKuoEM</t>
  </si>
  <si>
    <t>Aujourd'hui, zoom sur "Spiritual songs for lovers to sing" de #Luh. Espace Cinémusique : https://t.co/BsBLlIQ9oa https://t.co/eI0m5awhxW</t>
  </si>
  <si>
    <t>Aux clics les juniors “Light Painting : les photos et vidéos https://t.co/3zSxv444LO https://t.co/DJ5U4sRAF5</t>
  </si>
  <si>
    <t>Bande Dessinée et immigrations : Un siècle d'histoire(s) https://t.co/BeD5TPKGqO https://t.co/W62JQFrLJG</t>
  </si>
  <si>
    <t>Dana, déesse primordiale de la mythologie celte, vous attend de granite ferme à l'exposition du sculpteur local René Patru. #expo https://t.co/nQKc6AcZ6i</t>
  </si>
  <si>
    <t>Ce matin on était à Marguerite Audoux pour un spectacle musical sur les grenouilles. C'est beau l'échange d'#animationsinterbibliothèques! https://t.co/4jZqzY1s8y</t>
  </si>
  <si>
    <t>#VendrediLecture voilà nos lectures pour l'été ! Enjoy ! 🌞🌞🌞 https://t.co/9qkDtnzrcC https://t.co/uUK1HZYBl6</t>
  </si>
  <si>
    <t>Petit aperçu du marque-page en préparation pour les #JEP2017 (illustration de 1945 par Félix Lorioux, un temps collaborateur de #WaltDisney) https://t.co/rkZuiYBfct</t>
  </si>
  <si>
    <t>Vidéo concert « We Want Nina » par Mariannick Saint-Céran Trio https://t.co/axZxr1pshK https://t.co/rNaSUcASYg</t>
  </si>
  <si>
    <t>Quand l'association Radio RapTz vient faire une émission de radio avec nos usagers, ça donne ça ! 📻📻📻🔉🔊🌞
https://t.co/uo5Kt4Bsug https://t.co/ifU9uAguea</t>
  </si>
  <si>
    <t>Sand/Claveloux: la terrible naissance de la rose au milieu du chaos. Ah “être frais, délicat, imperceptible, la rose!” #StoriesMW https://t.co/cpmltZ0KDe</t>
  </si>
  <si>
    <t>Notre MS1 voit encore du pays malgré son gd âge (XIIème). Parti à @AutunVille pour l'expo sur Eve au musée Rolin (f.54v) #storiesMW #womenMW https://t.co/7qOZdflMZ3</t>
  </si>
  <si>
    <t>La pluie a fuit! Audrey et sa Guita vous attend impatiemment!! #FDLM2017 https://t.co/7PpmERjNIl</t>
  </si>
  <si>
    <t>Quand on dévalise le rayon “Disney” https://t.co/nAgv1p5fLc https://t.co/hLCb3tbx8M</t>
  </si>
  <si>
    <t>Rejoignez-nous pour écouter les jeunes talents à l'ombre dans notre jolie cour ! #FDLM17 #NancySinatra https://t.co/OwU9RtDVzs</t>
  </si>
  <si>
    <t>Et une Jolie Gainsbourg #sleeveface #MuseumWeek #musicMW #WomenMW https://t.co/o70gQ0rHxR</t>
  </si>
  <si>
    <t>Oh, et nos petites #sleeveface chéries, mention spéciale mi-femme mi-chien ! #MuseumWeek #musicMW #WomenMW https://t.co/wsk2iCB9ad</t>
  </si>
  <si>
    <t>Oh, chouette ! https://t.co/Kmds7wEMy6</t>
  </si>
  <si>
    <t>HYDRATEZ-VOUS, qu'ils disaient ! https://t.co/i6Uhbec1N8</t>
  </si>
  <si>
    <t>Bande Dessinée et immigrations : Un siècle d'histoire(s) https://t.co/Rzdnc8rtcH https://t.co/8frlUjArgi</t>
  </si>
  <si>
    <t>🍉 Demain midi, venez partager vos préparations culinaires et profiter d'une ambiance festive, musicale et bon enfant ! 🥗#foodMW #FDLM https://t.co/Mdstb5q2Gg</t>
  </si>
  <si>
    <t>Actuellement à la médiathèque : semaine du mardi 20 au samedi 24 juin 2017 https://t.co/eWTcuqS7Bw</t>
  </si>
  <si>
    <t>Le Festival Végétal bat son plein sur le parvis, à coté de chez nous ! Passez donc les voir après nous avoir fait un petit coucou ;) https://t.co/F1QA4gu5J5</t>
  </si>
  <si>
    <t>Et ça continue jusqu'au 30 juin :)
VENTE DE LIVRES, REVUES et CD d'occasion.
à petits prix, entre 0,50 et 2 € l'unité. https://t.co/1RTnpbBeWY</t>
  </si>
  <si>
    <t>☯️ Tai Chi sur fond musical zen au programme de la @fetemusique avec l'association https://t.co/yCXKIcgC9x ! ☯️
#FDLM2017 #Yoda https://t.co/RKFdOHbFvN</t>
  </si>
  <si>
    <t>Ravis d'accueillir @alexewan pour la numérisation de nos manuscrits enluminés du Moyen-Age. Ca vous intéresse? Visite possible sur demande 😉 https://t.co/KXF9ZfVxMp</t>
  </si>
  <si>
    <t>Mardi 13 juin à 19h @bibvaugirard #bibs2paris @mairie15 https://t.co/LVkt4Jfi7d</t>
  </si>
  <si>
    <t>Des lectures “surprise” ! https://t.co/QaROYguINn https://t.co/Tmd2HCKyoi</t>
  </si>
  <si>
    <t>Les nouveautés et découvertes du Café-Lecture de Juin https://t.co/cv5q7U9DFo https://t.co/3VdcBKzc4Y</t>
  </si>
  <si>
    <t>C'est ce soir chez nos collègues et voisins @bibYourcenar 👍 https://t.co/FnuZUD7ZbD</t>
  </si>
  <si>
    <t>Aux clics les juniors : les réalisations photo https://t.co/4LM6nLsNYA https://t.co/Qtz9F9DeBY</t>
  </si>
  <si>
    <t>Pour ce #VendrediLecture, Lucille (notre stagiaire sur le départ 😢😢) vous conseille la série Zodiac, de @RominaRussell ! #PaL 📚</t>
  </si>
  <si>
    <t>Appli Day : Lovecraft Collection Volume 1 https://t.co/VeCOVCFhyw</t>
  </si>
  <si>
    <t>La @FetedelaMusique : au programme ? Lana elle sait 😉#FDLM2017 https://t.co/VDtvqvKg1X</t>
  </si>
  <si>
    <t>Actuellement à la médiathèque : semaine du mardi 6 au samedi 10 juin 2017 https://t.co/4BI4XEpGZH</t>
  </si>
  <si>
    <t>https://t.co/JOP3Ti90jS</t>
  </si>
  <si>
    <t>C'était hier. On s'en remet pas :'( @DurasBib @bibCanopee @biblouisemichel @BiblioVillon @bibYourcenar https://t.co/JDmofcLQhq</t>
  </si>
  <si>
    <t>Pour l'occasion @BibBeaune mettra à l'honneur Pierre Poupon (écrivain, diariste, dégustateur...) et René Patru (sculpteur et éducateur) 😉 https://t.co/AwdBNPyJDO</t>
  </si>
  <si>
    <t>MALLE aux HISTOIRES - 3/6 ans
AUJOURD'HUI à 15h30
Entrée gratuite ! :) &amp;amp; libre d'accès :)
Détails :https://t.co/2aA55zcCmb https://t.co/IB982PJjZN</t>
  </si>
  <si>
    <t>Mardi 6/06 @bibvaugirard : repenser la bib, ses publics, ses services, ses usages. Tout un programme!🤔 @BiblioRemix https://t.co/DUe9Kx5gf3 https://t.co/u2FeG9LE0X</t>
  </si>
  <si>
    <t>Pratique ! 🤓 https://t.co/zCDghpIKj8</t>
  </si>
  <si>
    <t>Top départ ! du 6 au 30/06 :
VENTE de LIVRES, REVUES et CD d'occasion.
à petits prix, entre 0,50 et 2 € l'unité.
https://t.co/UpKC7oqjhf … https://t.co/6ER3Nad4cP</t>
  </si>
  <si>
    <t>Mardi 6 juin @bibvaugirard est fermée pour permettre à l'équipe de travailler sur l'amélioration de l'accueil.
RDV demain mercredi https://t.co/cYI6qunpl8</t>
  </si>
  <si>
    <t>#VendrediLecture
Roméo Zoiseaux s'ennuie dans son quotidien trop calme.
@MarjolaineDESJ vs recommande ce roman léger feel good de JM Gourio https://t.co/HMkwxOZ2YM</t>
  </si>
  <si>
    <t>Œuvres licencieuses, propagande, érotisme, etc... Découvrez notre fonds "Curiosités" 🧐 Attention c'est chaud 🔞😉https://t.co/2uPpUS6E0c https://t.co/7aAVzkWRhD</t>
  </si>
  <si>
    <t>Nouvelle exposition Photos à la bibliothèque ! https://t.co/L8auuvc6PY</t>
  </si>
  <si>
    <t>Fête de la musique https://t.co/zhcbWPWHBc https://t.co/iXbGy2vAjS</t>
  </si>
  <si>
    <t>Théâtre Perché – 2e édition https://t.co/pUWFmcbyQ8 https://t.co/tfaV1klb0u</t>
  </si>
  <si>
    <t>Spectacle petite enfance https://t.co/5vbiIZFdzt https://t.co/CuEeL6PwPY</t>
  </si>
  <si>
    <t>Musée Fabre https://t.co/iROEXmH2dv https://t.co/1CQQmMKrSW</t>
  </si>
  <si>
    <t>Aux livres les petits ! https://t.co/v4VegAGyWU https://t.co/2kZbOGyp0q</t>
  </si>
  <si>
    <t>Atelier multimédia début des vacances https://t.co/gFrVmcPh0m https://t.co/bOdn5ypcUc</t>
  </si>
  <si>
    <t>Les expositions du Charron https://t.co/DtHsabNeas https://t.co/mxLVglTk8k</t>
  </si>
  <si>
    <t>Nouveau... enfin faut voir! 🤔Venez emprunter nos guides de voyage @bibvaugirard pour préparer vos vacances! https://t.co/bBLPtA6Eqj https://t.co/GxSBzRmuMH</t>
  </si>
  <si>
    <t>demain o) https://t.co/GC6qjr66H2</t>
  </si>
  <si>
    <t>Vu dans le quartier. Vous savez c'est quoi et qui l'a fait ? :) @mairie18paris @DailyWallArt @jrbourge https://t.co/pK3rAAV5fq</t>
  </si>
  <si>
    <t>Réservez dès à présent votre soirée !
Robi en #concert littéraire "autour de Sylvia Plath"
Mardi 13 juin à 19h https://t.co/ezuMqT36kt</t>
  </si>
  <si>
    <t>C'est demain soir @mairie15 https://t.co/s0ziuEM8UZ</t>
  </si>
  <si>
    <t>Aujourd'hui, zoom sur "Je suis la méduse" de Béatrice Fontanel, illustré par Alexandra Huard. Espace Jeunesse : https://t.co/FJEt4ADRrr https://t.co/rDWf8P9JTQ</t>
  </si>
  <si>
    <t>La Fête de la Bretagne continue ce dimanche près de @bibvaugirard Au menu : musique, crêpes et galettes 🥞@mairie15 https://t.co/fHzpY79Nw3</t>
  </si>
  <si>
    <t>Quand les tout-petits rencontrent les animaux… ou l’inverse ! https://t.co/6XHMaf3xSL https://t.co/jcVyFIrJcr</t>
  </si>
  <si>
    <t>@JanSynowiecki évoque le rôle de Guy de la Brosse, botaniste, pour le #jardin des Plantes https://t.co/3EHbxMt6h6</t>
  </si>
  <si>
    <t>Ateliers cosmétiques naturels ce samedi à 15h30! Avec nos voisins "Vergers  Urbains"
#DIY
#cosmétiquesnaturels
@ProjetVU https://t.co/pkcwG014CA</t>
  </si>
  <si>
    <t>❤️ https://t.co/6peK9mEVJL</t>
  </si>
  <si>
    <t>CONCOURS ART POSTAL :  https://t.co/bzBA2bRbYY</t>
  </si>
  <si>
    <t>Rencontre avec le dessinateur Philippe Cousin samedi 20 mai à 10h https://t.co/D9xGrlbnVR</t>
  </si>
  <si>
    <t>4mn pour présenter votre dernier coup de coeur : prêts pour le speedbooking de ce soir? #livres #lecture #partage https://t.co/uf157PzYmC</t>
  </si>
  <si>
    <t>Samedi  13 mai 14h30-17h 
ATELIER d'ECRITURE
Les débutants et les curieux sont les bienvenus :))
https://t.co/60N8k7kj7m https://t.co/pVcT4oj7qi</t>
  </si>
  <si>
    <t>L’atelier Le Lien Qu’on Tricote a bien travaillé… https://t.co/h9rxaQdIor https://t.co/nd8QtkAK0q</t>
  </si>
  <si>
    <t>C'est maintenant!😀 https://t.co/C3JD8KRveV</t>
  </si>
  <si>
    <t>1/3 L'arbre! 😀Trouvé : rue Léon Séché en cours de végétalisation
Proj 11/05 19h L'arbre, le maire et la médiathèque https://t.co/GzzCix2zQv</t>
  </si>
  <si>
    <t>Aujourd'hui, zoom sur "Dernier train pour Busan" de Yeon Sang-ho. Espace Cinémusique : https://t.co/Tr796fWJy8 https://t.co/HG0DQxYjOh</t>
  </si>
  <si>
    <t>JEUNESSE
Votre enfant commence à lire tout seul? Adaptés au CP-CE1, découvrez les nouveautés "romans 1ères lectures" https://t.co/zuLNuIhlHB</t>
  </si>
  <si>
    <t>Le Dernier des Nôtres d'Adélaïde de Clermont-Tonnerre https://t.co/2ogxtm6fXt</t>
  </si>
  <si>
    <t>Appli Day : Shareit (pour tout partager) https://t.co/GmS60AUY6j</t>
  </si>
  <si>
    <t>Lettre au père, André Dussolier lit Kafka https://t.co/mcFaf1TU5N</t>
  </si>
  <si>
    <t>Une soirée exceptionnelle hier ! Un grand merci aux comédiens de l'association "les pieds au sol" dirigés par J.C Herbette. https://t.co/5vngHh0vBE</t>
  </si>
  <si>
    <t>Quand tous les films de @XDolan ont été empruntés et que tu restes seul sur l'étagère 😭. Juste la fin du monde dispo ! Pour pas longtemps... https://t.co/TpSm2U9TrW</t>
  </si>
  <si>
    <t>TAP Montage cinématographique https://t.co/yFsAxgVPo3 https://t.co/mQjS3ZpRS5</t>
  </si>
  <si>
    <t>C'est ce soir ! https://t.co/vuqkYLQG8f</t>
  </si>
  <si>
    <t>Printemps des artistes https://t.co/5XHpF3raw5 https://t.co/WgE1D9rCaq</t>
  </si>
  <si>
    <t>Saperlipopette… “Ici et ailleurs” https://t.co/qMQEEw3C8U https://t.co/m1DR92u1db</t>
  </si>
  <si>
    <t>Atelier d’écriture https://t.co/WvcOEm08x3 https://t.co/EJgK1UGdx4</t>
  </si>
  <si>
    <t>Cinéma https://t.co/ee6FujqxNl https://t.co/1wYq92vTuK</t>
  </si>
  <si>
    <t>https://t.co/txh8nEFmkG</t>
  </si>
  <si>
    <t>Aux clics les juniors ! https://t.co/mz9xlyiL40 https://t.co/HT0lqnEe5E</t>
  </si>
  <si>
    <t>Pour les fans de la première heure, on rejoue à Tomb Raider par ici 🎮 https://t.co/Ht9PzY5n6m</t>
  </si>
  <si>
    <t>Actuellement à la médiathèque : semaine du mardi 25 au samedi 29 avril 2017 https://t.co/i4dgHgPx5P</t>
  </si>
  <si>
    <t>PEPITES DU NET
Aujourd'hui parlons culture avec ce MOOC gratuit sur l'histoire de l'art😀
https://t.co/jS8mJNLb7z
Et passez @bibvaugirard</t>
  </si>
  <si>
    <t>Le dernier vendredi du mois approche... = soirée jeux à bibbeaune ! Venez nombreux les ludovores ! https://t.co/sJ0ZRgFU16</t>
  </si>
  <si>
    <t>Joli prolongement @LeLucernaire avec Marie-Antoinette / correspondances privées, destin singulier d'1 femme complexe https://t.co/QeXp70zQAI</t>
  </si>
  <si>
    <t>PREMIERS ROMANS
Mousseline la sérieuse /Sylvie Yvert https://t.co/oMfAP3DkZ0
Etonnant et prenant #VendrediLecture 
A emprunter @bibvaugirard</t>
  </si>
  <si>
    <t>Du charme de la pudeur! Avec Eric Fiat et @AdeleVanReeth https://t.co/sN167OZBOJ</t>
  </si>
  <si>
    <t>Philosophie / La pudeur
musée Camille Claudel : https://t.co/zZ0PrbvS1g
Venez emprunter ces titres @bibvaugirard : https://t.co/uZp5jWc21C</t>
  </si>
  <si>
    <t>En attendant le #DisquaireDay ce Samedi, l'équipe est allée piocher ses coups de ❤️dans les 5000 vinyles de la bibliothèque #MardiMusique https://t.co/8wbKDmcxUT</t>
  </si>
  <si>
    <t>On prépare de nombreuses animations pour le #DisquaireDay ! Notamment un atelier pour créer une platine avec du papier 😎 #MardiMusique https://t.co/jX5Kju7JTf</t>
  </si>
  <si>
    <t>"Une création radiophonique de 28 minutes peut-elle contenir une humanité qui nous bouleverse ?" @BretagneMag. https://t.co/OJ6aHaL8J6</t>
  </si>
  <si>
    <t>La conférence de Martine Breuillot sur Paul Decharme est en ligne ! Fans d'hellénisme et curieux, rdv par ici: https://t.co/FJeJ65eX9W</t>
  </si>
  <si>
    <t>Pensez à réserver !;o))) https://t.co/FxqRnoDekh</t>
  </si>
  <si>
    <t>L'#openaccess c'est le partage du savoir, et c'est le but premier d'internet ! Bien entendu, c'est également le notre 🤗 https://t.co/lOzyKQVmmq</t>
  </si>
  <si>
    <t>Fonds vinyle, fonds Pierre Poupon, prévision des réjouissances pour la #FeteDeLaMusique, l'Enfer en bibliothèque 👿... https://t.co/FUfBefGyNc</t>
  </si>
  <si>
    <t>C'est sous nos fenêtres @bibvaugirard et nous confirmons : ça avance! https://t.co/P8dpufVI2H</t>
  </si>
  <si>
    <t>Mauvais Genres : Le Fantastique https://t.co/vNzrk1V9EQ https://t.co/ECgI3FMoN0</t>
  </si>
  <si>
    <t>Collègues 🖖Notre stagiaire, Chloé, travaille sur notre "Enfer" et voudrait connaître d'autres bib qui ont un tel fonds. Merci de partager 🙏 https://t.co/TGPDbQe6zI</t>
  </si>
  <si>
    <t>@GounelleTr Bonjour ! Les lecteurs de notre bibliothèque aimeraient découvrir votre coup de cœur musical du moment. Merci 🎧🙂</t>
  </si>
  <si>
    <t>@HarlanCoben Hello ! The readers of our public library would like to know your favourite song of the moment. Thank you ! 🙂🎧</t>
  </si>
  <si>
    <t>@tatianaderosnay Bonjour ! Les lecteurs de notre bibliothèque seraient curieux de connaître votre coup de cœur musical du moment. Merci 🙂🎧</t>
  </si>
  <si>
    <t>@Werbernard Bonjour ! Les lecteurs de notre bibliothèque seraient curieux de connaître votre coup de cœur musical du moment. Merci 🙂🎧</t>
  </si>
  <si>
    <t>@Guillaume_Musso Bonjour ! Les lecteurs de notre bibliothèque seraient curieux de connaître votre coup de cœur musical du moment. Merci 🙂🎧</t>
  </si>
  <si>
    <t>@ClementBenech Bonjour ! Les lecteurs de notre bibliothèque seraient curieux de connaître votre coup de cœur musical du moment. Merci 🙂🎧</t>
  </si>
  <si>
    <t>@RiadSattouf Bonjour ! Les lecteurs de notre bibliothèque seraient curieux de connaître votre coup de cœur musical du moment. Merci 🙂🎧</t>
  </si>
  <si>
    <t>@DavidFoenkinos Bonjour ! Les lecteurs de notre bibliothèque seraient curieux de  connaître votre coup de cœur musical du moment. Merci 🙂🎧</t>
  </si>
  <si>
    <t>@JuliaKerninon Bonjour ! Les lecteurs de notre bibliothèque seraient curieux de  connaître votre coup de cœur musical du moment. Merci 🙂🎧</t>
  </si>
  <si>
    <t>On vous attend pour un après-midi jeux de société, aujourd'hui de 14h à 17h, animé par l'association Tu veux jouer. https://t.co/VCa1QgecWm</t>
  </si>
  <si>
    <t>Nous on a 1 chouette ciné art et essai à côté de @bibvaugirard : @CinemasChaplin 👍 https://t.co/dmxa0ye1p7</t>
  </si>
  <si>
    <t>Bonne semaine! Avec les #bib2paris aussi 😀 https://t.co/fopAEvtFhJ</t>
  </si>
  <si>
    <t>Mauvais Genres : Le Fantastique https://t.co/COAK4Y22dG</t>
  </si>
  <si>
    <t>Fonds patrimonial : "Atelier Louis Barillet : Maître verrier", notamment pour la @VillaNoailles et le salon rose https://t.co/Eijs1Cv26r https://t.co/VKzFdpPTzO</t>
  </si>
  <si>
    <t>Samedi 8 avril 14h30-17h #Atelierdecriture 
Un moment dédié à la créativité par la pratique ludique de l'écriture.
https://t.co/60N8k7kj7m https://t.co/oxT2w9ZKfS</t>
  </si>
  <si>
    <t>Mercredi 12 avril à 16h, nous attendons les p'tits jardiniers !
Réservation indispensable ! https://t.co/mBzwq1OwIU</t>
  </si>
  <si>
    <t>Mauvais Genres : Le Fantastique https://t.co/BulWqRxPZJ https://t.co/EVgYfjyzsK</t>
  </si>
  <si>
    <t>https://t.co/n4KCqEQCvO</t>
  </si>
  <si>
    <t>RE-LIRE
Fahrenheit 451 / Ray Bradbury
Livres brûlés, pilules de bonheur, TV aliénante
Disponible @bibvaugirard https://t.co/lm0j7e4flW https://t.co/3Tg0KKb0vx</t>
  </si>
  <si>
    <t>Envie de construire un potager en hauteur ?
Les plans sont disponibles ici https://t.co/o8wDZHqmt3</t>
  </si>
  <si>
    <t>Page Facebook new look😀,compte Twitter : informer et communiquer en ligne c'est utile! @Philippe_Goujon @defresquet  https://t.co/ZQiqQRCKwf</t>
  </si>
  <si>
    <t>HORAIRES VACANCES SCOLAIRES 4-14/04 mardi au vendredi 14-19h (18h en Jeunesse) et samedi 10-18h Les #bibs2paris seront fermées samedi 15/04 https://t.co/x4j9Fzj2hw</t>
  </si>
  <si>
    <t>AUJOURD'HUI à 17h ;o) https://t.co/DzUczCoSOx</t>
  </si>
  <si>
    <t>En ce moment, du Girafarig pop régulièrement près de la bib. Profitez en, pokémon plutôt rare ! https://t.co/nVlfx9BMsH</t>
  </si>
  <si>
    <t>Avec le printemps, la grainothèque est de retour à la médiathèque de Locminé !
Troc de graines ce samedi 1er... https://t.co/qwaZWlLoR7</t>
  </si>
  <si>
    <t>De jolis bacs tout neufs viennent orner notre cour ! Merci aux collègues des espaces verts, le résultat va plaire à nos habitués 🌿#printemps https://t.co/bHjgvi82P9</t>
  </si>
  <si>
    <t>Atelier d’écriture https://t.co/ILwgCDOsok https://t.co/4cApIJ4fQx</t>
  </si>
  <si>
    <t>https://t.co/7dRRyOfIVY https://t.co/sxfq3V4snd</t>
  </si>
  <si>
    <t>https://t.co/ci3TPOChXN https://t.co/J5qsjDuyiw</t>
  </si>
  <si>
    <t>Tournoi départemental de jeu vidéo https://t.co/bMJxqKOZaa https://t.co/6dpOhkR1l6</t>
  </si>
  <si>
    <t>Youpi, la #SWITCH a été commandée aujourd'hui à la #bibliothèque ! Verdict bientôt...</t>
  </si>
  <si>
    <t>le Japon en images https://t.co/4shpF18TTa</t>
  </si>
  <si>
    <t>Sondage FabLab https://t.co/mEdJ4aCRva</t>
  </si>
  <si>
    <t>Aujourd'hui, zoom sur "Petit Elliot dans la grande ville" de Mike Curato @LesIncos. Espace Jeunesse : https://t.co/QfNWDx6sGi https://t.co/1SCCKzLbpH</t>
  </si>
  <si>
    <t>Guide de la famille Tout-Écran https://t.co/4tOy0eKNC4 https://t.co/PKunZs3DRj</t>
  </si>
  <si>
    <t>Une très belle expo photos à découvrir jusqu'au 29 avril à la bibliothèque ! https://t.co/xHR0wtlDCY</t>
  </si>
  <si>
    <t>Rectificatif : plus qu'un seul et unique rôle à distribuer pour la Murder party, dépêchez-vouuuuus 😵 https://t.co/PvdwRziToa</t>
  </si>
  <si>
    <t>ArTeyran 2017 : appel à candidatures https://t.co/22zFnCPhqd</t>
  </si>
  <si>
    <t>Concours Art Postal 2017 https://t.co/jZutJeye3l</t>
  </si>
  <si>
    <t>Aujourd'hui, zoom sur "La grande aventure du petit Tout" @LesIncos d' A. de Lestrade et T. Romanin. Espace Jeunesse https://t.co/XcAKgjHkSh https://t.co/BcqxLBQs4g</t>
  </si>
  <si>
    <t>Printemps des Arts : ça commence aujourd'hui😀@mairie15 @Philippe_Goujon @defresquet #bibs2paris https://t.co/PS3wuX5lWc</t>
  </si>
  <si>
    <t>Demain 18 mars à 18h
#CONFERENCE  " Art Nouveau, Gustav #Klimt", donnée par Sophie Roux, historienne de l’art.
https://t.co/g5wtIrwKgL https://t.co/XZloTzQad1</t>
  </si>
  <si>
    <t>en cette période de Festival International du Film Policier 🔫, nouveauté prévue à la bibliothèque ! @lpscinema partenariat avec le Dé Masqué https://t.co/rIOT2mYNgY</t>
  </si>
  <si>
    <t>#PokemonGO près de la bib #nest de Férosinge et de Mystherbe ! Venez en profiter tranquillou dans nos locaux ;) https://t.co/JdlCZ1LLzG</t>
  </si>
  <si>
    <t>@DurasBib etc... https://t.co/W75WbUyIUU</t>
  </si>
  <si>
    <t>La modélisation 3d, un processus que l'on ne soupçonne pas forcément dans la réalisation de certaines cases de BD ! Impressionnant https://t.co/oTWMsqonzB</t>
  </si>
  <si>
    <t>Concours Art Postal 2017 https://t.co/Hh7t21mF18 https://t.co/G5iGCH9dnl</t>
  </si>
  <si>
    <t>De bonnes idées, et des contes @bibvaugirard samedi 18 mars! https://t.co/Z89K7vzucl</t>
  </si>
  <si>
    <t>Festival du printemps du 11 mars 2017 : Sandrina a animé une séance des bébés lecteurs ce matin à la salle de la... https://t.co/rutYQ1v6YA</t>
  </si>
  <si>
    <t>Cet après-midi, apprenez-en plus sur l'helléniste beaunois Paul Decharme à la bibliothèque : RDV à 15h pour la conférence du CBEH !</t>
  </si>
  <si>
    <t>Fonds patrimonial : il y a 100 ans débutait la #Révolution en #Russie. Quelques photos issues de nos collections via L'#Illustration. #urss https://t.co/2nhV02Swwz</t>
  </si>
  <si>
    <t>Un pop-up à ne pas mettre entre toutes les mains 🤠âmes sensibles s'abstenir 🤠https://t.co/J6sI6MTbOo</t>
  </si>
  <si>
    <t>Samedi 11 mars à 16h
 #Conférencemusicale 
" TOUS AU VIOLON ! "
https://t.co/zBMNftYq05 https://t.co/sBjhDHqCNu</t>
  </si>
  <si>
    <t>https://t.co/OnAtJxvzg2 #Douarnenez, début du https://t.co/KD4C6FF2Dd</t>
  </si>
  <si>
    <t>TAP : Jouons à la médiathèque https://t.co/UYez790Oug</t>
  </si>
  <si>
    <t>Fonds patrimonial : quelques "perles" publicitaires issues de "#Hyères Journal" (1885/1900/106) https://t.co/QLvOosCieH</t>
  </si>
  <si>
    <t>Projection du film documentaire “Survivantes”, d’Anice Clément https://t.co/0HOHSkOUMg https://t.co/6Lg1ja47ur</t>
  </si>
  <si>
    <t>Aujourd'hui, zoom sur "La montagne magique" de Thomas Mann, trad. de Claire de Oliveira. Espace Grand public : https://t.co/hAeGM6sVgL https://t.co/PvBOcEUPsb</t>
  </si>
  <si>
    <t>CINÉ : encore une belle programmation chez nos voisins!😀 https://t.co/81xOJVWjoW</t>
  </si>
  <si>
    <t>Découvrez le nouvel album d'@AlbindelaSimone, que vous avez peut-être vu à la bibliothèque en 2010 ou 2015 ! Sublime ! https://t.co/noxTnOgPSE</t>
  </si>
  <si>
    <t>TAP : Les réalisations “Post-it art” https://t.co/e7JFoTtUxB https://t.co/xgj7lIyYJV</t>
  </si>
  <si>
    <t>Rentrée littéraire d’hiver avec Sauramps https://t.co/RKSKUPkGiT https://t.co/v9wqkFyPzt</t>
  </si>
  <si>
    <t>Lecture Joe Bousquet https://t.co/eS6eBkgS3m https://t.co/hjiH5jHaCx</t>
  </si>
  <si>
    <t>Concert ami https://t.co/2ie9d1ZXWp https://t.co/NRMvWQpwk7</t>
  </si>
  <si>
    <t>Attention, enfants en section adultes! 😱 Dès le 8/03 Venez vous cacher dans un abri de 2m de haut...1/2 @CRLBourgogne @BP_Beaune https://t.co/UgVRiqSot5</t>
  </si>
  <si>
    <t>Cinéma  : The Revenant https://t.co/GRC6B2qL6S https://t.co/cl5MB5VQ6j</t>
  </si>
  <si>
    <t>Aux clics les juniors ! https://t.co/CMozh2oYoR https://t.co/kL0JbFnIrr</t>
  </si>
  <si>
    <t>Théâtre : Les Précieuses Ridicules https://t.co/00NXlY7gWo https://t.co/LTw2H3eJrR</t>
  </si>
  <si>
    <t>AUJOURD'HUI mercredi 1er MARS à 15h30
#malleauxhistoires pour les 3-6 ans
https://t.co/2aA55zcCmb https://t.co/3t7RqI2a6o</t>
  </si>
  <si>
    <t>Doxacours, Cours et exercices de mathématiques en ligne du CE1 à la 6è https://t.co/Pyr3X0jOKu</t>
  </si>
  <si>
    <t>Venez faire une incursion dans l'univers des abeilles et des bourdons aux modes de vie étonnants ! https://t.co/bNBjXZgZTf</t>
  </si>
  <si>
    <t>Aujourd'hui, zoom sur "Deux drôles de bêtes dans la forêt" de Fiona Roberton. Espace Jeunesse : https://t.co/n5YNj8LlBa @LesIncos https://t.co/kjOG0XQS49</t>
  </si>
  <si>
    <t>Actuellement à la médiathèque : semaine du mardi 28 février au samedi 4 mars 2017 https://t.co/vRh21ayWsF</t>
  </si>
  <si>
    <t>Nocturne jeux à #bibbeaune, et c'est jusqu'à 23h00 !!! https://t.co/rPSY7VzwtO</t>
  </si>
  <si>
    <t>Autre pépite 🎁! 62 ans après son tournage, un court-métrage de Godard refait surface...sur youtube ! #nouvellevague 
https://t.co/PHtqoJJtyV</t>
  </si>
  <si>
    <t>Dernier jour de la Semaine de l’Emploi au 164, rue Ordener ! Ateliers, débats, conf...@mairie18paris @poleemploi_75 https://t.co/Q44IfnzSdd</t>
  </si>
  <si>
    <t>Fonds Provence : souvenirs des commerces hyérois (1950-1960) : https://t.co/mzcd2Aym1c #Hyeres https://t.co/WkfMKdlq63</t>
  </si>
  <si>
    <t>#MardiConseil "Repose-toi sur moi", de Serge Joncour: rencontre inattendue entre une styliste à la mode et un agriculteur en reconversion... https://t.co/rebT6fb4uH</t>
  </si>
  <si>
    <t>Le Maghreb des livres se poursuit ce dimanche #gratuit @Paris @maghreb_livres #bib2paris https://t.co/HIwDIa7hlP</t>
  </si>
  <si>
    <t>Encore un bon moment passé à la médiathèque de Locminé grâce à un jeu d'énigmes géant de type Escape Game.... https://t.co/jzLyIPdieK</t>
  </si>
  <si>
    <t>Mais, mais... Serait-ce...? 😱😍 #archives #proust @LeCNC @ArchivesBeaune https://t.co/z28C1fMFvp</t>
  </si>
  <si>
    <t>Valérie Strullu bientôt à la médiathèque de #Douarnenez : https://t.co/grw7D5xM4k https://t.co/9G4SwIxrmS</t>
  </si>
  <si>
    <t>DES LIVRES ET DES APPLIS
Le petit chaperon rouge revisité, Hervé Tullet, cadavres exquis, Adeline voyage: il y en avait pour tous les goûts! https://t.co/2Ou5Jlw9z9</t>
  </si>
  <si>
    <t>CINE
Festival cinéma Télérama enfants : le programme de l'édition 2017
Michel Ocelot, Tim Burton... Retrouvez livres ou DVD @bibvaugirard</t>
  </si>
  <si>
    <t>mercredi 1er avril 15h30
#malleauxhistoires pour les 3-6 ans
https://t.co/2aA55zcCmb https://t.co/wamxsNcHYr</t>
  </si>
  <si>
    <t>https://t.co/0BRGHPCeM6</t>
  </si>
  <si>
    <t>Parlez-moi d'amour ... Quels écrivains vous parlent le mieux d'#amour et d'#amoureux ? On sort nos classiques à #bibbeaune #SaintValentin 😊😘 https://t.co/JMiKcvHNUX</t>
  </si>
  <si>
    <t>Et retrouvez certains catalogues d'expo @bibvaugirard : Basile... https://t.co/zCyEhpuFAJ</t>
  </si>
  <si>
    <t>https://t.co/v2CE65vja1</t>
  </si>
  <si>
    <t>La BD, un milieu qui souffre encore trop d'idées reçues...
https://t.co/JTm07KNuE3</t>
  </si>
  <si>
    <t>De l’amour, de l’amour… toujours ! https://t.co/Fc0UaqLVzp https://t.co/CjMlAl2ul1</t>
  </si>
  <si>
    <t>Douarnenez. Ce jour, il y a dix ans, où la médiathèque a ouvert: https://t.co/pAAy6DmdzK</t>
  </si>
  <si>
    <t>🎂La médiathèque de #Douarnenez a 10 ans ! Demandez le programme : https://t.co/JJVGE3d8J0🎂</t>
  </si>
  <si>
    <t>Ce soir à 18h : vernissage d'une magnifique exposition de peintures de Carolyn Jordan. https://t.co/Nu88aEpz7o</t>
  </si>
  <si>
    <t>Des histoires pour les p'tits loups  gourmands cet après-midi ! https://t.co/ZExgErZreZ</t>
  </si>
  <si>
    <t>Aujourd'hui, zoom sur "The Bride" de Bat for Lashes #batforlashes. Espace Cinémusique : https://t.co/YYAlOQqxWN https://t.co/yVers2Gkcz</t>
  </si>
  <si>
    <t>Exposition Bande Dessinée et Immigrations : un siècle d’Histoire(s) https://t.co/lXvsIYP7pb https://t.co/lhxcyGTDdf</t>
  </si>
  <si>
    <t>#bibs2paris et les maths! https://t.co/JRq7f08uGC</t>
  </si>
  <si>
    <t>Exposition "#Hyères, #Malraux", dernière semaine ! https://t.co/MoEBlTmAP1 https://t.co/bquAkavHBu</t>
  </si>
  <si>
    <t>SAMEDI 4 Février à 17h 
Pour les amateurs du 7ème art ;o)
#GRANDECRAN  film italien de 1960 -Entrée libre
+d'infos : https://t.co/HA8BdkINbr https://t.co/VdWQnO9pLt</t>
  </si>
  <si>
    <t>#Douarnenez  : "Georges au Sporting" une pièce radiophonique inédite de #Paranthoen consacrée à #GeorgesPerros  : https://t.co/1iRIFhWe3V https://t.co/DPGHgjspEG</t>
  </si>
  <si>
    <t>Du nouveau chez nous :
Apprendre les langues via notre portail !
https://t.co/NcxmkwFGuG https://t.co/OLbX8zwqb2</t>
  </si>
  <si>
    <t>EXPOSITION 
Le Graveur de Mathématiques
Nouvelle expo @bibvaugirard https://t.co/QQLLr6xikH</t>
  </si>
  <si>
    <t>Exposition de peintures Carolyn Jordan jusqu'au 28 février ! https://t.co/EbctwhtvqH</t>
  </si>
  <si>
    <t>Empruntez certains de ses livres @bibvaugirard https://t.co/gjUmhGCqjJ</t>
  </si>
  <si>
    <t>Demain 15h30
#MALLEauxHISTOIRES 
pour les petites oreilles des 3/6 ans ;o)
Inscrits ou non à la médiathèque-GRATUIT
https://t.co/2aA55zcCmb https://t.co/JB99QEbx3O</t>
  </si>
  <si>
    <t>Aujourd'hui, zoom sur "Aristote et Dante découvrent les secrets de l'univers" Benjamin Alire Sàenz. Espace Jeunesse: https://t.co/uEApJbtGEU https://t.co/1ilLc5rJKK</t>
  </si>
  <si>
    <t>Cet après-midi, la médiathèque a fêté le nouvel an chinois. 
Karine à raconté des histoires sur le thème de la... https://t.co/fCmYxUNbpQ</t>
  </si>
  <si>
    <t>Port'âge, livres audio, matériels adaptés... https://t.co/XTN5gWSKXt</t>
  </si>
  <si>
    <t>"Chantons à Vaugirard"
Préparatifs en cours! https://t.co/qjkPgNV2RX</t>
  </si>
  <si>
    <t>"Chantons à Vaugirard" 
C'est ce soir @bibvaugirard
https://t.co/2Ih2XD638R</t>
  </si>
  <si>
    <t>La cueillette du mimosa en #Provence (le "pays du soleil") en couverture de la presse belge de 1933 : https://t.co/RV0SPzGmVQ https://t.co/9OlbYWGlud</t>
  </si>
  <si>
    <t>Evidemment en salle à #Beaune dès aujourd'hui, dites-nous ce que vous en avez pensé les beaunois ! #resterauchaud : #cinéma ou #bibliothèque https://t.co/gmpjI8nw1k</t>
  </si>
  <si>
    <t>« Clap… Crée ton film court ! » : les réalisations https://t.co/Cxzh365NIL https://t.co/Bx8TetTOdF</t>
  </si>
  <si>
    <t>#EcrandesMômes (à partir de 4 ans)
SAMEDI 28 JANVIER à 15h30
2 dessins animés 26 mn chacun.
ENTREE LIBRE et GRATUITE
https://t.co/U57iQCjTyZ https://t.co/aqXgN9V4WS</t>
  </si>
  <si>
    <t>OMBRES &amp;amp; MERVEILLES - Rétrospective https://t.co/BWtlS2hIwL</t>
  </si>
  <si>
    <t>Des Goûters-Bibli… aux petits oignons ! https://t.co/DgCaP3BbUf https://t.co/T36sqiKnVy</t>
  </si>
  <si>
    <t>DEMAIN 18h ;o) https://t.co/qkr9H1LESl</t>
  </si>
  <si>
    <t>Café-Lecture et présentation surprise… https://t.co/0jcBJVPDKU https://t.co/LPOOzsxG7N</t>
  </si>
  <si>
    <t>Ce matin réunion #bilan pour le #Numok ! #numerique https://t.co/cSZfnTKx9x</t>
  </si>
  <si>
    <t>Bibliothécaires, à nos claviers! https://t.co/2lhxGhrDoU</t>
  </si>
  <si>
    <t>Alors, comment vont les enfants des 90's ? En bibliothèque nous essayons de dé-diaboliser les mangas et de vous montrer leurs richesses 😉 https://t.co/yadA3W0LM1</t>
  </si>
  <si>
    <t>Festival ciné @Telerama du 18 au 24/01 @CinemasChaplin Passez nous voir @bibvaugirard, nous sommes à côté! 😀 https://t.co/dHprdfshje</t>
  </si>
  <si>
    <t>Découvrez nos nouveautés de décembre @bibvaugirard : https://t.co/nwdsZDmtEr</t>
  </si>
  <si>
    <t>L'écrivain qui ne voulait pas exister... Elena Ferrante https://t.co/2AzKJvbe8g</t>
  </si>
  <si>
    <t>@mickaellaunay est convaincu : tout le monde peut faire des #maths ! https://t.co/MK0IIvqORa</t>
  </si>
  <si>
    <t>#vendredilecture (j+1) chaque 2è vendredi du mois retrouvez 15 nouveautés de la #bibnum sur nos liseuses. Ça commence... hier :-) https://t.co/3wEv3dUcDy</t>
  </si>
  <si>
    <t>⚡️ “Tournage FranceTV”
https://t.co/mdsljUpfqv</t>
  </si>
  <si>
    <t>Dans quelques jours à la médiathèque #georgesperros #yannparanthoen https://t.co/HCkZtbZAvn via @YouTube</t>
  </si>
  <si>
    <t>C'est un autre genre de #RETROGAMING qui se prépare à #bibbeaune pour demain soir ... 🤔 1/2  
#NuitLecture https://t.co/0TGtvaXIEz</t>
  </si>
  <si>
    <t>Aujourd'hui, zoom sur "Dictionnaire du cinéma documentaire" de Jean-Pierre Carrier. Espace Grand public : https://t.co/uxAf7GCIiv https://t.co/evCbcfMVZM</t>
  </si>
  <si>
    <t>À noter sur vos agendas ! Nous aurons le bonheur d'accueillir Sophie Rigal-Goulard #auteure jeunesse  le 25 janvier après-midi ! https://t.co/Aj30bK9n4d</t>
  </si>
  <si>
    <t>La médiathèque de #douarnenez et vous : dites-le en selfie ! https://t.co/ARSUpvUmNA</t>
  </si>
  <si>
    <t>Cogito - mardis 17 et 31 janvier à 18h https://t.co/9QwAHoIfpA</t>
  </si>
  <si>
    <t>Des nouvelles revues sont arrivées ! 
Venez les découvrir dans les COINS PRESSE de la médiathèque !;o)
#Topo #Télérama #ConnaissancedesArts https://t.co/Qd0Urr2l1k</t>
  </si>
  <si>
    <t>Qui a raté Laurence #Nobécourt à #bibbeaune le 13/12? Ne paniquez pas, tout est là: https://t.co/GEptVyr2zf #littérature #auteur #yt #beaune</t>
  </si>
  <si>
    <t>Aujourd'hui, zoom sur "Tangapico" @LesIncos de Didier Lévy et Alexandra Huard. Espace Jeunesse : https://t.co/76En0jiP0I https://t.co/rBWNig8mvF</t>
  </si>
  <si>
    <t>Art de jouer : samedi 7 janvier de 10h à 18h https://t.co/etykRw1hz6</t>
  </si>
  <si>
    <t>Rencontre avec une éditrice, Speedbooking, ateliers enfants et soirée jeux. On ne s'endormira pas pendant la #NuitLecture à Beaune !  🌖 https://t.co/cBCfZCuP4R</t>
  </si>
  <si>
    <t>Les animations pour la jeunesse reprennent ! https://t.co/WZfux8bfBF https://t.co/4NGKLfwp0Z</t>
  </si>
  <si>
    <t>Commission Culture https://t.co/SgcrYN3OmD https://t.co/wiLiXjc8tf</t>
  </si>
  <si>
    <t>Théâtre : “La Chute”, d’Albert Camus https://t.co/meyQSwUW67 https://t.co/Q8SaMbZAd3</t>
  </si>
  <si>
    <t>Aux clics les juniors ! https://t.co/IJLNI3KT34 https://t.co/qMCJ1QyTHY</t>
  </si>
  <si>
    <t>Toute l'équipe vous souhaite une très BONNE ANNÉE !
et vous dit à très vite pour de nouvelles lectures et découvertes à la médiathèque ;o) https://t.co/ywINfeSYcQ</t>
  </si>
  <si>
    <t>A #bibbeaune, on vous accueille aujourd'hui comme n'importe quel autre samedi: jusqu'à 17h00 ! 🌛 #horaires</t>
  </si>
  <si>
    <t>On vous souhaite une EXCELLENTE fin d'ANNÉE 2016 ! https://t.co/g2Py4UDyv3</t>
  </si>
  <si>
    <t>Toute l'équipe de la médiathèque vous souhaite un très 
JOYEUX NOËL ;o) https://t.co/6QgT1jZbad</t>
  </si>
  <si>
    <t>📺🎄Cocooning de Noël🎄🎞
Si demain soir vous ne savez pas trop quoi faire, on est ouvert jusqu'à 17h pr faire le plein de #sériestv et #films https://t.co/Q1fmvb463P</t>
  </si>
  <si>
    <t>La chaîne Booktube "L'Instant lecture" de @JuhFossey https://t.co/4AdSEkvMzu</t>
  </si>
  <si>
    <t>Noël juste un peu en avance ! https://t.co/YizCFmEYBs https://t.co/IaT04o2NAY</t>
  </si>
  <si>
    <t>Représentative de toute une époque du cinéma français #MicheleMorgan. A #bibbeaune, retrouvez #quaidesbrumes et La Symphonie pastorale https://t.co/YzJ6u3qVjb</t>
  </si>
  <si>
    <t>Quand l'artiste se livre https://t.co/vZWh0ExZ1t</t>
  </si>
  <si>
    <t>https://t.co/ARfPXMgwVP</t>
  </si>
  <si>
    <t>Trois ateliers de Noël bien remplis ! https://t.co/GlZCECbkDl https://t.co/zvxhVudoK9</t>
  </si>
  <si>
    <t>À la mémoire de Ronit Elkabetz : Mon trésor de Keren Yedaya https://t.co/353NyyPlMn https://t.co/oBnTjSyNZK</t>
  </si>
  <si>
    <t>Cet après-midi, la médiathèque à organisé un atelier Pop-Up avec la création d'une carte de voeux.
Pour rajouter... https://t.co/dN99opXVQP</t>
  </si>
  <si>
    <t>Samedi 10 décembre 14h30-17h
#AtelierdEcriture #lAffabuloir 
Les débutants et les curieux sont les bienvenus;o)
https://t.co/60N8k7BTYU https://t.co/K7vPwhCZyo</t>
  </si>
  <si>
    <t>Gardavu, une mise en lecture de #georgesperros vendredi prochain a la médiathèque de #douarnenez
https://t.co/nccGjCf3b9 https://t.co/b6R0zyN8wC</t>
  </si>
  <si>
    <t>'HO,HO, HO' Le tapis lecture 'spécial noël' arrive samedi à 10h45. Les petits pouces vont il se réveiller ? https://t.co/Av7EkBMAsF</t>
  </si>
  <si>
    <t>Les fleurs à travers les âges et à la fin du XIXème siècle de Théodore Villard https://t.co/r9Znm1L0jd</t>
  </si>
  <si>
    <t>TAP : Réalisation de livres sonores https://t.co/FHbdRrJsTW https://t.co/Oirz6qfUoF</t>
  </si>
  <si>
    <t>Programme des ateliers multimédia adultes de janvier 2017 https://t.co/HX47O3Cjzd https://t.co/0gOJqMIkVX</t>
  </si>
  <si>
    <t>ECRAN des MÔMES-Noël  
Samedi 3 décembre 10h30 COMPLET !
Prochain ECRAN des MÔMES : SAMEDI 28 JANVIER à 15h30
https://t.co/U57iQCjTyZ https://t.co/JZVojIW3bq</t>
  </si>
  <si>
    <t>https://t.co/6sjfhygyyH via @BibliObs. A emprunter à la médiathèque : https://t.co/NB5GFt6EsH</t>
  </si>
  <si>
    <t>Ce Week-end et tout le mois de décembre #journeeDeLaLaicite
 #Laicite #LDH #Exposition #AmicaleLaique 
https://t.co/Zw1MCZttgE https://t.co/LJKCsBcg5L</t>
  </si>
  <si>
    <t>Aujourd'hui, zoom sur "Requiem" de #Goat. Espace Cinémusique : https://t.co/1VbwaiHaZV https://t.co/0AcQqxWjGA</t>
  </si>
  <si>
    <t>Ce samedi 3 décembre, nous vous attendons nombreux ! https://t.co/HRot0nPn83</t>
  </si>
  <si>
    <t>Aux livres les petits ! https://t.co/PjDxrjNYWN https://t.co/BrN3bXWdL2</t>
  </si>
  <si>
    <t>Cinéma : Fête du Court Métrage https://t.co/GQynyAHfgK https://t.co/EzvnbrtEL3</t>
  </si>
  <si>
    <t>Prix des lecteurs https://t.co/dX0T6dli2E https://t.co/4XYdttJ0TB</t>
  </si>
  <si>
    <t>Aujourd'hui, zoom sur "Entretiens avec Michel Archimbaud" de Pierre Boulez. Espace Grand public : https://t.co/OoS6601zOg https://t.co/lFVJmwEgN0</t>
  </si>
  <si>
    <t>Un soirée pleine d'émotion avec des acteurs d'exception !
avec Manuel Pratt et Jean Marc Santini, merci messieurs ! https://t.co/yR1XTN9IXx</t>
  </si>
  <si>
    <t>Préparez Noël avec nous ! https://t.co/pq3Jqjy9Lw https://t.co/whSaF9KVjW</t>
  </si>
  <si>
    <t>Mon portrait à la manière d’Andy Warhol https://t.co/UeZYrEZ2ol</t>
  </si>
  <si>
    <t>Atelier Lego Digital Designer https://t.co/vBA85rASOA</t>
  </si>
  <si>
    <t>#GrandEcran SAMEDI 3 DÉCEMBRE 17h
Entrée libre et gratuite
#mediathèque #chateaurenard 
détails ici :https://t.co/ec3r3BdOkz https://t.co/5TsaBKeRPW</t>
  </si>
  <si>
    <t>Karoo de Steve Tesich https://t.co/AiJL9yr3Rb</t>
  </si>
  <si>
    <t>Actuellement à la médiathèque : semaine du mardi 22 au samedi 26 novembre 2016 https://t.co/NjlHpF00db</t>
  </si>
  <si>
    <t>Visite de son exposition par #Tanquerelle hier  soir à la médiathèque. Merci à lui pour sa gentillesse et sa  disponibilité ! https://t.co/A40V5DxR2q</t>
  </si>
  <si>
    <t>https://t.co/UpCVRxNjDj données, migrations et solidarités, quels enjeux? Réponse demain à 17h @BibHavel avec @okfnFr</t>
  </si>
  <si>
    <t>La rencontre des lycéens de #douarnenez avec @Tanquerelle a commencé a la @mediatheque_dz ! https://t.co/hFgKarpu1o</t>
  </si>
  <si>
    <t>Aujourd'hui, zoom sur "Mister Morgen" d'Igor Hofbauer chez @lassociation. Espace Grand public : https://t.co/iIQsEENzQ0 https://t.co/pZWQhIzja0</t>
  </si>
  <si>
    <t>Il reste peu de places ! N'oubliez pas de vous inscrire ! https://t.co/T0BODGiZno</t>
  </si>
  <si>
    <t>SAMEDI 3 décembre 10h30
#EcrandesMômes - SPECIAL #NOËL
à parir de 4ans-sur réservation
https://t.co/HriOfs9AaD
https://t.co/yROCqJdURZ https://t.co/qlvwNYmDoE</t>
  </si>
  <si>
    <t>A réserver dès aujourd'hui : https://t.co/4GsQPIj9jx https://t.co/5XEKsdtyjy</t>
  </si>
  <si>
    <t>Aujourd'hui, zoom sur "Repose-toi sur moi" de Serge Joncour. Espace Grand public : https://t.co/u0iaLg1mI4 https://t.co/NOyLFJCIdN</t>
  </si>
  <si>
    <t>Fermeture samedi 12 novembre 2016 https://t.co/iPwhbw7MAM</t>
  </si>
  <si>
    <t>#MusicOciné derniers jours ! https://t.co/ky4qwMwmdv https://t.co/7EVgOCoXt9</t>
  </si>
  <si>
    <t>#editathon : le retour à la bib demain ! @s_fredriksson @Wikimedia_Fr @Wikipedia @Pyb75 @fredsultan</t>
  </si>
  <si>
    <t>Aujourd'hui, zoom sur "La mémé de ma mémé" de Noé Carlain et Ronan Badel. Espace Jeunesse : https://t.co/jAJ2suK8Xc https://t.co/KIZvPTTSSu</t>
  </si>
  <si>
    <t>Actuellement à la médiathèque : semaine du mardi 8 au samedi 12 novembre 2016 https://t.co/jXiuoatCUu</t>
  </si>
  <si>
    <t>Ce matin avait lieu notre premier "samedi des petits clics", le rendez-vous numériques des plus petits! https://t.co/2MIPuLHPRe</t>
  </si>
  <si>
    <t>Prochaine exposition : les Poilus de Mollégès.
Vernissage mardi 8 novembre avec lectures inédites de correspondances. https://t.co/9yc2gPPsXp</t>
  </si>
  <si>
    <t>A la recherche de #VivianMaier de John Maloof https://t.co/Gly3Fej0Ol</t>
  </si>
  <si>
    <t>Aujourd'hui, zoom sur "Rob Mallet-Stevens: Itinéraires Paris-Bruxelles-#Hyères". Espace Grand public: https://t.co/e31K6S554P @VillaNoailles https://t.co/3u6uG35jcs</t>
  </si>
  <si>
    <t>MusicOciné jusqu'au 12 novembre : https://t.co/UERHsyESP4</t>
  </si>
  <si>
    <t>L'espace jeunesse prend des airs d'#Halloween!
Cet après-midi projection d'un film qui fait peur et lecture d'histoires terrifiantes! https://t.co/4SmAg9QKvs</t>
  </si>
  <si>
    <t>Actuellement à la médiathèque : semaine du mercredi 2 au samedi 5 novembre 2016 https://t.co/i9kNIZbk9Y</t>
  </si>
  <si>
    <t>A 21h nous passerons à table ! Aux tables de jeux bien entendu... éh éh https://t.co/fRzK1mVKGn</t>
  </si>
  <si>
    <t>"La revue de l'Orient" sous la direction d'Alphonse Denis : https://t.co/52dv0Cv43Z. Une nouvelle acquisition du fonds patrimonial. https://t.co/4NJZmZ4Ml3</t>
  </si>
  <si>
    <t>J-3 @MissB_ook @DChandelier @Meeea et Naya de @NerdiesFactory sur les starting blocks ! pour causer #youtube ! https://t.co/fcTBqIoeze … https://t.co/8zFLiNwvKR</t>
  </si>
  <si>
    <t>Le spectacle de #sebastienbarrier de vendredi est complet !</t>
  </si>
  <si>
    <t>Et une commande de #jeuxvideo  à traiter, une ! @tradergames #3DS #ps4 #XboxOne https://t.co/XZD4H0AZMN</t>
  </si>
  <si>
    <t>Actuellement à la médiathèque : semaine du mardi 25 au samedi 29 octobre 2016 https://t.co/5FOtO5VH5Y</t>
  </si>
  <si>
    <t>[Soirée Halloween] Le 28/10, 19h30, la bibliothèque sera le seul lieu sécurisé à Beaune contre les zombies. Infos ➡️ https://t.co/KSCkUoN8hh https://t.co/Sm9SurDAiy</t>
  </si>
  <si>
    <t>Salon ArTeyran 2016 https://t.co/2gKW3JXPgy https://t.co/ZdffoPZOzt</t>
  </si>
  <si>
    <t>“Rencontres Personnes Remarquables” Raphaël Segura https://t.co/nFPj6ZjQhH https://t.co/RdN2rbO5SZ</t>
  </si>
  <si>
    <t>Cirque Balthazar https://t.co/eoMTuqsgRM https://t.co/irPb2omy7L</t>
  </si>
  <si>
    <t>Vicomte, mécène et...auteur spécialisé en botanique. Découvrez l'autre facette de Charles de #Noailles : https://t.co/fLPA8Baffb https://t.co/uBDSICFSF1</t>
  </si>
  <si>
    <t>(Re)découvrez notre célèbre beaunois Jules Marey dans le cours en ligne gratuit "l'Art et la Science du mouvement"  https://t.co/nc1kAFcW8O</t>
  </si>
  <si>
    <t>Appli Day : Dumpster (pour récupérer des fichiers supprimés) https://t.co/JxBU49JRBa</t>
  </si>
  <si>
    <t>Soirée #Halloween vendredi 28/10 à la bibliothèque !
Film (int.-12 ans) + jeux horrifiques ! Soirée gratuite et ouverte à toutes et tous https://t.co/ymLJNwXf2W</t>
  </si>
  <si>
    <t>#villanoailles https://t.co/3JT2NCrF5u</t>
  </si>
  <si>
    <t>Un grand merci à Ali Zamir, @LeTripode et tous les participants pour le club des lecteurs de ce matin ! https://t.co/dfwjgcLjW7</t>
  </si>
  <si>
    <t>Bientôt les vacances ! Pour commencer en douceur, la médiathèque vous propose une heure du conte. Rendez-vous... https://t.co/kI9y7cIGWe</t>
  </si>
  <si>
    <t>Livres, magazines, WiFi, chauffage, tout ça en accès gratuit ! Totoro a bien raison de venir à la bibliothèque ;) https://t.co/BmLDLxh4xO</t>
  </si>
  <si>
    <t>Pour cette deuxième session, les enfants ont été tout aussi créatifs ! Bravo ! https://t.co/Xmouk8myuv</t>
  </si>
  <si>
    <t>Ali Zamir, lauréat du prix Senghor, sera chez nous ce samedi à 10h30 @livreshebdo @Le_Tripode @QueFaireAParis @paris18 @les_libraires https://t.co/8jaUYzwR69</t>
  </si>
  <si>
    <t>Pour la semaine du goût, les enfants ont créé des têtes à la manière d'Arcimboldo lors de l'atelier tablette ! https://t.co/8AizkgmKKy</t>
  </si>
  <si>
    <t>Aperçu de l'effervescence joyeuse lors de la préparation de la venue de Lucette Devignes et d'une soixantaine de personnes :) #Beaune https://t.co/6QI9K1FBpu</t>
  </si>
  <si>
    <t>C'est demain et il reste encore des places ! https://t.co/W0rM6ud2Nd</t>
  </si>
  <si>
    <t>samedi 15 octobre à 15h30
ECRAN des MÔMES : 2 films d'animations (à partir de 4 ans)
Entée libre et gratuite.
https://t.co/NUyn26CBAG https://t.co/QxaIPpB5cD</t>
  </si>
  <si>
    <t>Les idées de lecture du Café-lecture… https://t.co/vZq1D5yLJN https://t.co/fpItkjnAm1</t>
  </si>
  <si>
    <t>AUJOURD'HUI 14h30-17h : Atelier d'écriture
Ouvert à tous : les débutants et les curieux sont les bienvenus :o)
https://t.co/60N8k7kj7m https://t.co/UoeArYU9d4</t>
  </si>
  <si>
    <t>Pour ceux qui ont manqué l'exposition : "L'illustration botanique à travers les collections de la médiathèque" https://t.co/qjGeDcBSdS</t>
  </si>
  <si>
    <t>Le tapis lecture est de retour samedi à 10h45. Il y aura des mots doux, des comptines pour les petites et grandes oreilles. https://t.co/iSaS2drGRb</t>
  </si>
  <si>
    <t>Petite interruption technique pour le catalogue en ligne… https://t.co/9eCsdaFUen</t>
  </si>
  <si>
    <t>Mercredi 19 octobre 10h15 et 11h
Lecture d'histoires en kamishibaï pour les 0-3 ans
https://t.co/hVZBdhi6Fg https://t.co/dYDteoXyde</t>
  </si>
  <si>
    <t>“Le Souffle de l’étrange” est passé sur Déols… https://t.co/ijZKqXOeyc https://t.co/ZaYOw1OeGc</t>
  </si>
  <si>
    <t>Petit retour en images sur les Goûters-Bibli d’octobre… https://t.co/MzQLfI3P23 https://t.co/U6WC7A8g6v</t>
  </si>
  <si>
    <t>Cet après-midi, tournoi HeartStone entre les bibs de Auray, Epinal, Languidic et Locminé. 
Qui remportera les goodies imprimés en 3D ?</t>
  </si>
  <si>
    <t>#concours #jeu rdv sur facebook trouvez le lieu et l'artiste de cette fresque et gagnez des #cadeaux @PhotosParis18 https://t.co/XNCSHSRafG https://t.co/vGcVPQY36p</t>
  </si>
  <si>
    <t>Le #jeu loups-garous pendant le club 12+...qui va gagner ? #loups ou villageois ? https://t.co/WfyG15VR33</t>
  </si>
  <si>
    <t>Excellente soirée en compagnie du chanteur Nevché ! https://t.co/ciAsKzEOff</t>
  </si>
  <si>
    <t>RÉSERVER au 04-90-24-20-80 ! 
Viiiiiteee ;o) les places sont limitées !;o) https://t.co/9CzRXDpEa1</t>
  </si>
  <si>
    <t>#streetart à la Chapelle, ça va et ça vient comme ce mur de @vhils1 !  https://t.co/TGX85XyVvX #art #paris18 @mairie18paris @StreetArtPRS https://t.co/cLBQytw6qU</t>
  </si>
  <si>
    <t>Aujourd'hui entre 12h et 12h30 dans les studios de @bleubourgogne, nous parlerons de notre #speedbooking du mercredi 5/10 ! Bonne écoute ! https://t.co/SDRECfZ2Wj</t>
  </si>
  <si>
    <t>Ce samedi 1er octobre à 17h : 
GRAND ECRAN : film français de 2006.
Entrée libre &amp;amp; gratuite.https://t.co/HMsLrm2fZ8 https://t.co/FeLuZQYs9F</t>
  </si>
  <si>
    <t>Écrivains amateurs, curieux, Lucette Desvignes viendra partager son expérience de l'écriture =&amp;gt; https://t.co/XqbuQ6GfX5 #bourgogne #côtedor https://t.co/wp9LZebRoh</t>
  </si>
  <si>
    <t>https://t.co/bs5pipxdX8</t>
  </si>
  <si>
    <t>les Goûters-Bibli : il reste des places ! https://t.co/TiQC6E7JRO https://t.co/KgkEGIkisg</t>
  </si>
  <si>
    <t>Cinéma https://t.co/zMZAQ028lp https://t.co/Ft82aL3lNk</t>
  </si>
  <si>
    <t>Dernière semaine pour la #terrasse :( ! #AutomneIsComing #pingpong #aurevoirlété #foot #chillin https://t.co/uPVqPpSxl3</t>
  </si>
  <si>
    <t>Ateliers informatiques et multimédia adultes https://t.co/UO829rfwKb https://t.co/q08ZBlzQNB</t>
  </si>
  <si>
    <t>Aujourd'hui, zoom sur "Kamo" de Daniel Pennac. Espace Jeunesse : https://t.co/VdrNPstzF0 https://t.co/KAtt2EBkyJ</t>
  </si>
  <si>
    <t>Pika pika du matin ! #pikachu #PokemonGO #graffiti #streetart #pokemon https://t.co/ISUlH5VeiV</t>
  </si>
  <si>
    <t>Braderie du samedi 17 septembre
Le beau temps était au rendez-vous ;-)
On en a profité pour organiser un atelier... https://t.co/v6dQRGO1AX</t>
  </si>
  <si>
    <t>#JEP2016 Réservez pour les visites de nos fonds en compagnie de Clarisse, notre spécialiste https://t.co/yBxsxItwrI https://t.co/KGeuEVRqqD</t>
  </si>
  <si>
    <t>SAMEDI 17 SEPTEMBRE 18h : Conférence Histoire de l'Art : VEERMER https://t.co/rP9obvEcjm https://t.co/NFyKRWjCOz</t>
  </si>
  <si>
    <t>Formation #friispray #graffiti #numerique à la bib ce matin ça #test et #tag pour le @FestivalNumok ! https://t.co/lWPqB592Zw</t>
  </si>
  <si>
    <t>Lire et conter dans la cité, on y participe ! RDV le 16 sept à 20h librairie le Rideau rouge #paris18 #lecture https://t.co/22sQ3SOiwY</t>
  </si>
  <si>
    <t>Exposition #CecileReims a @Douarnenez : https://t.co/dv6qfOhgni https://t.co/K6kNpS5DXI</t>
  </si>
  <si>
    <t>La Bibliothèque monte le son avec Nevché, jeudi 22/09 à 19h.
Pensez à réserver votre place ! https://t.co/N3lqIatlUG</t>
  </si>
  <si>
    <t>@franceinter fête Léo Ferré ce soir dès 21h !  https://t.co/yzyvCeaUTv</t>
  </si>
  <si>
    <t>À découvrir : dessins de #FrancisHallé, gravures, planches d'herbiers et un alguier du XIXe siècle. #JEP2016 https://t.co/Hj2F2hXec6</t>
  </si>
  <si>
    <t>Samedi, 16h, venez vous initier à la réalisation de #manga avec #Eurasiam :)  #paris18 https://t.co/LX0zcEgyCZ https://t.co/zxheqBHZiF</t>
  </si>
  <si>
    <t>Les #JEP2016 approchent ! Le programme de nos animations et de la ville de Beaune par ici =&amp;gt; https://t.co/SywpBEsDif https://t.co/vm27cMMKKz</t>
  </si>
  <si>
    <t>Aujourd'hui, zoom sur "Premier matin" de Fleur Oury. Espace Jeunesse : https://t.co/9XORpWloSV #rentreescolaire https://t.co/3tiyb48yml</t>
  </si>
  <si>
    <t>Compte-rendu de l #editathon dispo ! #wikipedia #numerique @Pyb75 @s_fredriksson @dormoylabs https://t.co/gCjDm2qdJm https://t.co/9m9OUbaHdb</t>
  </si>
  <si>
    <t>On installe l'exposition #JEP2016 "L'illustration botanique du XVIe au XXIe siècle" : https://t.co/UCN1Tm954u https://t.co/O4EnafKtUx</t>
  </si>
  <si>
    <t>Samedi 3 septembre 17h
#GRANDECRAN : film hispano-mexicain de 2013
Entrée libre et gratuite.https://t.co/tgHlAq0KC2 https://t.co/a4qXAdgeU9</t>
  </si>
  <si>
    <t>"Tempranillo" Samedi 8 octobre 18h 
Entre flamenco traditionnel et compositions chantées[...]https://t.co/qQkQvcqZzA https://t.co/RNND8GX3y4</t>
  </si>
  <si>
    <t>Un jour, un poème : "Tu seras un Homme, mon fils" de Rudyard Kipling https://t.co/YCTU8wl69w</t>
  </si>
  <si>
    <t>Commission Culture et Jeunesse https://t.co/jdMT1IEEvW https://t.co/HXxcK2T1rl</t>
  </si>
  <si>
    <t>Rentrée Multimédia Jeunesse https://t.co/6LnCMVEyug https://t.co/H79wP2yRkK</t>
  </si>
  <si>
    <t>Les rendez-vous des Assistantes Maternelles https://t.co/82IOYu04iH https://t.co/6Fmo9gvRv1</t>
  </si>
  <si>
    <t>Dernière semaine ! Exposition du concours d'Art postal https://t.co/FfkyD4Gbzb</t>
  </si>
  <si>
    <t>@FestDouarnenez. Retrouvez la sélection "Peuples de Turquie" de la médiathèque : https://t.co/N8PTFmypyh</t>
  </si>
  <si>
    <t>Du freesbee à la bibli ? Oh oui ! https://t.co/P5gHPt5swL</t>
  </si>
  <si>
    <t>Atelier écriture adultes le samedi 1er octobre 2016. Inscrivez vous vite car nombre de places très limité ! https://t.co/LyvM8lsroP</t>
  </si>
  <si>
    <t>Des vacances que prend également le compte Twitter de la médiathèque. Rendez-vous le 22 août ! https://t.co/Axyfjihh0C</t>
  </si>
  <si>
    <t>Fonds patrimonial : Toujours les vacances des décennies plus tard, mais cette fois sur l'Île du Levant #Hyères. https://t.co/gR51UwL0tp</t>
  </si>
  <si>
    <t>Aujourd'hui, zoom sur "Mon frère est un super-héros" de David Solomons. Espace Jeunesse :  https://t.co/HCoejmcwIZ https://t.co/cth3BahzNS</t>
  </si>
  <si>
    <t>Nouvelle exposition à la bibliothèque ! https://t.co/9SPzmZxwvb</t>
  </si>
  <si>
    <t>https://t.co/XPzhmBaSZp</t>
  </si>
  <si>
    <t>Température idéale, moment parfait pour venir #lire avec nous au #jardin Rosa Luxemburg :) #VendrediLecture #paris18 https://t.co/hLRrRUeWbP</t>
  </si>
  <si>
    <t>70 ans après la mort d'un auteur, son œuvre devient légalement gratuite ;) #VendrediLecture https://t.co/NujOzXK2N8 https://t.co/eeczhzd28i</t>
  </si>
  <si>
    <t>#FlavienBerger en tête d'affiche ce soir pour le 1er soir du @midifestival https://t.co/Mm0PJXMR1v https://t.co/XJ7wn9NZkz</t>
  </si>
  <si>
    <t>Pendant l’été, nous pensons à vos problèmes d’intendance… https://t.co/uIGFtD9387 https://t.co/KXf5S10Dte</t>
  </si>
  <si>
    <t>Pas encore en vacances, et on prépare déjà la rentrée ! https://t.co/KIlvmm3XxH https://t.co/flyfkU7qie</t>
  </si>
  <si>
    <t>Aujourd'hui, zoom sur "Purity" de Jonathan #Franzen. Espace Grand public : https://t.co/7dMdz40PuI https://t.co/HWA144EVWV</t>
  </si>
  <si>
    <t>On #code avec #scratch à la bibhavel ! Jeu de voiture à l'horizon! Avec les @VoyageursduCode ! https://t.co/0G3UJEm4GG</t>
  </si>
  <si>
    <t>TAP : Création de BD https://t.co/TiOitgJznx</t>
  </si>
  <si>
    <t>Création d’un album kamishibaï pendant les TAP https://t.co/jhEFIi9XNR</t>
  </si>
  <si>
    <t>Atelier #nailart à la bib pour des ongles stylés ! https://t.co/PtRyp8muJz</t>
  </si>
  <si>
    <t>Ah non ouste ! Pas sur les livres ! Ils sont vraiment partout... #PokemonGO #beaune #bibliotheque https://t.co/sikuU4KnH1</t>
  </si>
  <si>
    <t>https://t.co/GQcH7Mb4AD https://t.co/Sh0kpq2keD</t>
  </si>
  <si>
    <t>Atelier Portraits Pop Art https://t.co/2ZlSPZ0SLU https://t.co/qcOihlZgRA</t>
  </si>
  <si>
    <t>Aujourd'hui, les articles @Lesjoursfr sur la 3eB du collège Césaire sont en accès libre ://lesjours.fr/obsessions/les-annees-college/ #Pajol</t>
  </si>
  <si>
    <t>Horaires d'été 2016 https://t.co/zFVChXnNJt</t>
  </si>
  <si>
    <t>et merci @Pyb75 pour ces ateliers ! https://t.co/E7UTjEoD92</t>
  </si>
  <si>
    <t>La numérisation des livres indisponibles déclarée hors la loi par l'Europe met la France dans l'embarras... https://t.co/AdX9VHOYIA</t>
  </si>
  <si>
    <t>A vous de jouer à la bibliothèque ! https://t.co/X7Z3sITY4j https://t.co/zFYTS4cAeK</t>
  </si>
  <si>
    <t>5 raisons de revoir «Voyage au bout de l’enfer» http://so.arte/29gZHdp (via @ARTEfr)</t>
  </si>
  <si>
    <t>Aujourd'hui zoom sur "L'homme qui dessinait les arbres" de Frédéric Mansot. Espace Jeunesse: https://t.co/8xtP5Vkr37 https://t.co/dj6h9saP7l</t>
  </si>
  <si>
    <t>Pour certains, c’est bientôt les vacances… https://t.co/b1D1zSQKyF https://t.co/16f4TTTyaB</t>
  </si>
  <si>
    <t>prochaine animation enfants ! https://t.co/v9SqeOjufa</t>
  </si>
  <si>
    <t>Aujourd'hui, zoom sur "Œuvres" de Sylvia Plath. Espace Grand public : https://t.co/A6oRL7shom https://t.co/X7L0HsDjEY</t>
  </si>
  <si>
    <t>SAMEDI 9 JUILLET 15h30
#ECRANdesMÔMES #Solotareff #Sanseverino  #licorne
de 7ans à 77ans ;o)
https://t.co/0VIFCPIFXx https://t.co/ipetqkYqGu</t>
  </si>
  <si>
    <t>Cet été, la bibliothèque St Jacques et la section jeunesse centre-ville vous invitent à récupérer un "sac surprise" https://t.co/94CPqOQwYL</t>
  </si>
  <si>
    <t>La bib. du Finistère nous prête des livres en breton pour étoffer notre offre. https://t.co/jTihTapD4m https://t.co/VHrr6DwnyW</t>
  </si>
  <si>
    <t>Horaires d'été 2016 https://t.co/jgVYJM6V0m</t>
  </si>
  <si>
    <t>Actuellement à la médiathèque : semaine du mardi 28 juin au samedi 1er juillet https://t.co/JcfXWQr0vf</t>
  </si>
  <si>
    <t>Et en septembre… https://t.co/zMtaY8N4pp https://t.co/lgTQ5RGTqX</t>
  </si>
  <si>
    <t>Vacances d’été https://t.co/QA1BR5Xbbs https://t.co/iUYPydpXec</t>
  </si>
  <si>
    <t>Demain, 25/06, l'immense auteur de BD, Corbeyran, sera à la Bibliotheque pour une rencontre avec le public beaunois https://t.co/LXclTlRkJS</t>
  </si>
  <si>
    <t>Le Prix des Incorruptibles https://t.co/jGYOpXRhiT</t>
  </si>
  <si>
    <t>"Le Petit Echo de la Mode" s'expose https://t.co/PjPt1uBwV4</t>
  </si>
  <si>
    <t>Horaires d'été 2016 https://t.co/T3duFkiSCz</t>
  </si>
  <si>
    <t>Les lauréats du 27 ème Prix des Incorruptibles @LesIncos : https://t.co/cT94v5XqB1</t>
  </si>
  <si>
    <t>Le Mystère Henri Pick de David Foenkinos https://t.co/EhHngDrngq</t>
  </si>
  <si>
    <t>La bibliothèque se met à l’heure d’été… https://t.co/GDfIBdd8aX</t>
  </si>
  <si>
    <t>C'est parti pour le Bibliobingo 2016 ! Jouez à lire pendant l'été, un défi à réaliser seul ou en famille, toutes... https://t.co/15LuQ8tUOn</t>
  </si>
  <si>
    <t>ArTeyran 2016 https://t.co/enRNEDKmmp https://t.co/uWTIu52IZw</t>
  </si>
  <si>
    <t>Le festival d'Annecy vient de  commencer ! La sélection de la médiathèque animation de la médiathèque: https://t.co/tw5vfsEPKh</t>
  </si>
  <si>
    <t>L'Heure Musicale - Les Gaspards, samedi 18 juin à 16h (Espace Cinémusique) : https://t.co/bo96BEPUbf https://t.co/ydsl643DDD</t>
  </si>
  <si>
    <t>A partir du 21/06 (re)découvrez notre exposition sur Léo Ferré en réalité augmentée ! Démonstrations le 22/06 à 14h https://t.co/s48MQk3SE5</t>
  </si>
  <si>
    <t>https://t.co/p2xRZSFf7o</t>
  </si>
  <si>
    <t>Quelle sera la couleur de l'affiche de l'exposion #Tanquerelle ?</t>
  </si>
  <si>
    <t>#Tanquerelle prochain invité de la médiathèque de #Douarnenez ! Quelle couleur pour l'affiche de l'expo ? https://t.co/pbnujR5c4K</t>
  </si>
  <si>
    <t>Très bel échange entre Jean-Yves Mitton et ce jeune garçon sur l'évolution des super héros depuis les années 80 ! https://t.co/OsDhAYZ99t</t>
  </si>
  <si>
    <t>Match amical FIFA en BIB Auray-Locminé : 
Beau travail de l'entraîneur Karine Conan,
Locminé est bien parti... https://t.co/cjFMT51pDM</t>
  </si>
  <si>
    <t>50 ans de l’école de musique de #Douarnenez : le programme à la médiathèque ! 
https://t.co/c5ooS4WqHB https://t.co/BQpOO62ubx</t>
  </si>
  <si>
    <t>Actuellement à la médiathèque : semaine du mardi 14 au samedi 18 juin 2016 https://t.co/E8avpKQxUl</t>
  </si>
  <si>
    <t>https://t.co/p97bH86PAw</t>
  </si>
  <si>
    <t>https://t.co/3KONOLrTOK</t>
  </si>
  <si>
    <t>Caetano Veloso et Gilberto Gil https://t.co/sccF4MIIkq</t>
  </si>
  <si>
    <t>"Le Petit Echo de la Mode" s'expose https://t.co/9q7WUWl1EI</t>
  </si>
  <si>
    <t>On est dans la place pour le #match de #foot contre nos usagers ! RDV le samedi 25 juin, 16h au centre Ostermeyer ! https://t.co/ESGuxDyQJ7</t>
  </si>
  <si>
    <t>Rencontre avec Fabrice Montoya https://t.co/g38oLIiB0V</t>
  </si>
  <si>
    <t>Le Festival Darc 2016 https://t.co/J1YIlcOI8v https://t.co/huVx2hjdoj</t>
  </si>
  <si>
    <t>https://t.co/Xbccr7WZNo</t>
  </si>
  <si>
    <t>Ce film est un petit bijou :) Vive les #monstres et le #stopmotion ! https://t.co/yLBooHtSVw</t>
  </si>
  <si>
    <t>C'est beau quand même ! Êtes-vous également à jour dans vos lectures avant la venue de Jean-Yves Mitton le 11 juin ? https://t.co/58sYMyDa4i</t>
  </si>
  <si>
    <t>SAMEDI 11 JUIN à la #mediatheque #Atelierdecriture 
de 14h à 17h30 -OUVERT à TOUS-
https://t.co/60N8k7kj7m https://t.co/hb1p12MYrY</t>
  </si>
  <si>
    <t>Actuellement à la médiathèque : semaine du mardi 7 au samedi 11 juin https://t.co/knRkjzPDoR</t>
  </si>
  <si>
    <t>Connaissez-vous l'urbex ?
Prochainement dans votre médiathèque ;-) https://t.co/Yj6mxnWxD2</t>
  </si>
  <si>
    <t>Demain à partir de 10h30, c'est Bibliocafé : l'occasion de parler de vos coups de coeur et du reste ! #Douarnenez https://t.co/1Mnqmbw3cv</t>
  </si>
  <si>
    <t>#VENTEdeLIVRES jusqu'au samedi 11 juin 
(aux horaires habituels) de 0,50€ à 2 € :o)
https://t.co/UpKC7oqjhf https://t.co/5et5gV3L4s</t>
  </si>
  <si>
    <t>Exposition "Si j'étais une robe". 
Des élèves de la section mode du lycée Louis Armand de Locminé exposent leurs... https://t.co/VciWG3SQV8</t>
  </si>
  <si>
    <t>Rendez-vous aux jardins à #hyères du 3 au 5 juin @Rdv_Jardins #RDVJ2016 https://t.co/9Ega6yBDxC</t>
  </si>
  <si>
    <t>Voici quelques-unes des créations pour la fête des mères réalisées avec l'imprimante 3d ;-) https://t.co/234Gti7rKY</t>
  </si>
  <si>
    <t>De quoi Henri Michaux est-il le non ? https://t.co/Bv3zLlGxc7 via @BibliObs</t>
  </si>
  <si>
    <t>Night School de C. J. Daugherty https://t.co/KWrn4MczCb</t>
  </si>
  <si>
    <t>Night School de C. J. Daugherty https://t.co/bKolK11ws9</t>
  </si>
  <si>
    <t>C'est bientôt l'heure du conte, une demi-heure d’histoires pour les enfants de 3 à 6 ans. Rendez-vous mercredi 25... https://t.co/3YuTlqPhAE</t>
  </si>
  <si>
    <t>Aujourd'hui, zoom sur "Quand la montagne scintille" L. Cohen et M. Béal. Espace Jeunesse : https://t.co/f0R2syJ18t https://t.co/anKezxsXIc</t>
  </si>
  <si>
    <t>Actuellement à la médiathèque : semaine du mardi 24 au samedi 28 mai 2016 https://t.co/f96BxEADis</t>
  </si>
  <si>
    <t>INFO : #ATELIERdECRITURE d'aujourd'hui est ANNULÉ.
#mediatheque #chateaurenard
https://t.co/60N8k7kj7m https://t.co/SD36Qz9B49</t>
  </si>
  <si>
    <t>Conte musical https://t.co/lGUdIK7xcy https://t.co/xgpfP3mwkF</t>
  </si>
  <si>
    <t>Vidéo à voir ;o) https://t.co/JrOOiQQVQG</t>
  </si>
  <si>
    <t>#teamzombie ou #teamvampire ? Rdv demain 15h pour créer la plus grande armée papertoy à l'occasion de Mai Imaginaire https://t.co/lKMH7QjKOb</t>
  </si>
  <si>
    <t>Pour le plaisir des yeux… https://t.co/pMgVn64P4p https://t.co/zxrF4NVwpd</t>
  </si>
  <si>
    <t>Commission Culture : Fête de la Musique 2016 https://t.co/JSvmaXQtsc https://t.co/uy7vKnFHSw</t>
  </si>
  <si>
    <t>Histoires et comptines pour les Tout-petits https://t.co/zsCgfQcFHA https://t.co/0WITDfQlgF</t>
  </si>
  <si>
    <t>L'Heure Musicale - CONVERSATION - Concert Spécial vendredi 13 mai à 19h30 : https://t.co/Q2dhUROCPv https://t.co/qu5pyMsgQK</t>
  </si>
  <si>
    <t>Le troisième roman d'un de nos bibliothécaires ! #rentreelitteraire2016  https://t.co/WHIkptFqmW</t>
  </si>
  <si>
    <t>Actuellement à la médiathèque : semaine du mardi 10 au samedi 14 mai 2016 https://t.co/5yDwm0UIJO</t>
  </si>
  <si>
    <t>Retrouvez sur #Beaune la sélection du #FreeComicBookDay et notamment chez nous grâce au don de l'@athenaeum21 ! https://t.co/IoIRibRsmy</t>
  </si>
  <si>
    <t>Aujourd'hui, zoom sur "La forêt de cristal" de J.G. #Ballard. Espace Grand public : https://t.co/xaOryuyBoZ https://t.co/eqvN6AFd4E</t>
  </si>
  <si>
    <t>Faites passez le mot : Samedi à 14h, on se lance dans la création de jeux avec nos jeunes usagers. Merci à @ColinSidre pour l'idée. #Twine</t>
  </si>
  <si>
    <t>Concours Art Postal 2016 https://t.co/OmVbRwQiQ1</t>
  </si>
  <si>
    <t>"Le Petit Echo de la Mode" s'expose à partir du 3 mai https://t.co/du8B1uaAqK</t>
  </si>
  <si>
    <t>J’ai publié 9 photos sur Facebook, dans l’album Atelier palette transformée en mur végétal https://t.co/YFdLY190l6</t>
  </si>
  <si>
    <t>Vous voulez 😂 ? Review sur le dernier club 2 lecture spécial LOL https://t.co/C6JGlcPBd9 #johnfante #deGaulle #Wilt</t>
  </si>
  <si>
    <t>Des nouvelles  de l’atelier “Le Lien Qu’on Tricote” https://t.co/6dhmB0VYtM https://t.co/fMorurdorF</t>
  </si>
  <si>
    <t>Demain, 14h30 : conférence « Simenon / Maigret : destins croisés ? » par Laurent Demoulin (auditorium, entrée libre) https://t.co/PTg3kgZE5d</t>
  </si>
  <si>
    <t>Aujourd'hui, zoom sur "Maîtres anciens" #ThomasBernhard et N. Mahler. Espace Grand public : https://t.co/qlCMkOXCzu https://t.co/nyrJvYTH3B</t>
  </si>
  <si>
    <t>Prochainement, partez à la chasse au trésor pour trouver certains de nos #livresvoyageurs #geocaching #bookcrossing https://t.co/cWyjOK4RIZ</t>
  </si>
  <si>
    <t>Concours Art Postal 2016 https://t.co/10eZDBJGqS</t>
  </si>
  <si>
    <t>CONFÉRENCE MUSICALE : "La trompette" 
Ce Samedi 23 avril à 16h
Entrée libre. https://t.co/JnJQZdT4ep</t>
  </si>
  <si>
    <t>Vite! Des invitations pour les usagers de @BibHavel aux Bouffes du nord! les 26 et 27 avril! Contactez-les! https://t.co/9qqMVt1E5P</t>
  </si>
  <si>
    <t>#fetedulivre #hyeres https://t.co/OF0C0bkujr</t>
  </si>
  <si>
    <t>Commission Culture : Le théâtre perché – 1ère édition https://t.co/5bgjcLwrlO</t>
  </si>
  <si>
    <t>Cinéma : “Mommy” https://t.co/zGx3uwz7Zv https://t.co/KHXDqVwBIm</t>
  </si>
  <si>
    <t>Jeux vidéo https://t.co/C8ceg6ckIG</t>
  </si>
  <si>
    <t>Aux livres les petits ! https://t.co/CMIGPgoqKP https://t.co/zdN58N2yh7</t>
  </si>
  <si>
    <t>Spectacle petite enfance https://t.co/xk2lGH1LBv https://t.co/KGrVcaSeGN</t>
  </si>
  <si>
    <t>@lafenetresur plutôt classe comme like non ? https://t.co/Nc0qgEeOrf</t>
  </si>
  <si>
    <t>#Exposition "Le Paris de #Simenon" (du 5 au 30 avril) : https://t.co/C7AVII2NTU</t>
  </si>
  <si>
    <t>Ça sent le printemps à la médiathèque !
Apprenez à créer un mur végétal avec une palette de bois. Samedi 30... https://t.co/7eCPZQxI7D</t>
  </si>
  <si>
    <t>La table-ronde "genre et jeux vidéo" commence dans qq minutes cc @Moossye @SophieAgie @legotheque</t>
  </si>
  <si>
    <t>Appli Day : Anuki https://t.co/0baEua8Etx</t>
  </si>
  <si>
    <t>Le Paris de Simenon : du 5 au 30 avril https://t.co/n0CDp37ZKR</t>
  </si>
  <si>
    <t>Y êtes-vous allés ? #NuitDebout https://t.co/Jk05Z09nXK</t>
  </si>
  <si>
    <t>Exposition "Le Paris de #Simenon" du 5 au 30 avril https://t.co/3yl2t4lVn1 https://t.co/kZNJUYxzIF</t>
  </si>
  <si>
    <t>Vos prochaines découvertes films &amp;amp; séries, c'est ici  : https://t.co/LbCTIwXskv</t>
  </si>
  <si>
    <t>Retour sur la soirée jeux organisée hier soir à la médiathèque. 
De nombreux ateliers jeux de société et jeux... https://t.co/a7AfNuVnGF</t>
  </si>
  <si>
    <t>Hommage à Romain Simon,illustrateur prolifique,notamment pour la collection "Plaisir des contes" que nous conservons https://t.co/GKTHOxsfOL</t>
  </si>
  <si>
    <t>#Printempsdespoetes Fin du vote poétique et de l'opération "la poésie émoi", la médiathèque publie ses résultats : 
https://t.co/35VHfk8ySS</t>
  </si>
  <si>
    <t>Fascinante mise en abyme du 8ème roman d' Orhan Pamuk, "Le musée de l'innocence", 
https://t.co/2YfPSC5UlS</t>
  </si>
  <si>
    <t>Une Timeline incontournable pour découvrir l'histoire de Beaune ! Bravo aux @ArchivesBeaune  https://t.co/jqCnHTkjk9</t>
  </si>
  <si>
    <t>En juin (re)découvrez notre expo Léo Ferré grâce à de nouveaux contenus en réalité augmentée #futureMW #expoFerré https://t.co/D7zEppAmj2</t>
  </si>
  <si>
    <t>Commission culture https://t.co/BnPosvadFz https://t.co/GbU6BVyI5f</t>
  </si>
  <si>
    <t>Robert Rocca https://t.co/mbdxQwhcoz https://t.co/pcJumzW9VR</t>
  </si>
  <si>
    <t>Ateliers informatique et multimédia – Ressources en ligne https://t.co/GI8wWJVdQm https://t.co/QLry5seuTP</t>
  </si>
  <si>
    <t>Théâtre Perché https://t.co/ODOUxGPNzs</t>
  </si>
  <si>
    <t>Cet après-midi, présentation du Kamishibaï réalisé lors les ateliers TAP de la médiathèque. 
Les enfants se sont... https://t.co/QA6hFEzo2N</t>
  </si>
  <si>
    <t>Nos scans 3D ont été réalisé avec un smartphone, l'application gratuite @TRNIO et mis en ligne sur @Sketchfab https://t.co/NLx7rwV4tB</t>
  </si>
  <si>
    <t>Bonjour la #MuseumWeek ! D'ici quelques minutes on vous fait découvrir un livre mystérieux et loufoque de nos réserves pour le #secretsMW</t>
  </si>
  <si>
    <t>Si vous êtes 24 demain... déjà 500 visiteurs ! pour notre expo sur #LeoFerré https://t.co/iqR3OClDno</t>
  </si>
  <si>
    <t>1,2,3 Albums au collège, version 2016 https://t.co/OhKwdIr0WN https://t.co/eWXnGVTrWl</t>
  </si>
  <si>
    <t>La grainothèque est revenue ! Venez partager vos graines #printemps #bib2paris #nature #green https://t.co/hGUK89VePb</t>
  </si>
  <si>
    <t>Un bel article paru ce soir sur nos livres voyageurs, on relance l'opération cette année dès que la douceur arrive !
https://t.co/6qORc1KbWj</t>
  </si>
  <si>
    <t>Parti de Beaune en 2014, un "livre voyageur" refait surface en Argentine https://t.co/6qORc1KbWj via @Lebienpublic https://t.co/3EPtIK1cyE</t>
  </si>
  <si>
    <t>Le saviez-vous ? Seulement 2,6% des noms de rue portent un nom de femme...dont la nôtre ! #fierté #genre https://t.co/h7pGocXcKc</t>
  </si>
  <si>
    <t>Notre vidéo sur nos fonds patrimoniaux dépasse les 1 000 vues ! On est pas peu fier de toucher autant de monde :) https://t.co/dfhFWKRSjk</t>
  </si>
  <si>
    <t>Quand @wikiconvention évoque la #ChapelleNumérique, on est tout content ! https://t.co/EoRqP3inty</t>
  </si>
  <si>
    <t>Quand tu trouves un pilon de la @Bpi_Pompidou dans ta boîte à dons ! #breve2bib https://t.co/WDbqDisovd</t>
  </si>
  <si>
    <t>Une série coup de cœur : U4 https://t.co/mhR709nE4R https://t.co/PH1La4bpeJ</t>
  </si>
  <si>
    <t>Les préférés du mois… https://t.co/qVoR0oNAWn https://t.co/HOj6jS4GUw</t>
  </si>
  <si>
    <t>Grâce au @CRLBourgogne nos collections patrimoniales jeunesse s'enrichissent avec des ouvrages de l'@ecoledesloisirs https://t.co/ORYmkcQjnT</t>
  </si>
  <si>
    <t>Le Carnaval à la bibli… https://t.co/Nv4U5ZcsBi https://t.co/BXe9bpTJcK</t>
  </si>
  <si>
    <t>Idée pour mettre en valeur les classiques de la littérature en #eBook avec de fausses étagères #bibnum #ebookenbib https://t.co/UwEL6C0Nk9</t>
  </si>
  <si>
    <t>Si vous voulez devenir notre futur #collègue, voici le prochain concours pour être bibliothécaire @Paris! #bib2Paris https://t.co/20xHrzZw1H</t>
  </si>
  <si>
    <t>Jusqu'au 23/03 participez à Beaune à l'oeuvre éphémère  "La Grande Lessive" en venant dessiner à la bibliothèque ! https://t.co/5xDFKCscIj</t>
  </si>
  <si>
    <t>EXPO Epouvantails de 15 mars au 16 avril ;o)
VOTEZ pour élire l'épouvantail coup de coeur 
https://t.co/vNNQmxcJ5r https://t.co/IjacWxgxdr</t>
  </si>
  <si>
    <t>Camouflage d'#ebook !#livresnumeriques à télécharger gratuitement pour le festival du film policier de #beaune2016 https://t.co/ivCW7UX8LL</t>
  </si>
  <si>
    <t>Si vous croisez cette affiche dans #Beaune dégainez votre #smartphone pour télécharger gratuitement des #polars ! https://t.co/alaYLoksPv</t>
  </si>
  <si>
    <t>N’oubliez pas le prochain Café-Lecture ! https://t.co/9sLUaBGBvs https://t.co/ctDDa8468t</t>
  </si>
  <si>
    <t>50% filles, 50% garçons, 100% mixité! #bib2paris #wedidit #jv #pajol #mixité https://t.co/Mpe70ep4HR</t>
  </si>
  <si>
    <t>A 2 pas de la bibliothèque, #RosaparksFaitLeMur :) https://t.co/1JPSEOvwW8</t>
  </si>
  <si>
    <t>Un avant-goût du festival du film policier
 A la bibliothèque Gaspard Monge
 Du 15 au 30 mars 2016 https://t.co/e0mijquJ9U</t>
  </si>
  <si>
    <t>#VendrediLecture détente avec les micro-fictions très drôles de @FantasyPourrie
  https://t.co/YiHUl4GwqB</t>
  </si>
  <si>
    <t>Arteyran 2016 : appel à candidatures https://t.co/5OINbn7iRe</t>
  </si>
  <si>
    <t>Merci @BP_Beaune pour l'article ! Beaune : un hommage à Léo Ferré qui fera date
https://t.co/ACZjbxKxsq</t>
  </si>
  <si>
    <t>Yves Jamait et Marie Ferré présent pour l'inauguration de notre #expoFerré https://t.co/Ii3nzvg1uE</t>
  </si>
  <si>
    <t>https://t.co/dEAt2NXiek</t>
  </si>
  <si>
    <t>Ce soir 18h30 inauguration de notre #expoFerré ! Bon on vous le dit, on a envoyé une invitation au Prince de Monaco https://t.co/nDRQjOeuKm</t>
  </si>
  <si>
    <t>Ils regardaient la nuit dans un chagrin d´enfant 
Ils regardent l´ennui sur un petit écran #MardiMusique #expoferré  https://t.co/kakFXmmUm8</t>
  </si>
  <si>
    <t>SAMEDI 26 MARS 15h30  : Contes (à partir de 7 ans)
Réservez au 04-90-24-20-80.
https://t.co/A4PkV9ZaqO https://t.co/uag2P3yjsC</t>
  </si>
  <si>
    <t>CONCOURS d'ÉPOUVANTAILS en cours
=&amp;gt;Épouvantails à déposer jusqu'au 12 mars à la médiathèque.
https://t.co/PRwkTxUZsh https://t.co/raAroriRUX</t>
  </si>
  <si>
    <t>J’ai publié 6 photos sur Facebook, dans l’album Atelier attrape-rêves https://t.co/KA8oFnIE14</t>
  </si>
  <si>
    <t>Pokemon a 20 ans ! Quand pourra-t-on faire des combats Ronflex Vs Leviathan sur les quais de Seine ? #Pokemon20 https://t.co/5Cjxe3XxTu</t>
  </si>
  <si>
    <t>Vendredi 4/03 18h30, rdv sur notre page pour suivre en direct vidéo l'inauguration #expoferré avec invités surprises https://t.co/WjlB5MLru8</t>
  </si>
  <si>
    <t>Le FabLab de Beaune ouvrira début mars ! On a hâte d'y créer des livres mécaniques https://t.co/HoBVeH1Y14 https://t.co/op7XStQBFU</t>
  </si>
  <si>
    <t>Demain : "Madame Monsieur dans l'album jeunesse". Avec le planning familial. https://t.co/PhmwzNZpD4 https://t.co/YVIytvIp0P</t>
  </si>
  <si>
    <t>#ConférénceHistoiredelArt Samedi 19 mars 18h : "La photographie est-elle un art ?"
https://t.co/vtd0LWbDUu https://t.co/KzDKDmK3PL</t>
  </si>
  <si>
    <t>Concours Création d'Epouvantails: ouvert jusqu'au 12 mars
https://t.co/vNNQmxujWZ https://t.co/XmCogLNnMD</t>
  </si>
  <si>
    <t>#GrandEcran Samedi 5 mars 17h
https://t.co/6D66msdySv</t>
  </si>
  <si>
    <t>La bibliophilie c'est l'amour des beaux livres, rares, historiques ou artistiques. En voilà un sur la Romanée-Conti https://t.co/mJxxfpaXPr</t>
  </si>
  <si>
    <t>Samedi 26 mars 15h30
Spectacle de Contes par Gille CREPIN "Même pas peur, d'abord !" 
https://t.co/A4PkV9ZaqO https://t.co/mPjQLZAbEh</t>
  </si>
  <si>
    <t>La séance de petits lecteurs du samedi 27 Février est annulée.
merci de votre compréhension. Rendez-vous le mois prochain .</t>
  </si>
  <si>
    <t>Valoriser le numérique en bibliothèque, une bonne formation @abf_info avec des exemples concrets et marche à suivre https://t.co/7PWJNa2VU8</t>
  </si>
  <si>
    <t>France-Culture rediffuse "Les nuits magnétiques" de janvier 1978 en hommage à #GeorgesPerros : https://t.co/iBNsvdtJIk</t>
  </si>
  <si>
    <t>Des Goûters-Bibli pour préparer le Carnaval ! https://t.co/pPABZpp9bC https://t.co/tQ0LPuBYN6</t>
  </si>
  <si>
    <t>I posted a new photo to Facebook https://t.co/F8fKQkOY73</t>
  </si>
  <si>
    <t>Demain à la médiathèque, visite guidée de l'exposition La Fabric en compagnie de #christianvoltz : https://t.co/mBvNW4Qnqt</t>
  </si>
  <si>
    <t>Aux livres les petits ! Histoires d’amitié https://t.co/DJ9oHAPxyI https://t.co/QhQ6Xywn5Z</t>
  </si>
  <si>
    <t>Robert Rocca https://t.co/thknIKMwBx https://t.co/AQmRJmRnt6</t>
  </si>
  <si>
    <t>Point Europe https://t.co/OLljhGw5ov https://t.co/E9j0tKZK0F</t>
  </si>
  <si>
    <t>Point Europe https://t.co/JVpvGcGfSW</t>
  </si>
  <si>
    <t>Le Carnaval de Déols se prépare… https://t.co/kHmC2Cd5qK https://t.co/798eWw604S</t>
  </si>
  <si>
    <t>Que faisait #Bouzard en fauteuil roulant, sur un fond vert ? La réponse en images : https://t.co/m358G0UKcL</t>
  </si>
  <si>
    <t>Vous le connaissez bien votre quartier #LaChapelle #paris18 ? Montrez le et jouez ;) https://t.co/wRT76cEEQr</t>
  </si>
  <si>
    <t>Heure du conte pour les 3-6 ans, mercredi 17 février à 11 h. https://t.co/pkLpDLKWQ1</t>
  </si>
  <si>
    <t>BOOKFACE, Episode V
Le bookface du week-end... https://t.co/FcrnF0ffm5</t>
  </si>
  <si>
    <t>Demain 10h venez sans complexe échanger vos lectures autour d'un bon café ! Organisée avec le Club Italo-beaunois https://t.co/mluK8zzKSm</t>
  </si>
  <si>
    <t>Nous n'avons jamais dépecé quelqu'un. Toutefois veuillez bien rendre vos documents à temps sinon.. 
https://t.co/lhhRLD9gpy via @le_Parisien</t>
  </si>
  <si>
    <t>Samedi, venez manger des insectes @bibhavel ;) cc @QueFaireAParis @parisbiblio  https://t.co/K2SRA7Fh6X</t>
  </si>
  <si>
    <t>Rendez-vous demain à 15h ! https://t.co/lFnm6gkv0n</t>
  </si>
  <si>
    <t>Démonstration et cours de taekkyon, art martial coréen à la bib. Hana, dul, set ! #bib2paris #corée https://t.co/Bl3aesbGC8</t>
  </si>
  <si>
    <t>Samedis numériques - La généalogie
Samedi 6 février à 11h
Découvrez les outils numériques dédiés à la recherche... https://t.co/kLraLp22RR</t>
  </si>
  <si>
    <t>La bonne idée des collègues de @biblouisemichel : https://t.co/Od0a22J4tL</t>
  </si>
  <si>
    <t>Programmeurs en herbe ! https://t.co/CMC329Yb99 https://t.co/7Pup2BAkOn</t>
  </si>
  <si>
    <t>Amusons-nous avec les cotes ! / Play with shelfmark ! #shelfie #libraryshelfie #libraryshelfieday https://t.co/fph6EJ1crP</t>
  </si>
  <si>
    <t>Le #Taekkyon, kézako ? Venez le découvrir @bibhavel samedi 30 à 15h30
#Corée https://t.co/GRGzGNxjma @QueFaireAParis https://t.co/M7fmE8HEM2</t>
  </si>
  <si>
    <t>Dites adieu à votre temps libre ! https://t.co/oVPIkH1OAk</t>
  </si>
  <si>
    <t>Que faire vendredi soir à Beaune ? Soirée jeux à partir de 20h à la bib ! Plus d'infos : https://t.co/u2wsnPtMPK https://t.co/5vTVi8B02l</t>
  </si>
  <si>
    <t>Ecouter… regarder… fabriquer… https://t.co/Oo1jBAxy7z https://t.co/EkadhnMdtd</t>
  </si>
  <si>
    <t>Le club de lecture jeune de la bibliothèque découvrant cet après-midi les secrets d'un manuscrit du XVe siècle (ms21 https://t.co/nnj7eKK3ki</t>
  </si>
  <si>
    <t>Après la mort du livre, la mort de l'ebook ? On ne comprend plus !
https://t.co/6lwG2qA7qm</t>
  </si>
  <si>
    <t>Découverte du cinéma du réel samedi à la médiathèque : "The Stone river" de Giovanni Donfrancesco : https://t.co/wOrbIJ5srB</t>
  </si>
  <si>
    <t>Très bonne chronique musicale ce matin sur @Lesmatinsfcult la violence faites aux femmes, hélas toujours d'actualité https://t.co/0tuX5kqHKn</t>
  </si>
  <si>
    <t>Bienvenue sur Twitter @Capcinema21 ! Vous nous conseillez quoi en ce moment ?</t>
  </si>
  <si>
    <t>https://t.co/jIWwAndGnZ https://t.co/Jb5I0pjj9d</t>
  </si>
  <si>
    <t>Médiathèque.  Une dynamique de partage https://t.co/KLcQgjU0rf via @letelegramme</t>
  </si>
  <si>
    <t>Y avait foule pour les #mordusduManga, avec @LesNegitachi :)  https://t.co/f8P1SysDni</t>
  </si>
  <si>
    <t>#LeSaviezVous ? La #grue est symbole de longévité au Japon et decore @BibHavel pour les #mordusduManga @parisbiblio https://t.co/VXGmoj4V2J</t>
  </si>
  <si>
    <t>Apéro-troc à @AJ_Pajol le 28 janvier ! https://t.co/qN4Qcao6jl</t>
  </si>
  <si>
    <t>Atelier préparation des @MordusduManga : soufflage de ballons ! cc @parisbiblio https://t.co/sq0twZ4RnW</t>
  </si>
  <si>
    <t>Une petite pensée pour @MrGeraud, grand fan de #Balavoine  ...  https://t.co/kwfLpB8zu4</t>
  </si>
  <si>
    <t>#1Lib1Ref On a déjà ajouté des références sur ce que l'on connait le mieux, Beaune et Gaspard Monge ;)</t>
  </si>
  <si>
    <t>Le programme des mois à venir à la médiathèque de #Douarnenez, c'est par ici : https://t.co/wOrbIJ5srB</t>
  </si>
  <si>
    <t>C'est le week-end ! Détendez-vous l'esprit avec ces incroyables bibliothèques pour enfants https://t.co/A4TOPhHNDh https://t.co/JctVDHNRUp</t>
  </si>
  <si>
    <t>Les meilleures sorties de 2015 à la médiathèque : https://t.co/TDPLj1kUpG</t>
  </si>
  <si>
    <t>Nous aussi ! Bonne année @SohierRemy et @alineaire_group :) https://t.co/zEpAYuixDh</t>
  </si>
  <si>
    <t>Midi Libre : “Jean-Christophe Parisot de Bayard, préfet et écrivain, était à Teyran” https://t.co/shhmKb5WMk</t>
  </si>
  <si>
    <t>Photos de la rencontre avec Jean-Christophe PARISOT DE BAYARD https://t.co/JeFt5kA3Vp https://t.co/L7VfAlo5Ns</t>
  </si>
  <si>
    <t>Ateliers informatiques et multimédia https://t.co/y6TaTbEqYG</t>
  </si>
  <si>
    <t>Notre contribution au #GrandParis ;) La bibliothèque est ouverte jusqu'à 18h, la tour a encore le temps de monter ! https://t.co/BMj8cqVJb9</t>
  </si>
  <si>
    <t>Si toi aussi t'as dû t'excuser d'avoir mis un S à #jeuxvideo, voici pourquoi faut pas : https://t.co/Od1Uxwpqr6  @MaxGregoire  @Foulbaz</t>
  </si>
  <si>
    <t>https://t.co/RMTnCM7v0L plus documentaliste\archiviste que bibliothécaire à mon avis, mais cool quand même :)</t>
  </si>
  <si>
    <t>Et un bonhomme de neige, ce serait de saison ? #BattleHiver Coll. Bib. Beaune https://t.co/4lfVzbZvdP</t>
  </si>
  <si>
    <t>Dans quelques instants on vous propose un live Périscope pour le dernier Samedi des petits bouts de 2015 !</t>
  </si>
  <si>
    <t>Oooh nous avons un cadeau sous notre sapin ! Merci les gentils lecteurs de #noël ! https://t.co/9ewaTtVjYM</t>
  </si>
  <si>
    <t>Avec @MaxGregoire et @cmart27062873 et Lisa et Arthur :) https://t.co/ONJRRm9Kx0</t>
  </si>
  <si>
    <t>Et bien oui voilà on avoue ! Nous travaillons en dehors des horaires d'ouvertures pour faire marcher la bibliothèque https://t.co/2ffPNIaQd1</t>
  </si>
  <si>
    <t>A noter… https://t.co/1tlrVtAO5W</t>
  </si>
  <si>
    <t>#CalendrierdeLAvent Découvrez le prestigieux terroir des #climatsbourgogne dans cette bible signée par un expert ! https://t.co/JFEYDN9tId</t>
  </si>
  <si>
    <t>Ouest-France du jour. https://t.co/tOtM7s6T3T</t>
  </si>
  <si>
    <t>Le Télégramme du jour. https://t.co/6JYa4SvrII via @letelegramme</t>
  </si>
  <si>
    <t>Dans @OuestFrance29  du jour, un entretien avec #Bouzard. Atelier fanzine au Lycée Ste-Thérèse de Quimper. https://t.co/5nh7EpGAEP</t>
  </si>
  <si>
    <t>le Café-Lecture de novembre https://t.co/0mt8EUYrzX https://t.co/fhZZRFPE0B</t>
  </si>
  <si>
    <t>Y a  @LuxBox qui a parlé sur nous dans le dernier @PasseLeStick. Vous pouvez l'écoutez là : https://t.co/plGWdsyWew. Et ça c'est sympa</t>
  </si>
  <si>
    <t>En pleine préparation de l’exposition au profit du Téléthon ! https://t.co/arrnvKK9sa https://t.co/E2efgFExMm</t>
  </si>
  <si>
    <t>On commence à avoir pas mal de jeux à la bibliothèque de #Beaune ! Devinez ce que l'on fait ce soir jusqu'à 23h ? https://t.co/ses2d5JLJz</t>
  </si>
  <si>
    <t>Devenez Lutin du Père Noël… https://t.co/xaXTyeosFn https://t.co/aQZgWJmW4I</t>
  </si>
  <si>
    <t>Arteyran, 2e Salon d’Art Actuel https://t.co/6dABTZHoFt https://t.co/5C107ox3AP</t>
  </si>
  <si>
    <t>Hier, visite des 2ndes de JM le Bris avant les ateliers animés par #Bouzard la semaine prochaine. https://t.co/0SVmMN1DRM</t>
  </si>
  <si>
    <t>Fin d’année 2015 https://t.co/oBT6uQqjez</t>
  </si>
  <si>
    <t>Jean-Christophe PARISOT DE BAYARD https://t.co/cOKKH0pMFR</t>
  </si>
  <si>
    <t>Ateliers créatifs de Noël : une première réussie ! https://t.co/NrcXUSTN8B https://t.co/QoMKId7mOa</t>
  </si>
  <si>
    <t>Cette après-midi on joue partout ds la bib, on partage et on échange autour de la migration ! #migrantscene https://t.co/1uTbl6XUtV</t>
  </si>
  <si>
    <t>Comment réintroduire la Nature dans nos villes de béton ? Réponse à 20h30 à la bibliothèque pour le #Moisdudoc ! https://t.co/CrI3tSqS60</t>
  </si>
  <si>
    <t>Les ouvrages de #Bouzard disponibles à la médiathèque : https://t.co/zSCAgQ1bkk https://t.co/9btmPXxONp</t>
  </si>
  <si>
    <t>Cette année la médiathèque a le plaisir d'exposer #Bouzard ! https://t.co/KVM190Ptff https://t.co/H2p58F1JN5</t>
  </si>
  <si>
    <t>Désormais, tous les inscrits ont accès à toutes les ressources de la médiathèque : https://t.co/s10s4sq5UR https://t.co/wjyzKx4pMg</t>
  </si>
  <si>
    <t>L'abonnement unique permet à tous, sans condition de résidence, de bénéficier de tous les services de la médiathèque https://t.co/yT4md5jSAO</t>
  </si>
  <si>
    <t>#AttentatsParis Comment informer les enfants ? Téléchargez gratuitement @monquotidien @petitquotidien et @lactu https://t.co/uZTehpTScD</t>
  </si>
  <si>
    <t>Si vous souhaitez vous informer, parler ou juste trouver un livre réconfortant, nous vous accueillons jusqu'à 17h. https://t.co/P0edmU0nqi</t>
  </si>
  <si>
    <t>Amusez-vous bien :) https://t.co/ToVoz4Ircm</t>
  </si>
  <si>
    <t>On vous conseille la lecture de ce livre de Thich Nhat Hanh pour bien vivre ce #Vendredi13  ;) #VendrediLecture https://t.co/ovE8THhNAe</t>
  </si>
  <si>
    <t>A voir, @BibHavel, samedi 21 novembre !  https://t.co/eEUcZtzmsg</t>
  </si>
  <si>
    <t>La quête de "L'Harmonie" ? C'est à #Douarnenez avec le film de Blaise Harrison à 20h à l'auditorium : https://t.co/imCDlJdyhp</t>
  </si>
  <si>
    <t>Demain soir 13/11 20h projection du film L'Harmonie https://t.co/6gdfcK7UWr #Moisdudoc : un film sensible qui montre "le secret du choeur"</t>
  </si>
  <si>
    <t>Ateliers créatifs de Noël https://t.co/Wz0TtiYchR https://t.co/FKQ9NXXDh2</t>
  </si>
  <si>
    <t>réaction d'enfants : "oh, vous avez pris des photos de quand la #bibliothèque etait petite ! #Pajol #paris18 https://t.co/GimV5ca9by</t>
  </si>
  <si>
    <t>Des Goûters-Bibli pour frissonner… mais pas trop ! https://t.co/IfTzwrTDcx https://t.co/PywGUYlLuO</t>
  </si>
  <si>
    <t>Aux livres les petits ! https://t.co/Q1EITIYWCr https://t.co/FxraKe0utd</t>
  </si>
  <si>
    <t>Cinéma https://t.co/cfXrAJPMQD https://t.co/Gka0XONefE</t>
  </si>
  <si>
    <t>#eBookenBib Pack #13 – Cru domaine public 2015 https://t.co/XwubqWA4wJ Dispo dès maintenant sur nos liseuses ! https://t.co/AOXeG7xVzK</t>
  </si>
  <si>
    <t>Ne perdez pas la Boussole ! C'est le #Goncourt 2015 et il est disponible à la médiathèque : https://t.co/EF1LZ09dZL https://t.co/rP1L3sdzWq</t>
  </si>
  <si>
    <t>C'est parti pour l'abonnement unique ! Désormais l'abonnement donne accès à toutes les ressources de la médiathèque. https://t.co/GyhWinJSME</t>
  </si>
  <si>
    <t>sam, 15h30 @BibHavel- Débat @lacimade: l'assignation à résidence, à quoi ca sert ?  https://t.co/rgu1OVJEwa @QueFaireAParis @mairie18paris</t>
  </si>
  <si>
    <t>3/4 "Père, votre main a tremblé, ce matin. Il est temps d’arrêter.
Laisse-moi encore celui-là, fils. Je te promets, il ne souffrira pas."</t>
  </si>
  <si>
    <t>La sensualité en médiathèque commence par le goût : concours du #KouignAmann amateur à 18h et nos livres https://t.co/iMbU325fUh #Douarnenez</t>
  </si>
  <si>
    <t>Du mardi au samedi la bibliothèque est ouverte à partir de 10h, chauffage et wifi gratuits, à bon entendeur ;) #matinsmalins</t>
  </si>
  <si>
    <t>#Douarnenez Le Sibilaricot poursuit son chemin ce matin au Tapis Lecture et continue de trotter dans les têtes...https://t.co/dlQkzvERa3</t>
  </si>
  <si>
    <t>"des coups, des caresses" notre club des lecteurs commence et il sera gourmand #bib2paris http://t.co/OdF2byLqcE</t>
  </si>
  <si>
    <t>#VendrediLecture, dose de #SF avec "Dominium Mundi" de François Baranger chez Critic. + le marque-page qui va bien http://t.co/7eUGpNp3Su</t>
  </si>
  <si>
    <t>Une petite correction s'impose : Martin Scorsese est aussi à la médiathèque : http://t.co/xy0olTYfAJ
http://t.co/WOYLwZXPQ4</t>
  </si>
  <si>
    <t>Redécouvrons Martin Scorcese à la cinémathèque française... et aussi à la médiathèque ! http://t.co/xy0olTYfAJ https://t.co/VOaeCgC3Q3</t>
  </si>
  <si>
    <t>On a eu la chance d'avoir @ColinSidre parmi nous. Il continue d'écrire des choses très intéressantes. https://t.co/cdc6ebAyUl</t>
  </si>
  <si>
    <t>La rentrée littéraire au Café-Lecture https://t.co/dWhWpuwPKV http://t.co/aPsYhJAOme</t>
  </si>
  <si>
    <t>#LeMotdeGeorges : "Ce qui m'intéresse, c'est ce qui m'échappe. Et ce qui m'échappe me donne la mesure de ce que je suis." (Papiers Collés I)</t>
  </si>
  <si>
    <t>La Baba Yaga n'est pas si méchante que ça ! Nolwenn Champagne nous raconte ses 3 visages, le 17/10 à 18h. #Douarnenez http://t.co/FWp28CHShd</t>
  </si>
  <si>
    <t>Les émotions comme cause importante du bonheur ? Le #Nobel d'économie A. Deaton donnerait donc raison à Spinoza ?
http://t.co/f5IhOGaawW</t>
  </si>
  <si>
    <t>Bienvenue sur le compte de la Médiathèque Georges-Perros de Douarnenez ! #Douarnenez #monpremierTweet</t>
  </si>
  <si>
    <t>Le week-end arrive, on se détend les yeux avec de bien belles bibliothèques
http://t.co/TgZD6jCJf4 http://t.co/x0l4OsMEYM</t>
  </si>
  <si>
    <t>http://t.co/rsKiVHFm0c Conférence ce soir à 19h autour du projet graine de vie! #MontmartreFêteLaPlanète</t>
  </si>
  <si>
    <t>Atelier « ̘À la manière d’Arcimboldo » https://t.co/5rbcV9mR8w http://t.co/uEZRDwqzS1</t>
  </si>
  <si>
    <t>Les Ateliers informatiques et multimédia ont repris… https://t.co/XUzYMVnE2Z http://t.co/z9aM4rHMR0</t>
  </si>
  <si>
    <t>Le portage à domicile https://t.co/i24OA0DXbj http://t.co/K4YupaMicb</t>
  </si>
  <si>
    <t>Venez partager vos lectures lors d'une soirée #speedbooking chaleureuse le mercredi 07/10 !
http://t.co/345qn6esio http://t.co/sgnViC63dc</t>
  </si>
  <si>
    <t>Où on a parlé d'@alineaire_group et de @lacimade #migrantscene  https://t.co/0msmxj9wOo</t>
  </si>
  <si>
    <t>Vente sous le soleil https://t.co/gtoa1CU991 http://t.co/UGa3kftM2z</t>
  </si>
  <si>
    <t>Suite à un imprévu, la venue du camion Science Tour est reportée à une date ultérieure. Affaire à suivre!</t>
  </si>
  <si>
    <t>#VendrediLecture "Le jour où la guerre s'arrêta" de Pierre Bordage. Très apprécié ici. Un livre d'une grande sagesse http://t.co/nBPGJ3Avge</t>
  </si>
  <si>
    <t>@fablabiki On commence à avoir du boulot pour le futur FabLab de Beaune ;) https://t.co/F5c1Cf554m</t>
  </si>
  <si>
    <t>Visites de nos fonds patrimoniaux pour les #JourneesduPatrimoine , ici un original à la feuille d'or. #JEP2015 http://t.co/EuU8ZJ0610</t>
  </si>
  <si>
    <t>Le Lien Qu’on Tricote a repris le fil !!! https://t.co/4aKpLtnain http://t.co/rhPimGF0hs</t>
  </si>
  <si>
    <t>@Bouletcorp Lire au chaud quand il pleut dehors (suggestion de gif du jour, météo, envie de #cocooning) http://t.co/1CcYJF5noA</t>
  </si>
  <si>
    <t>Commission Culture et Jeunesse https://t.co/jdAbZaAGPS http://t.co/XJpNIeC4av</t>
  </si>
  <si>
    <t>Prix littérature Japonaise https://t.co/r7RqrfjAWr</t>
  </si>
  <si>
    <t>Théâtre à la médiathèque https://t.co/xkqOGPSqUW http://t.co/tyfKIja0or</t>
  </si>
  <si>
    <t>Rentrée littéraire https://t.co/YRRTdv86lS http://t.co/LIfSPlvBnk</t>
  </si>
  <si>
    <t>En attendant la rentrée littéraire… https://t.co/q9znIqDAWv http://t.co/TqD7TJyfCl</t>
  </si>
  <si>
    <t>#MardiMusique Partons à la découverte de la beauté atmosphérique de l'artiste électro français #Ocoeur  https://t.co/RaAOWdi9sc</t>
  </si>
  <si>
    <t>Les #JEP2015 c'est dans 3 semaines ! Revivez l'édition 2014 à la #bibliothèque de #Beaune en vidéo https://t.co/MoHyZZvCgt</t>
  </si>
  <si>
    <t>Sympa de venir donner un coup de main pour les #vendanges ! https://t.co/uuynp3jgmR</t>
  </si>
  <si>
    <t>Jusqu'à fin septembre @CedricKlapisch est en tournage dans notre région beaunoise ! La météo actuelle doit offrir de magnifiques images !</t>
  </si>
  <si>
    <t>On découvre l’intérêt de Muriel Barbery pour notre chère région "La Bourgogne, la puissance des saisons" - http://t.co/srFiZSkBin @RTLFrance</t>
  </si>
  <si>
    <t>#VendrediLecture "La vie des elfes" de Muriel Barbery. On y découvre une #Bourgogne surnaturelle ! http://t.co/Cp4PTZ3gdj</t>
  </si>
  <si>
    <t>Rien de mieux qu'une bonne partie de dame chinoises pour ouvrir la bib #jeuxdesociete #pajol #paris18 https://t.co/1aOULlvbrV</t>
  </si>
  <si>
    <t>Le 20e c'est loin, mais c'est bien ! https://t.co/q7xpxDvUXI</t>
  </si>
  <si>
    <t>Aujourd'hui on démarre #MardiMusique avec @xavierrudd et son dernier opus Nanna ! Mélange savoureux de pop et world ! http://t.co/oabtvp28zd</t>
  </si>
  <si>
    <t>#mikado time! #paris18 #pajol #bib2Paris #oldschool https://t.co/DS3IvPpz2Q</t>
  </si>
  <si>
    <t>On fait notre dernier #MardiMusique de la journée avec @IbeyiOfficial. De la soul moderne à l'inspiration sacrée ! http://t.co/8VbCNbrf07</t>
  </si>
  <si>
    <t>En attendant le retour du notre :) https://t.co/k8akxx5KEf</t>
  </si>
  <si>
    <t>La chasse aux meilleurs scores sur Naruto, MK8, OlliOlli, JustDance2015 et Trials fusion, résultats vers 18h http://t.co/GKZBPNC2Ee</t>
  </si>
  <si>
    <t>Pluton, un astre primordial dans l'œuvre de Lovecraft. http://t.co/T6W9XLUIV9 via @Sciences_Avenir</t>
  </si>
  <si>
    <t>Mobiclic, le magazine à cliquer… https://t.co/pFRviI80oR http://t.co/gZ3YYbb11m</t>
  </si>
  <si>
    <t>Po Po Pop Up! https://t.co/Bni49YyoXO</t>
  </si>
  <si>
    <t>A la recherche de lectures pour les études ? Téléchargez gratuitement notre sélection d'ebook ! http://t.co/NujOzXK2N8 #ebookenbib</t>
  </si>
  <si>
    <t>Atelier Light Painting https://t.co/eHWLCLFT8m http://t.co/U6itejrERu</t>
  </si>
  <si>
    <t>Résultats Prix Coup de coeur de coup de soleil https://t.co/lJptDyIq8V</t>
  </si>
  <si>
    <t>https://t.co/HB0mLKOgu7 http://t.co/aT5j0ZdGLN</t>
  </si>
  <si>
    <t>Et en septembre… https://t.co/IOTFx8nme5</t>
  </si>
  <si>
    <t>@bibcanopee nous aussi on a des #lego :) viendez pas nous test! https://t.co/R719QlJFqb</t>
  </si>
  <si>
    <t>Echos de lectures https://t.co/xF7R2WBWE6 http://t.co/oovJaCGcHq</t>
  </si>
  <si>
    <t>#formation #jeuxdesociete ce matin :) https://t.co/141KZCTKJE</t>
  </si>
  <si>
    <t>Des #livresvoyageurs auraient été aperçus ce matin dans le centre de #Beaune ! http://t.co/b8p66OkgGU #bookcrossing http://t.co/hluFsT23fT</t>
  </si>
  <si>
    <t>Les climats de #Bourgogne au Patrimoine mondial de l’#UNESCO : rdv à BONN du 3 au 5 juillet ! Pour suivre le direct http://t.co/csNyYjCZC6</t>
  </si>
  <si>
    <t>C’est l’été, et peut-être bientôt les vacances ! https://t.co/Gd4o3FEODv http://t.co/v88s7Bcjq9</t>
  </si>
  <si>
    <t>Et bien voilà, nous avons bien fait d'inviter Darknation à jouer à la bibli !
Ecouter du metal permet de se détendre http://t.co/Kn24DMvnlk</t>
  </si>
  <si>
    <t>Heureusement, nous les avions photographiées… https://t.co/sqmLzx1sWW</t>
  </si>
  <si>
    <t>C'est une lectrice enthousiasmée par Le sourire des femmes de Nicolas Barreau qui nous le propose en #MardiConseil ! http://t.co/yGZ08Pr2Rx</t>
  </si>
  <si>
    <t>Sélectable de juin: Sport je t'aime moi non plus. Pr les aficionados qui en ont marre de la TV http://t.co/qoYaw2681x http://t.co/e0FMST46DZ</t>
  </si>
  <si>
    <t>Parce que le premier Tweet n'était pas clair, vous pouvez nous suivre sur @instagram maintenant ^^ Quel Swag !
 ----&amp;gt; http://t.co/nkH1OsKUWS</t>
  </si>
  <si>
    <t>Ecoles, bibs et librairies : quand ca marche ! http://t.co/jx19AIc5IH #partenariat #bib2Paris #ecoles</t>
  </si>
  <si>
    <t>#FabLab et #bibliothèque ? Nous participons à une journée d'étude avec @fablabiki . Un projet à suivre à #Beaune ! ;) http://t.co/jskKP9aroW</t>
  </si>
  <si>
    <t>Merci pour l'article @BBFenssib ! Les archives et la bibliothèque de Beaune arrivent sur YouTube http://t.co/aLMmbP7YOp cc @ArchivesBeaune</t>
  </si>
  <si>
    <t>Du tricot dans la ville ! https://t.co/eESx5MYgCA http://t.co/iQ9wo9ex1u</t>
  </si>
  <si>
    <t>@mairie18paris Tout va bien par ici ^^ http://t.co/cSW3gwyCXB</t>
  </si>
  <si>
    <t>“Habillons la ville” : dernières coutures ! https://t.co/opvTiFcBI1 http://t.co/BypCwMwJQC</t>
  </si>
  <si>
    <t>L'info du jour ! https://t.co/Rl6qmsu8xY</t>
  </si>
  <si>
    <t>Moutons (et loups, bien sûr… !) à la bibli https://t.co/JWfMly9N5v http://t.co/SHqOwyaudU</t>
  </si>
  <si>
    <t>Inauguration de l’installation “Habillons la ville” https://t.co/eWY0vd9hvT http://t.co/IS4txe3ML1</t>
  </si>
  <si>
    <t>Applications de modélisation 3D pour tablette  http://t.co/FWC9bJb0FE
@papa75011</t>
  </si>
  <si>
    <t>Habillons la ville, ça se précise… https://t.co/IftQ028UHt http://t.co/jJzUTNM10D</t>
  </si>
  <si>
    <t>Commission Culture : Fête de la Musique 2015 https://t.co/yYlOxgMi5o http://t.co/kFNIZ33Ipj</t>
  </si>
  <si>
    <t>Jazz manouche https://t.co/bRQR2JS2nf http://t.co/2nHeBwWHSK</t>
  </si>
  <si>
    <t>Bonjour à tous,
La médiathèque de Locminé participe à la semaine de la fabrication numérique du Pays de Pontivy.... http://t.co/XsMwLFfwfH</t>
  </si>
  <si>
    <t>Première animation scolaire sur #tablette et c'est le fruit du travail de deux stagiaires en #DUT ! #beaune http://t.co/ZpfZAh5GoG</t>
  </si>
  <si>
    <t>Venez assister à de nombreuses animations tout au long du mois de mai ! #beaune
http://t.co/i9j8BU5EsC http://t.co/OnwAdZHENb</t>
  </si>
  <si>
    <t>« Mirélé et la sorcière », conte musical http://t.co/FRE04AbDY8</t>
  </si>
  <si>
    <t>Mai 2015, Mois de l’architecture http://t.co/mrZqtN6k82</t>
  </si>
  <si>
    <t>Tournoi départemental de jeux vidéos http://t.co/Q3cyXztQiQ</t>
  </si>
  <si>
    <t>Rencontre avec Loul Combres http://t.co/alCFRCybxV</t>
  </si>
  <si>
    <t>Printemps des artistes http://t.co/PpdKgzt515</t>
  </si>
  <si>
    <t>Un petit tour à la bibliothèque départementale… http://t.co/RHsuPnv0WD</t>
  </si>
  <si>
    <t>Des jeux pour les vacances http://t.co/BoOnIhlwXR</t>
  </si>
  <si>
    <t>Le #disquaireday c'est parti ! Venez écouter sur place des #vinyles et même les emprunter ! #Beaune http://t.co/PSozjVyc6l</t>
  </si>
  <si>
    <t>Du #bénévolat à la #bibliothèque pendant les #vacances ? La belle initiative de Camille ! https://t.co/9EluItD85d http://t.co/G8KSZPvKSE</t>
  </si>
  <si>
    <t>A noter ! http://t.co/iEi2M4OM6m</t>
  </si>
  <si>
    <t>La médiathèque lance un concours d'art postal sur le thème du voyage. 
L’art postal (appelé aussi mail art) est... http://t.co/qsy7GQRcju</t>
  </si>
  <si>
    <t>Le nouveau programme de la médiathèque d'avril à juin est arrivé !
A découvrir sur :... http://t.co/Pkh5cjHnSd</t>
  </si>
  <si>
    <t>Une soirée animée ! http://t.co/oTksL0pH6C</t>
  </si>
  <si>
    <t>On a reçu cette toute petite chose :)
#Bib2Paris @neilhimself http://t.co/IWGbkhAaU0</t>
  </si>
  <si>
    <t>Nous vous rappelons qu'il est interdit de lire dans la bibliothèque sans avoir préalablement emprunter le document ! http://t.co/U9oKLJZRMh</t>
  </si>
  <si>
    <t>Venez découvrir en avant-première que le futur, c'est pas toujours joli-joli, surtout quand c'est une dystopie ! http://t.co/56SPGfAygC</t>
  </si>
  <si>
    <t>Les petits lecteurs, pour les enfants de 1 à 3 ans et leurs parents. Ce matin sur le thème de Pâques http://t.co/DQW1N12f4f</t>
  </si>
  <si>
    <t>Ce soir à 18h film sur la #famille pour en rire, demain atelier #scratch (thème ? Famille ! ) : on est au coeur de #familyMW ! @parisbiblio</t>
  </si>
  <si>
    <t>Notre club de lecture jeune se réunit demain à 15h30 ! Club ouvert à tous à partir de 8 ans http://t.co/XeKn0MSzvk  #familyMW #beaune</t>
  </si>
  <si>
    <t>L'#inspirationMW pour nous jouer un morceau ? Ce piano est en libre accès durant notre #exposition sur #Barbara http://t.co/Uo7x1rnM7t</t>
  </si>
  <si>
    <t>Après son passage sur France Bleu Armorique, découvrez les chansons de Mylène Kersante qui s'accompagne à la... http://t.co/w2eaFD7Xjd</t>
  </si>
  <si>
    <t>Gravissez nos 3 étages et découvrez une vue plongeante sur notre Globe manuscrit de 1843 #architectureMW #MuseumWeek http://t.co/q8q8BIXVO9</t>
  </si>
  <si>
    <t>une carte de l'économie circulaire, collaborative solidaire @Paris par l'@APUR_75 http://t.co/Hyp4lUtkj2 #dataviz #accorderies #fablabs</t>
  </si>
  <si>
    <t>Ce soir à partir de 20h on joue à la #bibliothèque ! Soirée jeux spéciale policier
http://t.co/tFHqZQ4Xsj</t>
  </si>
  <si>
    <t>Dans le cadre du Festival International du Film Policier de #Beaune, ne manquez pas à 15h notre projection d'un film de Joon-ho Bong  !</t>
  </si>
  <si>
    <t>Téléchargez gratuitement tous les #ebooks libres de droits contenus dans nos #liseuses http://t.co/AOXeG7xVzK #Beaune #bibliothèque</t>
  </si>
  <si>
    <t>Avec notre service de portage de documents à domicile, cette fois,c'est nous qui venons à vous
http://t.co/KUNmFPEfN9 http://t.co/b7riAhRvhT</t>
  </si>
  <si>
    <t>http://t.co/vJUI8HqtNu Rendez-vous samedi 14 mars à 10h30 pour notre Samedi des moins petits!          #contes #chansons  * Sur réservation*</t>
  </si>
  <si>
    <t>le #roupillon dans la Cabane des petits à @bibhavel, ça devient un incontournable pour les adultes aussi :) #sieste http://t.co/IffbiSB0Ka</t>
  </si>
  <si>
    <t>Samedi 14 mars : journée chargée à la bibli ! http://t.co/o0H8YhcwZ4</t>
  </si>
  <si>
    <t>Exposition sur la chanteuse #Barbara, c'est dans une semaine à la bibliothèque de #Beaune et c'est jusqu'au 16 mai ! http://t.co/j15oEiLFyw</t>
  </si>
  <si>
    <t>Il y a tout ce que vous voulez à la halle #pajol! c'est French touche notre voisin d'en face qui le dit ;) #paris18 http://t.co/vydqoAxtRp</t>
  </si>
  <si>
    <t>Le portail mobile des #bib2Paris (très) bientôt en ligne ! http://t.co/hDa879DyU8 cc @Paris @mairie18paris</t>
  </si>
  <si>
    <t>Devenez la liberté guidant le peuple !  http://t.co/AfL1sMBFHZ #theatre #impro #bib2Paris</t>
  </si>
  <si>
    <t>Apprendre à dessiner avec François http://t.co/RYL89q7okT</t>
  </si>
  <si>
    <t>La @bibhavel envoie tout plein de félicitations à son nouveau jeune papa @MaxGregoire :)</t>
  </si>
  <si>
    <t>Atelier d'écriture à la médiathèque ce samedi 14 février à 14h. 
Avec le GEM l'Harmonie, donnez libre cours à... http://t.co/0Ur3l8C06H</t>
  </si>
  <si>
    <t>Ce soir 19h c'est #speedbooking à la #bibliothèque de #Beaune ! Pour l'occaz nous vous créons des espaces chaleureux http://t.co/rCU2nuCKiH</t>
  </si>
  <si>
    <t>Ah ! l’Amour… toujours l’Amour !!! http://t.co/IITKMxkubM</t>
  </si>
  <si>
    <t>Venez dessiner avec François ! http://t.co/lEaMUP3XR2</t>
  </si>
  <si>
    <t>Si vous aimez le chocolat et la confiture, demain venez chez nous ! #crepesparty #bib2Paris #paris18 https://t.co/D7jUe2TBKp</t>
  </si>
  <si>
    <t>Les samedis numériques sont des rendez-vous de découverte et d’initiation dédiés aux nouvelles technologies de... http://t.co/tAhLgxtOIR</t>
  </si>
  <si>
    <t>A l'occasion de la présentation de l'exposition «Bretonnants Voyageurs », la médiathèque vous invite le samedi 07... http://t.co/AT8RLZRLMR</t>
  </si>
  <si>
    <t>Histoires d'ours, chansons et comptines sont au programme des Petits lecteurs du mois. Rendez-vous samedi 31... http://t.co/oicW82CCuG</t>
  </si>
  <si>
    <t>Vous prendrez bien un petit dessert ? http://t.co/rQBUfhhIY0</t>
  </si>
  <si>
    <t>La future bibliothèque Françoise Sagan est sur Facebook https://t.co/gnq4NROCG7 #bib2Paris #Paris10</t>
  </si>
  <si>
    <t>Rendez-vous samedi 31 janvier ! http://t.co/gJwdzwT7Rb</t>
  </si>
  <si>
    <t>http://t.co/otclaIEF5Z
C'est samedi prochain à 15h @BibHavel  la masterclass JV avec @Sephyr0sS de @SuperPlayLive @gaminglive @BeyondGaming</t>
  </si>
  <si>
    <t>La bibli envahie par les pingouins ! http://t.co/LnMw6bH0dQ</t>
  </si>
  <si>
    <t>Nouveau service ! le prêt sur place des lunettes de lecture pour + d'#accessibilité http://t.co/WLE0BsBzE4</t>
  </si>
  <si>
    <t>Des mots et des images pour parler de la liberté d’expression http://t.co/o91lD9OIMW</t>
  </si>
  <si>
    <t>Des dessins pour Charlie Hebdo http://t.co/0KYOr9vEDj</t>
  </si>
  <si>
    <t>Goûters-Bibli de janvier : il reste des places ! http://t.co/o9SWbQ6929</t>
  </si>
  <si>
    <t>#BibImpro, notre club de théâtre pour tous et toutes, petits et grands !  http://t.co/u9QsWX4ly4 @QueFaireAParis @mairie18paris</t>
  </si>
  <si>
    <t>Vous savez ce qu'elle vous dit, l'équipe de @BibHavel ? Elle vous souhaite à tous une très bonne année ! http://t.co/Z7zMRzCzxq</t>
  </si>
  <si>
    <t>@Sephyr0sS de la team @SuperPlayLive sera présent chez nous pour une masterclass le 31 Janvier. Info ici : http://t.co/QRP4MejXnw</t>
  </si>
  <si>
    <t>des cadeaux de dernière minute ? Passez piocher dans notre boite à dons ! :p :p http://t.co/qmUFgEsBRP</t>
  </si>
  <si>
    <t>Bonnes fêtes de fin d’année ! http://t.co/dnzxBksKwc</t>
  </si>
  <si>
    <t>100 Affiches pour le droit au travail http://t.co/LYhLerGwjB</t>
  </si>
  <si>
    <t>Le Calendrier de l’Avent des bibliothécaires -23 http://t.co/CMocIJxlQb</t>
  </si>
  <si>
    <t>Le Calendrier de l’Avent des bibliothécaires -22 http://t.co/UNaKC1rmWY</t>
  </si>
  <si>
    <t>Attention aux horaires de vacances. La médiathèque est ouverte les 23 et 24 décembre ainsi que les vendredi 2 et... http://t.co/80634lJ4Uz</t>
  </si>
  <si>
    <t>Le Calendrier de l’Avent des bibliothécaires -20 http://t.co/WocDhLJHdG</t>
  </si>
  <si>
    <t>Concours 2015 http://t.co/g5EBge76iB</t>
  </si>
  <si>
    <t>Le Calendrier de l’Avent des bibliothécaires -17 http://t.co/cRt87t4zf4</t>
  </si>
  <si>
    <t>Le Calendrier de l’Avent des bibliothécaires -14 http://t.co/cp79cZ4Mjv</t>
  </si>
  <si>
    <t>Le Calendrier de l’Avent des bibliothécaires -13 http://t.co/So2xyEeXbX</t>
  </si>
  <si>
    <t>Notre @faumel1 est partie pour le Rwanda  avec @IFParis pour parler #JeuxVideo http://t.co/C5m5vFERvp #bib2Paris</t>
  </si>
  <si>
    <t>Le Calendrier de l’Avent des bibliothécaires -8 http://t.co/LH86emGv7C</t>
  </si>
  <si>
    <t>Le Calendrier de l’Avent des bibliothécaires -7 http://t.co/9KqFLiAqDo</t>
  </si>
  <si>
    <t>L'hiver, Le jour le plus court, les formes courtes et la bibliothèque http://t.co/pD1UK0ZZu0</t>
  </si>
  <si>
    <t>L’atelier des lutins de Noël http://t.co/xyAZCGs9pN</t>
  </si>
  <si>
    <t>Un film “coup de coeur” http://t.co/BVJSs5p3zE</t>
  </si>
  <si>
    <t>Noël à la bibliothèque… http://t.co/qEo9vHwVpa</t>
  </si>
  <si>
    <t>Rappel : le Téléthon, c’est aussi à la bibliothèque ! http://t.co/Ekx7qnqEHL</t>
  </si>
  <si>
    <t>Le Calendrier de l’Avent des bibliothécaires -2 http://t.co/1TqViJfj7G</t>
  </si>
  <si>
    <t>Le Calendrier de l’Avent des bibliothécaires http://t.co/Gr8MoLrqTS</t>
  </si>
  <si>
    <t>http://t.co/MeCPEETinW</t>
  </si>
  <si>
    <t>BD Numérique http://t.co/7SadKCuQeC</t>
  </si>
  <si>
    <t>Les Goûters-Bibli monstrueux… http://t.co/YgiDDj2gQw</t>
  </si>
  <si>
    <t>1/2 Le Samedi 22 Novembre dans le cadre des #JMJV c'est la finale de #Ultratournoi avec @KayaneFR @NormanGenius http://t.co/F5bDrCumy0</t>
  </si>
  <si>
    <t>Les tout-petits à la bibli http://t.co/yqZlIe1Vx1</t>
  </si>
  <si>
    <t>#Soundwalk, @Paris dans l’ère du son : balades sonores au fil de voix d'actrices http://t.co/EG59q5e7iv</t>
  </si>
  <si>
    <t>Réservez le vendredi 28 et samedi 29 novembre pour nos prochaines soirées Monge-Jeux ! Au programme les jeux Dixit et Stand Up. #Beaune</t>
  </si>
  <si>
    <t>Madame la Poule : un joli spectacle ! http://t.co/UAFEFMFiwH</t>
  </si>
  <si>
    <t>Bibliothèques, jeux vidéo et stéréotypes de genre : le travail de @legotheque http://t.co/aSUgMcxon1</t>
  </si>
  <si>
    <t>Prix #Goncourt2014 pour "Pas pleurer" de Lydie Salvayre.
#Renaudot pour "Charlotte" de Foenkinos.
Et ils sont déjà dans nos rayons ;)</t>
  </si>
  <si>
    <t>Madame la Poule à Déols… c’est la semaine prochaine ! http://t.co/QrBst45cuu</t>
  </si>
  <si>
    <t>J’ai publié une nouvelle photo sur Facebook http://t.co/qfaZJXOtdy</t>
  </si>
  <si>
    <t>Encore un beau succès pour cette nouvelle soirée Jeux à la médiathèque de Locminé. Merci à Sébastien de la... http://t.co/GBm8DYqbkJ</t>
  </si>
  <si>
    <t>Pour faire suite au titre de meilleur #sommelier de France découvrez autrement le monde du vin avec le manga "Les gouttes de Dieu" ! #Beaune</t>
  </si>
  <si>
    <t>Quand 21 bibliothécaires mis bout à bout sont plus grands que la plus grande tour #Lego http://t.co/p007krCfdn</t>
  </si>
  <si>
    <t>La rentrée littéraire ne vous convient pas ? Réclamez donc ! http://t.co/7JK5EWyUvE #atelierecriture #bib2Paris</t>
  </si>
  <si>
    <t>VOIE DES INDÉS - ÉCLAIRAGE SUR : "Vous êtes tous jaloux de mon jetpack" de Tom Gauld http://t.co/DurJmFEcMw  #voiedesindés</t>
  </si>
  <si>
    <t>Pendant les vacances, la médiathèque organise une nouvelle soirée "jeux", le jeudi 30 octobre de 18h à 21h pour... http://t.co/HOwoXALJmx</t>
  </si>
  <si>
    <t>Ultra Tournoi 2014 : Le Versus Fighting au coeur des bibliothèques #bib2Paris http://t.co/6cCkS7hWm8 via @Yukinokyo</t>
  </si>
  <si>
    <t>Les occupants de la Halle #Pajol par 
@VillaSchweppes http://t.co/jRX6Yq35g5</t>
  </si>
  <si>
    <t>La bibliothèque vous offre des invitations à retirer au RDC @bibhavel pour la première de Victoire, ce soir @GrandParquet #paris18 #theatre</t>
  </si>
  <si>
    <t>Quand une manette ne fonctionne plus, on ne lâche rien http://t.co/dW4Z4ue0Tm</t>
  </si>
  <si>
    <t>Vous vous sentez perdu parmi les 607 romans parus lors de la rentrée littéraire ? 
La médiathèque vous propose... http://t.co/VrDOHo7VtD</t>
  </si>
  <si>
    <t>Coup 2 Pouce @bibhavel avec Aymane et Clément http://t.co/1UFnkmuAx4 #aideauxdevoirs #paris18 #Helpman</t>
  </si>
  <si>
    <t>Gilian,notre stagiaire, s'est prêté au jeu de la critique musicale, à lire ici http://t.co/CKSm9QLbEb #beaune #vinyle http://t.co/nkXF5XCksc</t>
  </si>
  <si>
    <t>La Halle #Pajol ou l'histoire d'un projet urbain, via @Olivier_ASA http://t.co/CHApEqZdnR #paris18 cc @mairie18paris</t>
  </si>
  <si>
    <t>Retour annoncé pour Twin Peaks ! (Re)Découvrez les 2 saisons en les empruntant à la bibliothèque du centre-ville ! http://t.co/pmOA5AyVo5</t>
  </si>
  <si>
    <t>Demandez de nouveaux films ! http://t.co/iTvjgvIP7W</t>
  </si>
  <si>
    <t>Exposition “A la croisée des arts” http://t.co/Nf4Yfefutk</t>
  </si>
  <si>
    <t>Aux livres les petits ! http://t.co/bMd5Sm28qB</t>
  </si>
  <si>
    <t>Rentrée littéraire http://t.co/zo2o5Qs601</t>
  </si>
  <si>
    <t>Commission culture http://t.co/4i9EZUcpCD</t>
  </si>
  <si>
    <t>Un nouvel article sur notre blog pour la #VoiedesIndés ! La critique d'Anti-Glace de Stephen Baxter : http://t.co/18gzNN4UvU</t>
  </si>
  <si>
    <t>Des Goûters-Bibli colorés ! http://t.co/kGXYa0h8sP</t>
  </si>
  <si>
    <t>A la bibliothèque, on peut aussi “surfer”… http://t.co/29tycidZbB</t>
  </si>
  <si>
    <t>La balade des papilles commence dans une 1/2 d'heure ! http://t.co/6vo8iaq00o #Gastronomie #paris18</t>
  </si>
  <si>
    <t>Découvrir un nouvel auteur et l'éditer ça vous intéresse ? Faites partie intégrante de la chaîne du livre : http://t.co/OQn2QxdETF</t>
  </si>
  <si>
    <t>Tournoi du jeu "7 Wonders" cet après-midi à la bibliothèque de Beaune ! Initiation jusqu'à midi et début du tournoi à 14h ! #beaune #cotedor</t>
  </si>
  <si>
    <t>J’ai publié 8 photos sur Facebook, dans l’album Nouvelles Bandes dessinées adultes. Septembre 2014 http://t.co/EJjq5a5Zf6</t>
  </si>
  <si>
    <t>Les Goûters-Bibli sont de retour ! http://t.co/HbHaDvT2s3</t>
  </si>
  <si>
    <t>Le vendredi 26 septembre à 20h00, la médiathèque accueille Jean Marc Michaud, 
conférencier du Domaine de... http://t.co/JW7INXTIgw</t>
  </si>
  <si>
    <t>Les petits lecteurs font leur rentrée : histoires et comptines autour du loup pour les enfants de 1 à 3 ans et... http://t.co/j8znOiJZJZ</t>
  </si>
  <si>
    <t>Amateurs de livres, préparez-vous ! http://t.co/UAz4uYt7BL</t>
  </si>
  <si>
    <t>Très bel article merci @lebienpublic | Bibliothèque : un patrimoine très riche à découvrir http://t.co/xcBjFpz8px</t>
  </si>
  <si>
    <t>Non, on ne mémorise pas moins bien sur liseuse que sur papier ! - http://t.co/qu9dQH7aI4</t>
  </si>
  <si>
    <t>PATRIMOINE, POESIE et LSF. http://t.co/OnCByWEWmP</t>
  </si>
  <si>
    <t>Alain Damasio imagine pour la Keynote d'Apple une nouvelle qui nous renvoie à notre dépendance aux smartphones. http://t.co/5kref9oqn6</t>
  </si>
  <si>
    <t>Découvrez notre foisonnant programme du 20 et 21 septembre pour les Journées du Patrimoine  http://t.co/nyeMVgr9ZE #JEP2014 #Beaune</t>
  </si>
  <si>
    <t>Un “Coup de coeur” des bibliothécaires http://t.co/fTfpSoldsu</t>
  </si>
  <si>
    <t>C'est la rentrée à la médiathèque !!!
Le samedi 06 septembre, nous vous proposons de rencontrer les associations... http://t.co/Nr7PBgp3JP</t>
  </si>
  <si>
    <t>Lettres tricotées-crochetées, la suite… http://t.co/bRmgYYrRdi</t>
  </si>
  <si>
    <t>Lettres tricotées-crochetées, encore la suite (mais c’est bientôt terminé !) http://t.co/1l7ERXRM9c</t>
  </si>
  <si>
    <t>1001 bibliothèques à voir avant de mourir http://t.co/QxjChatlUy via @livreshebdo</t>
  </si>
  <si>
    <t>Lettres tricotées-crochetées, toujours la suite… http://t.co/a9m0nlfZl5</t>
  </si>
  <si>
    <t>Lettres tricotées-crochetées, la suite… http://t.co/qgaT0JoYtn</t>
  </si>
  <si>
    <t>Lettres tricotées-crochetées, la suite… http://t.co/JZETrWpMYe</t>
  </si>
  <si>
    <t>Lettres tricotées-crochetées, toujours la suite… http://t.co/NGMrkv4XIC</t>
  </si>
  <si>
    <t>Lettres tricotées-crochetées, la suite… http://t.co/yW9LGJM3OR</t>
  </si>
  <si>
    <t>Lettres tricotées-crochetées, la suite… http://t.co/4VtYyr9rLb</t>
  </si>
  <si>
    <t>Lettres tricotées-crochetées, la suite… http://t.co/iTD93i2sax</t>
  </si>
  <si>
    <t>Lettres tricotées-crochetées, la suite… http://t.co/LBtg6I5pon</t>
  </si>
  <si>
    <t>Du tricot à la bibli ? Mais pourquoi ? http://t.co/y6bykF1crL</t>
  </si>
  <si>
    <t>L’été, les bibliothécaires ne chôment pas ! http://t.co/EHzL6NMiuf</t>
  </si>
  <si>
    <t>Fans de sciences, découvrez les ebooks gratuits et les applications mis en ligne par la @Nasa http://t.co/kftsik6exN via @ArchimagRedac</t>
  </si>
  <si>
    <t>En ce moment, au Jardin Rosa Luxemburg : des enfants, des livres, des bibliothécaires #Pajol #bib2Paris #paris18 http://t.co/LXhB7TRT5P</t>
  </si>
  <si>
    <t>J’ai publié 18 photos sur Facebook, dans l’album Nocturnes Litteraires 2014 http://t.co/V9iiyBh4kD</t>
  </si>
  <si>
    <t>Notre @delphinesbooks parle de son métier de #Bibliothécaire @bibhavel : de surprises en découvertes #2 - http://t.co/HOCLvEa7sb #bib2Paris</t>
  </si>
  <si>
    <t>Aujourd'hui, activité nettoyage de tags à la médiathèque .... http://t.co/Mkx1JUJQV7</t>
  </si>
  <si>
    <t>Selection de l'été #JV IOS &amp;amp; Android sur le blog http://t.co/W8IN7I8aqG.
Pas de windows phone désolé @MaxGregoire...</t>
  </si>
  <si>
    <t>« And the winners are……. » De gauche à droite : Kevin Lefrancq , Matthieu Marignier,… http://t.co/ZbegBF7FV3</t>
  </si>
  <si>
    <t>Ça se passe dans le 18e. #jensuis #radiomarais http://t.co/CP17SzKfvS</t>
  </si>
  <si>
    <t>Yare yare daze ! Un été 18+ avec le Club manga de @bibhavel #bib2Paris #DetroitMetalCity</t>
  </si>
  <si>
    <t>Venez faire le plein de séries pour cet #été ! #beaune #bourgogne #GoT #Borgen #HeroCorp #HouseOfCards #Broadchurch http://t.co/L1YLdi2E9h</t>
  </si>
  <si>
    <t>Indémodable Daniel Pennac… http://t.co/ciP31RV2GQ</t>
  </si>
  <si>
    <t>Elle est neuve, elle est belle, elle est en bois et elle est au rez-de-chaussée : LA BOITE A DONS. Venez piocher :) http://t.co/QYnYc5WnBt</t>
  </si>
  <si>
    <t>Photos de la Première Guerre mondiale, extraites de la base Mémoire #opendata http://t.co/abj0hzpxZI</t>
  </si>
  <si>
    <t>Quand les collègues reviennent de #vacances ou de mission !  #bib2Paris http://t.co/PqWrQsHVPl</t>
  </si>
  <si>
    <t>Un drone dans ta bib ? http://t.co/LyEKuOyJEF</t>
  </si>
  <si>
    <t>Rue par rue, la carte des films tournés @Paris http://t.co/fGoZjUEEGd</t>
  </si>
  <si>
    <t>4e jour pour Mélanie à l'Ile Maurice, entre jeux vidéo et beaux oiseaux :-) http://t.co/teCbAM1TVB #bib2Paris</t>
  </si>
  <si>
    <t>Aaaah lire au sec quand il pleut dehors... #beaune #bibliothèque #bourgogne #brèves2bib #bibbeaune #memes #lecture http://t.co/nW1HMocRNs</t>
  </si>
  <si>
    <t>1er épisode de la saga Mélanie à Maurice ! http://t.co/yXpgOtmFIn #jeuvidéo #àlautreboutdumonde #bib2paris</t>
  </si>
  <si>
    <t>Une outilthèque rue Pajol ! http://t.co/xnC66jjJR5 #paris18</t>
  </si>
  <si>
    <t>J’ai publié une nouvelle photo sur Facebook http://t.co/TlN2jsBihs</t>
  </si>
  <si>
    <t>Vous connaissez le conte de la princesse Kaguya ? Découvrez-le sur notre blog! http://t.co/zojphhC0de</t>
  </si>
  <si>
    <t>Artothèque : de nouveaux tableaux http://t.co/xvRuqz1RJn</t>
  </si>
  <si>
    <t>OFFRE D’EMPLOI – APPEL A CANDIDATURE http://t.co/kZ8NsOXGAG</t>
  </si>
  <si>
    <t>La machine qui va peut-être révolutionner les bibliothèques,  via @missmedia57 http://t.co/Pq5v9BsT7n</t>
  </si>
  <si>
    <t>Jusqu'au 27 juillet venez profiter du #festival international d' #opéra baroque et romantique de #Beaune 
http://t.co/I62mqaAu1G</t>
  </si>
  <si>
    <t>COMMISSION CULTURE. http://t.co/TLG0D8QRF8</t>
  </si>
  <si>
    <t>PRIX DE LITTERATURE JAPONAISE. http://t.co/kNFU7oEI3P</t>
  </si>
  <si>
    <t>IMAGES. http://t.co/caK5GUHSTu</t>
  </si>
  <si>
    <t>La future bibliothèque universitaire sera ouverte à tous - Le Parisien via @CyrZbib http://t.co/7zQSqWzHYy</t>
  </si>
  <si>
    <t>Utilisation des tablettes numériques en bibliothèque http://t.co/22FbohIBSs</t>
  </si>
  <si>
    <t>.@QueFaireAParis se géolocalise ! http://t.co/GlVFMyXNMF #paris #bib2Paris</t>
  </si>
  <si>
    <t>Petite annonce https://t.co/fz5tDPlFf8</t>
  </si>
  <si>
    <t>Stage pratique de vidéo pour les jeunes à La Chapelle du 7 au 11 juillet  #gratuit #paris18 http://t.co/0tVZqVj5CE</t>
  </si>
  <si>
    <t>Un EPN utile pour les personnes de la rue  @Paris : Agora Emmaüs Solidarité  http://t.co/d5qEkEyKRJ</t>
  </si>
  <si>
    <t>Buvard, le premier #roman de @JuliaKerninon s'apprête à devenir un livre voyageur ! #beaune #bourgogne #bookcrossing http://t.co/AAKSP5qH4y</t>
  </si>
  <si>
    <t>La gamification, ou quand les techniques de management puisent leur inspiration dans les jeux-vidéos http://t.co/meuO4ONpE7</t>
  </si>
  <si>
    <t>Fin de saison pour 1,2,3 albums http://t.co/RRb3qFwhxI</t>
  </si>
  <si>
    <t>Solidarités et numérique http://t.co/6TOPyEjCQc</t>
  </si>
  <si>
    <t>La Médiathèque est ouverte au public aujourd'hui de 16h à 19h0 et demain samedi 31 mai de 10h à 12h30 et de 13h30... http://t.co/lTsCRuCyol</t>
  </si>
  <si>
    <t>Nos Livres voyageurs circulent déjà ! Suivez-les ici  http://t.co/Z31SwEHjh9 #beaune #bookcrossing #livrevoyageur #bibliotheque</t>
  </si>
  <si>
    <t>Les #Livres voyageurs sont lâchés dans #Beaune ! Amusez-vous à les trouver. Reconnaissez-vous l'endroit ? #bourgogne http://t.co/eIhVuvkDd9</t>
  </si>
  <si>
    <t>AUX LIVRES LES PETITS. http://t.co/3hIVLPmpoM</t>
  </si>
  <si>
    <t>SPECTACLE PETITE ENFANCE. http://t.co/V1EYuzBOr5</t>
  </si>
  <si>
    <t>JAZZ. http://t.co/HdY2nWd7Vy</t>
  </si>
  <si>
    <t>Promenades entre #LaChapelle et la rotonde de la Villette le 30 mai et 1er juin http://t.co/LUzhtTmvv5 #paris18 #paris19</t>
  </si>
  <si>
    <t>http://t.co/u3qR0njQwh</t>
  </si>
  <si>
    <t>Découverte hier de l'excellent @OpenFoodFactsFr à l'@EPNRelais59 ! Ou comment décrypter le contenu de nos assiettes. Bientôt à Vaclav Havel!</t>
  </si>
  <si>
    <t>Stage gratuit de tournage vidéo, du 7 au 11 juillet @AJ_Pajol pour les 11-15 ans  par la Cie du Son des rues.#paris18</t>
  </si>
  <si>
    <t>Voilà l’hôtel dans lequel notre collègue @faumel1 résidera lors de son intervention sur le #JeuVidéo à l'Ile Maurice http://t.co/Q8Z7Pe3pKv</t>
  </si>
  <si>
    <t>Du 15 mai au 28 juin, l'espace Niemeyer @Paris expose "Tardi, putain de guerre !" http://t.co/pcQVZXVlEM #paris19 #BD</t>
  </si>
  <si>
    <t>Jusqu'au 7 juin, venez découvrir les 50 photos sélectionnées dans le cadre du concours du Photoclub de Locminé.... http://t.co/G7y89cw25m</t>
  </si>
  <si>
    <t>Jeux vidéo et droit d'auteur en bibliothèque, par @fourmeux et @Calimaq http://t.co/KN1Gti8Lah</t>
  </si>
  <si>
    <t>L'Afrique dans tous ses états, c'est plein d’événements aujourd'hui au @fgobarbara http://t.co/zl5sfpRLUT #paris18 #concerts #photo</t>
  </si>
  <si>
    <t>Système DIY: « Do It Yourself » | Art-Sciences | @scoopit via @paperliacu http://t.co/mfPxzgsDlT</t>
  </si>
  <si>
    <t>Nous aussi nous avons notre #montéedesmarches ! 30 nouveaux DVD ! http://t.co/CqKuLjmwTX  #beaune #Cannes2014 http://t.co/WqcZvuEhlT</t>
  </si>
  <si>
    <t>Concentration maximale pour le 1er atelier #origami ! Retrouvez d'autres photos ici : http://t.co/PV002QwGG6 #beaune http://t.co/fFypR2vzRN</t>
  </si>
  <si>
    <t>invitations à gagner pour le théâtre des Abbesses : "Nos occupations" de David Lescot et la Cie du Kairos http://t.co/Ij9Ft7u6sd #paris18</t>
  </si>
  <si>
    <t>C'est la commémoration de l'abolition de l'esclavage, rdv à 18h sur l'esplanade et furetez ds notre sélection au rdc http://t.co/7fGHLpfPkT</t>
  </si>
  <si>
    <t>Qu'est ce qu'un Coding Atelier? | @scoopit http://t.co/mIhdXDx4VT</t>
  </si>
  <si>
    <t>Mairie du 18e - L'Accorderie fête son 1er anniversaire | @scoopit http://t.co/9HpxuzDxuI</t>
  </si>
  <si>
    <t>Conférence-débat sur la gentrification des quartiers populaires le 15 mai @bibhavel http://t.co/mx99yfAh4D #PEAV</t>
  </si>
  <si>
    <t>Vous aimez la BD, vous aimez la Musique ? Votez pour le prix @Bulleszik ! http://t.co/d2dpDLy7oT</t>
  </si>
  <si>
    <t>Protégez-vous sur les réseaux sociaux : le guide complet ! | @scoopit via @fdebailleul http://t.co/tBNr0EApW6</t>
  </si>
  <si>
    <t>Graines urbaines, un projet transmedia, sur le thème de l’agriculture urbaine | @scoopit via @Toitsverts http://t.co/7QBpfPESPg</t>
  </si>
  <si>
    <t>Atterrissage réussi sur Twitter pour la navette #bibbeaune ! Le contact avec #beaune est encore faible,@archivesbeaune peuvent-elles aider ?</t>
  </si>
  <si>
    <t>La médiathèque propose à ses adhérents de découvrir (et de lire) la sélection du Prix du livre Inter. Premier... http://t.co/DqGRKMal8u</t>
  </si>
  <si>
    <t>AUX LIVRES LES PETITS. http://t.co/lJy9MCrzh7</t>
  </si>
  <si>
    <t>NOUVEAUX PÉRIODIQUES JEUNESSE. http://t.co/m53JRa3U5G</t>
  </si>
  <si>
    <t>MARC FRANCOIS. http://t.co/qsLLhkA7uo</t>
  </si>
  <si>
    <t>L'astronomie se la raconte ! Beau site à fouiller, en attendant l'expo sur les @bergesdeseine #Paris http://t.co/heQNFBQ67H</t>
  </si>
  <si>
    <t>Infographie : découvrez ce qui se passe sur internet en une minute http://t.co/jHHnKwVuqE via @pressecitron</t>
  </si>
  <si>
    <t>Demain, randonnez dans @Paris sur le thème du mobilier urbain http://t.co/1jb5lSHsX8 avec @@ffrandonnee via @QueFaireAParis</t>
  </si>
  <si>
    <t>Au @Cinema_Louxor ce soir, vous pourrez rencontrer Jacques #Higelin ! http://t.co/KonR77FpGD #75018</t>
  </si>
  <si>
    <t>Le Campus Condorcet à La Chapelle http://t.co/1a1yOV8tJj #75018</t>
  </si>
  <si>
    <t>Wiki-Rennes, autoportrait d'un territoire par ses habitants - WikiRennes | @scoopit http://t.co/aZz1TaG78K</t>
  </si>
  <si>
    <t>Etudes d'excellence en  cinéma, photo, son  à l’Ecole Louis-Lumière via @PlaineCommune http://t.co/TkpuigqeqA</t>
  </si>
  <si>
    <t>Expo photo "les gens de la tour" 32 avenue de la porte Montmartre https://t.co/28lhSiVIph #PEAV #75018 @paris</t>
  </si>
  <si>
    <t>Littérature et Culture libre : une rencontre à réinventer ? | @scoopit http://t.co/PCuulVCEYQ</t>
  </si>
  <si>
    <t>Géniale utilisation de la suggestion de mots de Google par @amnestyfrance https://t.co/Ho99fzveGu</t>
  </si>
  <si>
    <t>La #bib2Paris Jacqueline de Romilly  http://t.co/84EPRBE9b2 cc @missbouquin</t>
  </si>
  <si>
    <t>Pour que lire ne soit pas un souci pour vos lombaires ! https://t.co/RahAqNkurs #bib2Paris</t>
  </si>
  <si>
    <t>ouverture des jardins de la Halle Pajol !!!  http://t.co/DOzE5Xv8bB</t>
  </si>
  <si>
    <t>notre 1700e tweet met @BibHavel et @MrGeraud à l'honneur ! via @eurogamer http://t.co/P2Bs2oGOsF #Pajol #jeuxVidéo</t>
  </si>
  <si>
    <t>[Le Courrier de l'Architecte] Une église transformée en bibliothèque à Québec : une... | @scoopit via @missmedia57 http://t.co/sUUU76RxKu</t>
  </si>
  <si>
    <t>Comment les jeux vidéo tentent de vous rendre accros - Arrêt sur images | @scoopit via @Vanessa_Lalo http://t.co/6Xnhy29Y3n</t>
  </si>
  <si>
    <t>Deezer intègre dans son catalogue des centaines de concerts radio de musique classi... | @scoopit via @missmedia57 http://t.co/1x8xNF2LCz</t>
  </si>
  <si>
    <t>Le livre numérique en bibliothèque | Liv num gers 2014 | @scoopit via @tommygunn10 http://t.co/axJuAuAmfb</t>
  </si>
  <si>
    <t>Appel à projets Éducation populaire pour et par les jeunes : Pratiques numériques, lieux innovants e... | @scoopit http://t.co/Z8JpEjOixv</t>
  </si>
  <si>
    <t>Journée mondiale du conte, dans le 19e http://t.co/Fm73Tg2Ide via @lavilledesgens avec la #bib2Paris Crimée</t>
  </si>
  <si>
    <t>Le Café-Lecture de mars http://t.co/B3TiHRqfCU</t>
  </si>
  <si>
    <t>Ce fut un beau Carnaval… http://t.co/GvIiqQ5FeA</t>
  </si>
  <si>
    <t>"Berlin, futur antérieur", expo photo d'Olivier Dovergne autour du cycle Berlin Magnetique @Forumdesimages  http://t.co/uT55Hw1ldu</t>
  </si>
  <si>
    <t>Martin Parr offre #Paris à la @mep_paris http://t.co/Us1hIAeRAX via @e_lorac</t>
  </si>
  <si>
    <t>Livre numérique : Prêt Numérique en Bibliothèque (PNB), c’est parti ... http://t.co/I7bURob9lJ via @IDBOOX</t>
  </si>
  <si>
    <t>Ebook : Les bibliothèques parisiennes s’équipent de tablettes et liseuses http://t.co/lqCbO6f8fo via @IDBOOX</t>
  </si>
  <si>
    <t>Ceci n'est pas un roman. C'est un récit... rocambolesque. Le récit d'un voyage dans l'imaginaire, c'est-à-dire... http://t.co/NyqiTMcN8S</t>
  </si>
  <si>
    <t>Le concours de soupe, c'est maintenant ! N'hésitez pas à passer nous voir à l'espace La Maillette http://t.co/B6vknEbul0</t>
  </si>
  <si>
    <t>Une bibliothèque en ligne pour les aveugles | Belgique - lesoir.be http://t.co/rGgUHgbw1o via @lesoir</t>
  </si>
  <si>
    <t>OFFRE D’EMPLOI – APPEL A CANDIDATURE http://t.co/YmVOeZ6Du7</t>
  </si>
  <si>
    <t>Samedi dernier avait lieu notre deuxième club des lecteurs. Toujours autant de partages, de rire et de coups de cœur: http://t.co/xx0uvW0CnT</t>
  </si>
  <si>
    <t>J-L Missika - Quels projets pour les bibliothèques à Paris ? | @scoopit http://t.co/qMk20n5YR4</t>
  </si>
  <si>
    <t>Une nuit au musée... dans la peau d'un robot ! http://t.co/8tV2xR9GS5…-dans-la-peau-dun-robot-!.aspx</t>
  </si>
  <si>
    <t>5000 affiches de pubs vintage tombées dans le domaine public en téléchargement gratuit via @bellskinner http://t.co/TlniwGV4tA</t>
  </si>
  <si>
    <t>Livres-applications jeunesse : quand complémentarité rime avec interactivité http://t.co/HcGMm5MMA0 via @IDBOOX</t>
  </si>
  <si>
    <t>Concours de soupes Février 2014 : bulletin d'inscription http://t.co/KvQGzSsIZn</t>
  </si>
  <si>
    <t>Le concours de soupes a lieu ce samedi 22 février à la salle de la Maillette de Locminé de 11 h à 16 h.
Vous... http://t.co/IMVhPkVgog</t>
  </si>
  <si>
    <t>L'aventure du "Prêt numérique en bibliothèque" à Aulnay-sous-Bois | @scoopit http://t.co/fBZ3SmgBr7</t>
  </si>
  <si>
    <t>L'e-album sur Henri Cartier-Bresson du @centrepompidou est #gratuit aujourd'hui ! https://t.co/pXZAOjExVd #photo #expo #gratuit</t>
  </si>
  <si>
    <t>Un service de la bibliothèque : l'accès Internet gratuit http://t.co/uKFHkJWX7F</t>
  </si>
  <si>
    <t>Tous les albums de De la Soul en ligne gratuitement pendant 24 heures http://t.co/LCIY0jpwT5 via @telerama</t>
  </si>
  <si>
    <t>@Paris fait appel aux talents des assos pour sensibiliser à la prévention des déchets http://t.co/VkXJiTg4nz #paris</t>
  </si>
  <si>
    <t>J’ai publié une nouvelle photo sur Facebook http://t.co/xOyyDmJDs0</t>
  </si>
  <si>
    <t>J’ai publié une nouvelle photo sur Facebook http://t.co/nP0AEzLhii</t>
  </si>
  <si>
    <t>Les derniers jours pour ces expos http://t.co/dEyKz8jydD. On recommande #Depardon au @GrandPalaisRmn cc @QueFaireAParis</t>
  </si>
  <si>
    <t>@paris en vélo, on dépasse les autos cc @Velib et @Mappy http://t.co/isv56nyFRg</t>
  </si>
  <si>
    <t>les programmes scolaires de la 6e à la terminale en accès libre et gratuit http://t.co/puNMkOv35K via @pressecitron</t>
  </si>
  <si>
    <t>13 cours informatique (logiciels libres) et Internet en libre accès | NetPublic | @scoopit http://t.co/oUepR1oGEZ</t>
  </si>
  <si>
    <t>la soirée Paris jeunes Talents c'est ce soir au @fgobarbara  http://t.co/MYgf7R4khW cc @Paris #75018</t>
  </si>
  <si>
    <t>http://t.co/sbiiZ79P48</t>
  </si>
  <si>
    <t>Décrypter le jargon du web-documentaliste par @claudedechauny sur le blog de Médiathèque Françoise Sagan #bib2Paris http://t.co/i53HvLegM5</t>
  </si>
  <si>
    <t>Pourquoi saute-t-on dans les jeux vidéo?  http://t.co/nWZDV0EU0f</t>
  </si>
  <si>
    <t>Une sélection de livres, musiques, et sites sur la Grande Guerre, made in #bib2Paris http://t.co/06J0gwjZY6 cc @parisbiblio  @paris</t>
  </si>
  <si>
    <t>La circulation des #livres @Paris http://t.co/ltlluqVKMd #bookcrossing</t>
  </si>
  <si>
    <t>En partenariat avec l'office de tourisme de Locminé St-Jean, la médiathèque de Locminé participe au 4ème concours... http://t.co/B38hlAwWJp</t>
  </si>
  <si>
    <t>L'évenement du jour, c'est le Tournoi Fifa à la @bibhavel, à 14h30 ! avec @MrGeraud @MaxGregoire et l'aimable participation de @papa75011 ;)</t>
  </si>
  <si>
    <t>Le cinéma à 4 euros pour les moins de 14 ans @paris http://t.co/Pd07ON4RnB</t>
  </si>
  <si>
    <t>Lire un bon livre stimule longtemps le cerveau | Slate http://t.co/9aL70hghN5</t>
  </si>
  <si>
    <t>@cyberhyene merci! #mieuxvauttardquejamais</t>
  </si>
  <si>
    <t>Parcourir @paris depuis son canapé  http://t.co/izaYnqVwpd</t>
  </si>
  <si>
    <t>Habiletés en jeu : le film présenté à l'expo Jeu vidéo de la @citedessciences http://t.co/Q3nPYQJNQy via @universcienceTV</t>
  </si>
  <si>
    <t>Un requin qui vous envoie un tweet pour vous prévenir http://t.co/HAJrZ14OoL via @pressecitron</t>
  </si>
  <si>
    <t>Jouer à Super Mario augmente le volume de matière grise | @scoopit via @Vanessa_Lalo http://t.co/Nqu0kCs0zu</t>
  </si>
  <si>
    <t>[Infographie] Les chiffres du marché du jeu vidéo en France | @scoopit http://t.co/0MSDTdcUNW</t>
  </si>
  <si>
    <t>IPAD et LISEUSE. http://t.co/q22UcSh336</t>
  </si>
  <si>
    <t>WINDOWS 8. http://t.co/mV40H7GRIt</t>
  </si>
  <si>
    <t>La "Parade" des jouets au Musée des Arts décoratifs http://t.co/45ib4O9QDf via @Culturebox</t>
  </si>
  <si>
    <t>J’ai publié 13 photos sur Facebook, dans l’album Expo Art floral Ré-Créations http://t.co/UH1OUND6Rp</t>
  </si>
  <si>
    <t>Retroussez vos pantalons à la mémoire de Vaclav Havel  http://t.co/Cui3QxKis5 via @RadioPrague</t>
  </si>
  <si>
    <t>Bientôt un quatrième tome du polar suédois « Millénium » | @scoopit http://t.co/ymTExVTGZb</t>
  </si>
  <si>
    <t>La Première Guerre mondiale à travers la littérature de jeunesse | @scoopit via @PatrickProvench http://t.co/E5pY1AeVn4</t>
  </si>
  <si>
    <t>Une carte interactive du voyage d'Ulysse  http://t.co/dQqhz0vZCX via @ActuaLitte</t>
  </si>
  <si>
    <t>Exposition de photos du quartier La chapelle à la librairie Le Rideau Rouge #PEAV https://t.co/75Kuh39Y9H</t>
  </si>
  <si>
    <t>Apprendre le français avec les smileys #FLE http://t.co/tiI9zDn71a via @netpublic</t>
  </si>
  <si>
    <t>Créer des serious Games pour valoriser vos établissements par @mediaenlab http://t.co/qTu2yRswfn</t>
  </si>
  <si>
    <t>le simulateur de conducteur de métro parisien ... http://t.co/EpgS5YxpcR via @Paris</t>
  </si>
  <si>
    <t>L'exposition "Nouvelles histoires pour vieux bouquins" est toujours en place http://t.co/nqcAg0K0n8</t>
  </si>
  <si>
    <t>Expo aux archives de Paris sur le tramway de Belleville http://t.co/r6CAuzhAsk</t>
  </si>
  <si>
    <t>Quand les grands (aussi) écoutent des histoires... http://t.co/TU4JKqepMR</t>
  </si>
  <si>
    <t>Mon copain Gargantua : un spectacle "énoooorme" http://t.co/sHmQi7KV5C</t>
  </si>
  <si>
    <t>J’ai publié une nouvelle photo sur Facebook http://t.co/fL7oSCQD6S</t>
  </si>
  <si>
    <t>Une exposition à la page... http://t.co/yrLNto2XaA</t>
  </si>
  <si>
    <t>Pascale Chatiron lit à la bibliothèque de Déols http://t.co/K0XQYYC7zx</t>
  </si>
  <si>
    <t>J’ai publié 4 photos sur Facebook, dans l’album Inauguration de l'espace "La Maillette" http://t.co/WfZ6muz6Sp</t>
  </si>
  <si>
    <t>AUX LIVRES LES PETITS. http://t.co/z1HqcQgysZ</t>
  </si>
  <si>
    <t>Spectacle de Magie. http://t.co/eIBLV0uvgm</t>
  </si>
  <si>
    <t>LE PORTAGE A DOMICILE. http://t.co/ilf0qaLL3A</t>
  </si>
  <si>
    <t>J’ai publié une nouvelle photo sur Facebook http://t.co/QhMEGNM0Y5</t>
  </si>
  <si>
    <t>J’ai publié une nouvelle photo sur Facebook http://t.co/dvkqBwf8om</t>
  </si>
  <si>
    <t>J’ai publié une nouvelle photo sur Facebook http://t.co/rYozahXbVZ</t>
  </si>
  <si>
    <t>Ca swingue à la bibli ! http://t.co/sAWIcoZOpe</t>
  </si>
  <si>
    <t>J’ai publié une nouvelle photo sur Facebook http://t.co/oZpcisRWWP</t>
  </si>
  <si>
    <t>J’ai publié une nouvelle photo sur Facebook http://t.co/q0WGldOeIK</t>
  </si>
  <si>
    <t>J’ai publié une nouvelle photo sur Facebook http://t.co/hQNV5JzrHd</t>
  </si>
  <si>
    <t>Ce matin, championnat Lol en Bib avec la rencontre Locminé / Pluvigner
Victoire de l'équipe de Pluvigner... http://t.co/h5XBJaLWR1</t>
  </si>
  <si>
    <t>Pont de la Toussaint http://t.co/zecH0Yi9kx</t>
  </si>
  <si>
    <t>Le Conseil Municipal de Locminé organise une soirée jeux de société et jeux vidéo à la médiathèque, le jeudi 24... http://t.co/b6DQG3Zbny</t>
  </si>
  <si>
    <t>Dans le cadre des samedis numériques, la médiathèque propose, le samedi 05 octobre à 11h, un atelier de... http://t.co/LA4eo1Pife</t>
  </si>
  <si>
    <t>Des Goûters-Bibli sous le signe des félins http://t.co/HCeXOD0HcU</t>
  </si>
  <si>
    <t>Vente de livres automnale sous un soleil d'été ! http://t.co/87aIsSiNeY</t>
  </si>
  <si>
    <t>ATELIERS DES PETITES MAINS. http://t.co/AAi4xh0s5D</t>
  </si>
  <si>
    <t>Pour trouver d'autres idées de lecture... http://t.co/6tpJGELnGE</t>
  </si>
  <si>
    <t>Une exposition textile et poétique à la bibliothèque http://t.co/mSSlC4piEY</t>
  </si>
  <si>
    <t>Vous êtes invités ! http://t.co/Vp5jRqr9I7</t>
  </si>
  <si>
    <t>RENTREE LITTERAIRE. http://t.co/GPKWg18H7W</t>
  </si>
  <si>
    <t>AUX LIVRES LES PETITS ! http://t.co/Y0WIDs5ysc</t>
  </si>
  <si>
    <t>Enfin ! les travaux sont terminés ! http://t.co/uvmfClqsxZ</t>
  </si>
  <si>
    <t>Une dernière photo des travaux... http://t.co/llWLc0WbNu</t>
  </si>
  <si>
    <t>Les Nocturnes littéraires, organisées par le conseil général du Morbihan sont un excellent moyen de mettre en... http://t.co/CrQJyS2qqu</t>
  </si>
  <si>
    <t>Les travaux de la bibliothèque... et les vacances ! http://t.co/B3zzHUP9J2</t>
  </si>
  <si>
    <t>Le vendredi 26 juillet, à partir de 18 heures, une cinquantaine d'écrivains s'installeront à Locminé, sur la place... http://t.co/r8fpHJxI9b</t>
  </si>
  <si>
    <t>La bibliothèque est toujours fermée ? Alors allez danser ! http://t.co/kgMvRRySEx</t>
  </si>
  <si>
    <t>A l'occasion du Tour de France, la médiathèque vous propose une heure du conte consacrée aux vélos.
Mercredi... http://t.co/m1wZ95Zmef</t>
  </si>
  <si>
    <t>Livres et lecture : les bibliothécaires n'ont pas le monopole du savoir... http://t.co/2yGc3WglRI</t>
  </si>
  <si>
    <t>J’ai publié une nouvelle photo sur Facebook http://t.co/84YMCGkz8c</t>
  </si>
  <si>
    <t>Bibliothèque en TRAVAUX du 10 juin au 26 août 2013 http://t.co/D4npqFGr58</t>
  </si>
  <si>
    <t>Bibliothèque en travaux : c'est parti pour la démolition ! http://t.co/ISxCbk5Rko</t>
  </si>
  <si>
    <t>La bibliothèque telle que vous ne la verrez pas... http://t.co/wpURCMmi88</t>
  </si>
  <si>
    <t>SPECTACLE PETITE ENFANCE. http://t.co/8TzbpkHEzI</t>
  </si>
  <si>
    <t>Qu'adviendra-t-il des bibliothèques et médiathèques dans quelques années ? | Ile de France 2030 http://t.co/Yv5bdA1l11</t>
  </si>
  <si>
    <t>Voici les résultats nationaux du grand prix des incorruptibles !
Félicitation à Laetitia Le Saux et Stéphane... http://t.co/1xwqB3vjOj</t>
  </si>
  <si>
    <t>Découvrez UBUNTU,
Un système d’exploitation libre, intuitif, rapide, sécurisé, gratuit.
Samedi 8 juin à... http://t.co/8CkZVyjkfA</t>
  </si>
  <si>
    <t>un tournoi League of Legend  a Pontivy ! http://t.co/81Zc1WKlHu</t>
  </si>
  <si>
    <t>Adolire à la mediatheque de languidic http://t.co/iURBBDivZV</t>
  </si>
  <si>
    <t>20 minutes - A 14 ans, elle pose un solo qui met Van Halen minable - Insolite http://t.co/1zNuj07wMm</t>
  </si>
  <si>
    <t>J’ai publié une nouvelle photo sur Facebook http://t.co/erc43DyokV</t>
  </si>
  <si>
    <t>Fin des votes pour le prix des Incorruptibles 2013 à Locminé !
Premier prix de littérature jeunesse, il est... http://t.co/bqoZXJQKY9</t>
  </si>
  <si>
    <t>EXPOSITION PAULINE COMIS. http://t.co/N0MYLh1VLo</t>
  </si>
  <si>
    <t>LECTURE PUBLIQUE A VOIX HAUTE. http://t.co/11NKH1pBQK</t>
  </si>
  <si>
    <t>Découvrir le programme — Fête de la Nature 2013 http://t.co/4T7d4Plltn</t>
  </si>
  <si>
    <t>Les inscriptions sont ouvertes pour les ateliers scrapbooking le samedi 25 mai  avec l’Étoile Créative. Thème :... http://t.co/6E42oZNnTm</t>
  </si>
  <si>
    <t>J’ai publié 3 photos sur Facebook, dans l’album Le prix des incorruptibles 2012-2013 http://t.co/0TfezD7iI1</t>
  </si>
  <si>
    <t>On a voté à la bibliothèque ! http://t.co/DFBO63cf8R</t>
  </si>
  <si>
    <t>http://t.co/3rQ3MtV2Rn</t>
  </si>
  <si>
    <t>Café-Lecture du 4 mai http://t.co/BL8USaJDGB</t>
  </si>
  <si>
    <t>Concours Photo organisé par les médiathèques de Locminé Communauté.
Thème : Le patrimoine de Locminé Communauté.... http://t.co/oYFRRbO2og</t>
  </si>
  <si>
    <t>Le Café-Lecture de mai http://t.co/brpk5vXANS</t>
  </si>
  <si>
    <t>J’ai publié une nouvelle photo sur Facebook http://t.co/RJZmGrIYKk</t>
  </si>
  <si>
    <t>LE MERCREDI DES PETITS. http://t.co/8F5OsGUIdw</t>
  </si>
  <si>
    <t>J’ai publié une nouvelle photo sur Facebook http://t.co/8oNoq7VqwV</t>
  </si>
  <si>
    <t>J’ai publié une nouvelle photo sur Facebook http://t.co/n9mExR7If5</t>
  </si>
  <si>
    <t>http://t.co/zYim1vCf2a</t>
  </si>
  <si>
    <t>J’ai publié une nouvelle photo sur Facebook http://t.co/TQ2vDdljJe</t>
  </si>
  <si>
    <t>Quand les albums sont racontés par les collégiens..., 4ème partie http://t.co/4Hpwk7uMSv</t>
  </si>
  <si>
    <t>J’ai publié 15 photos sur Facebook, dans l’album http://t.co/Q4FdqzWpQk</t>
  </si>
  <si>
    <t>J’ai publié une nouvelle photo sur Facebook http://t.co/aTzM5lMU1u</t>
  </si>
  <si>
    <t>http://t.co/cKh4fbKdl9 http://t.co/6Dh5O3szhy</t>
  </si>
  <si>
    <t>Le printemps est entré à la bibliothèque http://t.co/J9MSjPJFEP</t>
  </si>
  <si>
    <t>ATELIER POP UP. http://t.co/k79yIU9O4G</t>
  </si>
  <si>
    <t>Quand les lecteurs nous font découvrir des livres... http://t.co/ku2LmUjs7m</t>
  </si>
  <si>
    <t>Quand les albums sont racontés par les collégiens..., 3ème partie http://t.co/zRyVN1QJen</t>
  </si>
  <si>
    <t>J’ai publié 4 photos sur Facebook, dans l’album http://t.co/K2dLm9Qr9U</t>
  </si>
  <si>
    <t>Jeux à découvrir ou redécouvrir http://t.co/n0vUsKUNii</t>
  </si>
  <si>
    <t>Destins de femmes http://t.co/Rr6gYX9fEs</t>
  </si>
  <si>
    <t>François Le Roch et Vincent Guillemot de l'association Cardamines et libellules présenteront leurs photos et la... http://t.co/wM6ULZ1OPl</t>
  </si>
  <si>
    <t>Retrouvez les coups de cœur de nos lecteurs en suivant le lien suivant :... http://t.co/VfZOl32zMy</t>
  </si>
  <si>
    <t>Dans le cadre de l’animation mutualisée « Inspirations Communes », les médiathèques de Locminé Communauté... http://t.co/6qdwgV7k3t</t>
  </si>
  <si>
    <t>A vos manettes !
Parce que le jeu vidéo compte d'étonnantes et fabuleuses réalisations, parce qu'il est un... http://t.co/tRboCvo1aJ</t>
  </si>
  <si>
    <t>A vos manettes ! http://t.co/cG68mVM98M</t>
  </si>
  <si>
    <t>J’ai publié 11 photos sur Facebook, dans l’album Club les lecteurs http://t.co/zaK6eIqeLH</t>
  </si>
  <si>
    <t>PRINTEMPS DES POETES. http://t.co/xGPfpzSeGe</t>
  </si>
  <si>
    <t>Quelques nouveautés en musique... http://t.co/GFpOzZzJ</t>
  </si>
  <si>
    <t>Prochaine animation jeunesse http://t.co/v1hZgGT3</t>
  </si>
  <si>
    <t>Dans le cadre des samedis numériques, la médiathèque de Locminé propose un atelier de présentation des tablettes... http://t.co/MMOsF353</t>
  </si>
  <si>
    <t>Love you beacht</t>
  </si>
  <si>
    <t>Les premiers Goûters-Bibli de 2013 http://t.co/Y9OH5Zmn</t>
  </si>
  <si>
    <t>LE MERCREDI DES PETITS. http://t.co/uuqwPDMg</t>
  </si>
  <si>
    <t>ATELIER PETITS CARNETS. http://t.co/B77tlIYG</t>
  </si>
  <si>
    <t>RESSOURCE EN LIGNE. http://t.co/L5Jdyiof</t>
  </si>
  <si>
    <t>PORTAGE A DOMICILE. http://t.co/T4r39LWr</t>
  </si>
  <si>
    <t>Partenariat Maternelles - College cet apres-midi a la médiathèque de Locminé. Les grands de 6ème ont lu des contes... http://t.co/XRgW4DG8</t>
  </si>
  <si>
    <t>Nouveaux romans mis en rayon ce mois de janvier, avec une petite faiblesse pour le roman de Robert Goolrick... http://t.co/wc8fvr8b</t>
  </si>
  <si>
    <t>Coups de cœur livres 2012 : La médiathèque invite ses lecteurs à s’exprimer sur les livres qu’ils ont préférés en... http://t.co/xsPBLdyj</t>
  </si>
  <si>
    <t>LE MERCREDI DES PETITS. http://t.co/DvBRuTKo</t>
  </si>
  <si>
    <t>VOS VIDEOS EN LIGNE. http://t.co/GdSzRoy2</t>
  </si>
  <si>
    <t>"Coups de coeur" des bibliothécaires http://t.co/MaizeuOq</t>
  </si>
  <si>
    <t>Reprise de l'heure du conte à la médiathèque
Mercredi 16 janvier à 11h !
Spécial Galettes et Rois http://t.co/jIXEmyA7</t>
  </si>
  <si>
    <t>Reprise de l'heure du conte à la médiathèque
Mercredi 16 janvier à 11h !
Spécial Galettes et Rois http://t.co/FXMJ1Y2v</t>
  </si>
  <si>
    <t>Heure du conte de janvier 2013 http://t.co/KwsoLzsb</t>
  </si>
  <si>
    <t>Jours de fermeture pour les fêtes de fin d'année 2012 http://t.co/PeHN8Wyg</t>
  </si>
  <si>
    <t>Mam'zelle Miro Bolante était à Déols... http://t.co/OruYdRbC</t>
  </si>
  <si>
    <t>http://t.co/MFPnSmnH</t>
  </si>
  <si>
    <t>le CD des Clap est sorti ! contactez Karine Conan</t>
  </si>
  <si>
    <t>Le mois du doudou c'est jusqu'au 22 décembre à la médiathèque ! Il reste des places pour l'atelier doudou... http://t.co/KxRvT9vs</t>
  </si>
  <si>
    <t>Lectures de textes sur le thème de l'enfance http://t.co/wVerlmE9</t>
  </si>
  <si>
    <t>Retrouvez la chronique des livres abordés lors du dernier club des lecteurs du 30 novembre dernier : http://t.co/hDphlnKR</t>
  </si>
  <si>
    <t>LECTURE A VOIE HAUTE. http://t.co/I5SPvvyH</t>
  </si>
  <si>
    <t>Des Pères Noël plein la bibli ! http://t.co/VexLA5DD</t>
  </si>
  <si>
    <t>Pour la fin de l'année... http://t.co/mD02gFSG</t>
  </si>
  <si>
    <t>Fañch Ar Ruz et Florence Drénou en dédicace http://t.co/A3mSqlxj</t>
  </si>
  <si>
    <t>Le club des lecteurs se réunit ce soir à 18 h autour des livres de la rentrée littéraire. Entrée libre. http://t.co/7DgzUWi1</t>
  </si>
  <si>
    <t>Ce soir rencontre avec le dessinateur Mattt Konture 19h médiatheque de Teyran</t>
  </si>
  <si>
    <t>Mais qu'est-ce qu'elle fait ? http://t.co/I0iBLIjo</t>
  </si>
  <si>
    <t>1er Café-Lecture : une rencontre conviviale ! Plus d'infos sur le blog :... http://t.co/76kAqsFu</t>
  </si>
  <si>
    <t>1er Café-Lecture : une rencontre conviviale http://t.co/j7jrqWjA</t>
  </si>
  <si>
    <t>Guitare coco, artisanat d'Indonésie http://t.co/s7TL0vwV</t>
  </si>
  <si>
    <t>Encore quelques photos de l'exposition "Au pays des îles, l'Indonésie...", visible jusqu'au 12 novembre 2012... http://t.co/6bhcxRdp</t>
  </si>
  <si>
    <t>le batik indonésien à la bibliothèque http://t.co/W4oMsCg1</t>
  </si>
  <si>
    <t>http://t.co/fQb0MVEx</t>
  </si>
  <si>
    <t>A vous de jouer ! http://t.co/pALcfXss</t>
  </si>
  <si>
    <t>LE MERCREDI DES PETITS. http://t.co/0u0bStWj</t>
  </si>
  <si>
    <t>LECTURE A VOIX HAUTE. http://t.co/ifyjgWhC</t>
  </si>
  <si>
    <t>Heure du conte du mois d'octobre http://t.co/D3YueOUU</t>
  </si>
  <si>
    <t>Attention : nouvelle méthode à appliquer en bibliothèque... (recommandée par la Drac ou pas !) http://t.co/UJ5kr36u</t>
  </si>
  <si>
    <t>les ressources numériques en bibliothèque http://t.co/kvB0GFrf</t>
  </si>
  <si>
    <t>EXPO PEINTURE. http://t.co/RzezBEk9</t>
  </si>
  <si>
    <t>Exposition "Quand je serai grand" http://t.co/4qr5wDHr</t>
  </si>
  <si>
    <t>Kaïken - Jean-Christophe Grangé http://t.co/N8Da10zQ</t>
  </si>
  <si>
    <t>LE MERCREDI DES PETITS. http://t.co/DuZ2bx36</t>
  </si>
  <si>
    <t>RENTREE LITTERAIRE. http://t.co/O4m6UYEe</t>
  </si>
  <si>
    <t>Atelier vidéo-maton : appel à participation http://t.co/xWxNlNFw</t>
  </si>
  <si>
    <t>http://t.co/icwRM6ed</t>
  </si>
  <si>
    <t>Exposition "Eclats.02 Origin'al" http://t.co/MkUVJxtn</t>
  </si>
  <si>
    <t>Dans les cartons d’Ankama | Imaginarium http://t.co/7GmFRbm2</t>
  </si>
  <si>
    <t>Vient de tester le mind mapping avec MindMeister.
A essayer absolument !
http://t.co/G3Pv8sU0</t>
  </si>
  <si>
    <t>A l'occasion des J.O 2012, voici une petite sélection de romans et documentaires sur Londres. A découvrir à la... http://t.co/a9AZUGPV</t>
  </si>
  <si>
    <t>La ville de Locminé est prête pour les Jeux Olympiques avec sa cabine téléphonique aux couleurs de l'Angleterre ! http://t.co/YPzycRih</t>
  </si>
  <si>
    <t>Atelier StopMotion http://t.co/MaLRdV4K</t>
  </si>
  <si>
    <t>Atelier stop motion: 
Ce matin, la médiathèque proposait son second atelier de « stopmotion »
Le principe consi... http://t.co/EOyc7FeL</t>
  </si>
  <si>
    <t>Avis à tous, il reste des places pour l'atelier de scrapbooking pour les plus de 12 ans, ce samedi à partir de... http://t.co/KqgXsQH1</t>
  </si>
  <si>
    <t>Retour en photo sur le spectacle de l'école Notre Dame du Plasker.
Sacrée performance des enfants !
Bravo à... http://t.co/WSLQNwYx</t>
  </si>
  <si>
    <t>I posted a new photo to Facebook http://t.co/b7IIP6I2</t>
  </si>
  <si>
    <t>N'oubliez pas le concert du célèbre groupe CLAP, vendredi 06 juillet de 19h à 21h, place de la Mairie. Apéritifs et petits fours offerts !</t>
  </si>
  <si>
    <t>Exposition Mémoire du Pays en cartes postales
Du mardi 3 au 28 juillet - Entrée libre
Construite autour de... http://t.co/XSJd1wv9</t>
  </si>
  <si>
    <t>Depuis sa création en 2011, le compte Facebook de la médiathèque de Locminé connaît un réel succès : la barre des... http://t.co/6y8Z2FUJ</t>
  </si>
  <si>
    <t>N.-D.-du-Plasker. Son et lumière, le défi d'une école http://t.co/BGJ8D8Ql</t>
  </si>
  <si>
    <t>Heure du conte du mois de Juillet: 
Chaque mois , la médiathèque de Locminé 
propose des contes et des histoires... http://t.co/oe22e3HL</t>
  </si>
  <si>
    <t>J’ai publié 5 photos sur Facebook, dans l’album Juin 2012 - Atelier remèdes et beauté au naturel http://t.co/nvP1uYbC</t>
  </si>
  <si>
    <t>J’ai publié 7 photos sur Facebook, dans l’album Juin 2012 - Atelier fabrication d'encres végétales http://t.co/bOHS8BS6</t>
  </si>
  <si>
    <t>J’ai publié 6 photos sur Facebook, dans l’album Juin 2012 - Atelier cuisine "Un diner presque sauvage" http://t.co/KdEMudnH</t>
  </si>
  <si>
    <t>Les petits lecteurs: 
Un temps d'histoires, de comptines et de jeux de doigts pour les enfants de 1 à 3 ans ac... http://t.co/TAZqo5aR</t>
  </si>
  <si>
    <t>Bonjour à tous
Il reste des places pour les ateliers "Fabrication d'encres végétales et de cosmétiques naturels"... http://t.co/9VkzGDVN</t>
  </si>
  <si>
    <t>Install'Party à Locminé avec l'association Rhizomes
http://t.co/bCr5b8Nk http://t.co/eUSoW7Zz</t>
  </si>
  <si>
    <t>Prix du télégramme 2012: 
10ème Prix des Lecteurs du Télégramme
Prix Jean-Pierre Coudurier
Le lauréat... http://t.co/ELZXvUuN</t>
  </si>
  <si>
    <t>Concours Photoclub 2012 - En Fête: 
Les membres du jury du 
Photo-club étaient réunis, ce matin, à la médiathèqu... http://t.co/j96gM9ux</t>
  </si>
  <si>
    <t>Avec le mauvais temps qui s'annonce, profitez-en pour faire vos provisions de lecture à la médiathèque...</t>
  </si>
  <si>
    <t>Le prix des incorruptibles: 
A la médiathèque de Locminé, on vote aussi...
pour le prix des incorruptibles.
 http://t.co/mdDsHF0c</t>
  </si>
  <si>
    <t>A la médiathèque de Locminé, on vote aussi...pour le prix des incorruptibles.
Beau score pour "Camille Bouchon et son cochon"
#radiolondres</t>
  </si>
  <si>
    <t>Ateliers divers de formation au multimédia, à la bureautique infos sur place ou au 04 67 16 19 29</t>
  </si>
  <si>
    <t>Atelier Initiation à la peinture: 
Dans le cadre de l'exposition sur les artistes peintres, la 
médiathèque de L... http://t.co/n0XVElm9</t>
  </si>
  <si>
    <t>http://t.co/cjenbOFd http://t.co/cjenbOFd via @addthis</t>
  </si>
  <si>
    <t>Prix du Télégramme | Médiathèque de Locminé [56] http://t.co/xKYpQwMG via @addthis</t>
  </si>
  <si>
    <t>Exposition et concert Rockabilly: 
Jusqu'au 11 février, venez vous imprégner de l'ambiance Rockabilly à la média... http://t.co/9xjQOWQ7</t>
  </si>
  <si>
    <t>Participez aux coups de coeur des lecteurs: 
Pour la deuxième année, la médiathèque de Locminé vous invite à p... http://t.co/M16qNqz3</t>
  </si>
  <si>
    <t>"L'atelier" : mediatheque municipale de Condé sur Noireau.
Prix Livres Hebdo de L'accueil http://t.co/62wl4wo5</t>
  </si>
  <si>
    <t>Coupe de France : Locminé espère que le PSG laissera sa part des recettes http://t.co/06z5jqMp via @ouestfrancefr</t>
  </si>
  <si>
    <t>Ce matin formation à twitter pour les collègues bibliothécaires</t>
  </si>
  <si>
    <t>Le spectacle Lutine et Flutine: 
La médiathèque accueillait la Compagnie Les Embobineuses ce mercredi 21 décembr... http://t.co/8qK87ftg</t>
  </si>
  <si>
    <t>Spectacle Lutine et Flutine: 
A l'approche de Noël, la médiathèque vous invite a assister au spectacle "Lutine e... http://t.co/GbaTi7dE</t>
  </si>
  <si>
    <t>Ateliers Scrap de Noël: 
Dans le cadre de l'exposition "Gourmandises de Noël", la médiathèque de Locminé organis... http://t.co/ToLDHIpC</t>
  </si>
  <si>
    <t>Jeu-Concours "Enquetes à Locminé" http://t.co/XgZg3qB6</t>
  </si>
  <si>
    <t>Heure du conte d'octobre: 
Pour marquer le début des vacances scolaires, la médiathèque de Locminé propose des 
... http://t.co/sSCHjqtW</t>
  </si>
  <si>
    <t>L’Ipad en service public … en toute sécurité !
http://t.co/m0bsssZL</t>
  </si>
  <si>
    <t>Heure du conte d'octobre: 
La médiathèque de Locminé propose des 
contes et des histoires pour les enfants, à cr... http://t.co/xcSLrHeq</t>
  </si>
  <si>
    <t>10 ans de la médiathèque - Forum des associations culturelles: 
Mini-Forum des associations culturellessamedi 17... http://t.co/AvxWC9w</t>
  </si>
  <si>
    <t>Heure du conte du mois de septembre: 
Pour débuter l'année scolaire, la médiathèque de Locminé propose des... http://t.co/F7HTyTD</t>
  </si>
  <si>
    <t>Après-midi WII sur videoprojecteur à la mediathèque de Locminé (56) http://t.co/mwzIjlk</t>
  </si>
  <si>
    <t>http://twitpic.com/5sjo8v - Atelier Scrap sur le thème des robots cet après-midi</t>
  </si>
  <si>
    <t>Venez jouer à la WII à la médiathéque: 
Si vous souhaitez jouer à la Wii, seul ou avec des amis,  il suffit d... http://bit.ly/oHUkJD</t>
  </si>
  <si>
    <t>Animation jeunesse "La Lessive du Père Noël" : séance supplémentaire samedi 4 décembre à 11h00 : il reste des places !</t>
  </si>
  <si>
    <t>Pour tout savoir de notre animation "A vous de jouer !" en novembre : http://bit.ly/9ykRoM</t>
  </si>
  <si>
    <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</si>
</sst>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dd/mm/yyyy\ h:mm:ss"/>
    <numFmt numFmtId="166" formatCode="yyyy\-mm\-dd\ h:mm:ss"/>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BDBEE-3A82-459D-AC23-1C6DF7EC5107}">
  <dimension ref="A1:R3058"/>
  <sheetViews>
    <sheetView tabSelected="1" workbookViewId="0">
      <selection activeCell="D10" sqref="D10"/>
    </sheetView>
  </sheetViews>
  <sheetFormatPr baseColWidth="10" defaultRowHeight="15" x14ac:dyDescent="0.2"/>
  <cols>
    <col min="3" max="3" width="18.1640625" style="3" bestFit="1" customWidth="1"/>
  </cols>
  <sheetData>
    <row r="1" spans="1:18" x14ac:dyDescent="0.2">
      <c r="A1" s="1" t="s">
        <v>0</v>
      </c>
      <c r="B1" s="1" t="s">
        <v>1</v>
      </c>
      <c r="C1" s="2" t="s">
        <v>2</v>
      </c>
      <c r="D1" s="2" t="s">
        <v>3</v>
      </c>
      <c r="E1" s="1" t="s">
        <v>4</v>
      </c>
      <c r="F1" s="1" t="s">
        <v>5</v>
      </c>
      <c r="G1" s="1" t="s">
        <v>3096</v>
      </c>
      <c r="H1" s="1" t="s">
        <v>6</v>
      </c>
      <c r="I1" s="1" t="s">
        <v>7</v>
      </c>
      <c r="J1" s="1" t="s">
        <v>8</v>
      </c>
      <c r="K1" s="1" t="s">
        <v>9</v>
      </c>
      <c r="L1" s="1" t="s">
        <v>10</v>
      </c>
      <c r="M1" s="1" t="s">
        <v>11</v>
      </c>
      <c r="N1" s="1" t="s">
        <v>12</v>
      </c>
      <c r="O1" s="1" t="s">
        <v>13</v>
      </c>
      <c r="P1" s="1" t="s">
        <v>14</v>
      </c>
      <c r="Q1" s="1" t="s">
        <v>15</v>
      </c>
    </row>
    <row r="2" spans="1:18" x14ac:dyDescent="0.2">
      <c r="A2" s="1" t="str">
        <f>HYPERLINK("http://www.twitter.com/Ugo_Roux/status/1259512474774245376", "1259512474774245376")</f>
        <v>1259512474774245376</v>
      </c>
      <c r="B2" t="s">
        <v>206</v>
      </c>
      <c r="C2" s="3">
        <v>43961.663761574076</v>
      </c>
      <c r="D2" s="3" t="s">
        <v>41</v>
      </c>
      <c r="E2">
        <v>1</v>
      </c>
      <c r="F2">
        <v>0</v>
      </c>
      <c r="I2" t="s">
        <v>228</v>
      </c>
      <c r="J2" t="str">
        <f>HYPERLINK("http://pbs.twimg.com/media/EXqvyxwWkAUEtdQ.jpg", "http://pbs.twimg.com/media/EXqvyxwWkAUEtdQ.jpg")</f>
        <v>http://pbs.twimg.com/media/EXqvyxwWkAUEtdQ.jpg</v>
      </c>
      <c r="K2" t="str">
        <f>HYPERLINK("http://pbs.twimg.com/media/EXqv1RQXkAIXCVz.jpg", "http://pbs.twimg.com/media/EXqv1RQXkAIXCVz.jpg")</f>
        <v>http://pbs.twimg.com/media/EXqv1RQXkAIXCVz.jpg</v>
      </c>
      <c r="L2" t="str">
        <f>HYPERLINK("http://pbs.twimg.com/media/EXqv2N5XQAoQpD3.jpg", "http://pbs.twimg.com/media/EXqv2N5XQAoQpD3.jpg")</f>
        <v>http://pbs.twimg.com/media/EXqv2N5XQAoQpD3.jpg</v>
      </c>
      <c r="M2" t="str">
        <f>HYPERLINK("http://pbs.twimg.com/media/EXqv4taXkAQBTKg.jpg", "http://pbs.twimg.com/media/EXqv4taXkAQBTKg.jpg")</f>
        <v>http://pbs.twimg.com/media/EXqv4taXkAQBTKg.jpg</v>
      </c>
      <c r="N2">
        <v>0</v>
      </c>
      <c r="O2">
        <v>0</v>
      </c>
      <c r="P2">
        <v>1</v>
      </c>
      <c r="Q2">
        <v>0</v>
      </c>
    </row>
    <row r="3" spans="1:18" x14ac:dyDescent="0.2">
      <c r="A3" s="1" t="str">
        <f>HYPERLINK("http://www.twitter.com/Ugo_Roux/status/1259457602125287424", "1259457602125287424")</f>
        <v>1259457602125287424</v>
      </c>
      <c r="B3" t="s">
        <v>142</v>
      </c>
      <c r="C3" s="3">
        <v>43961.512337962973</v>
      </c>
      <c r="D3" s="3" t="s">
        <v>17</v>
      </c>
      <c r="E3">
        <v>1</v>
      </c>
      <c r="F3">
        <v>1</v>
      </c>
      <c r="I3" t="s">
        <v>192</v>
      </c>
      <c r="J3" t="str">
        <f>HYPERLINK("http://pbs.twimg.com/media/EXp-AUVWoAA0u01.jpg", "http://pbs.twimg.com/media/EXp-AUVWoAA0u01.jpg")</f>
        <v>http://pbs.twimg.com/media/EXp-AUVWoAA0u01.jpg</v>
      </c>
      <c r="K3" t="str">
        <f>HYPERLINK("http://pbs.twimg.com/media/EXp-AVGXkAMc1HS.jpg", "http://pbs.twimg.com/media/EXp-AVGXkAMc1HS.jpg")</f>
        <v>http://pbs.twimg.com/media/EXp-AVGXkAMc1HS.jpg</v>
      </c>
      <c r="N3">
        <v>0</v>
      </c>
      <c r="O3">
        <v>0</v>
      </c>
      <c r="P3">
        <v>1</v>
      </c>
      <c r="Q3">
        <v>0</v>
      </c>
    </row>
    <row r="4" spans="1:18" x14ac:dyDescent="0.2">
      <c r="A4" s="1" t="str">
        <f>HYPERLINK("http://www.twitter.com/Ugo_Roux/status/1259456262355464192", "1259456262355464192")</f>
        <v>1259456262355464192</v>
      </c>
      <c r="B4" t="s">
        <v>142</v>
      </c>
      <c r="C4" s="3">
        <v>43961.508645833332</v>
      </c>
      <c r="D4" s="3" t="s">
        <v>17</v>
      </c>
      <c r="E4">
        <v>1</v>
      </c>
      <c r="F4">
        <v>2</v>
      </c>
      <c r="I4" t="s">
        <v>185</v>
      </c>
      <c r="J4" t="str">
        <f>HYPERLINK("http://pbs.twimg.com/media/EXp8xEdWsAIAoyW.jpg", "http://pbs.twimg.com/media/EXp8xEdWsAIAoyW.jpg")</f>
        <v>http://pbs.twimg.com/media/EXp8xEdWsAIAoyW.jpg</v>
      </c>
      <c r="N4">
        <v>0</v>
      </c>
      <c r="O4">
        <v>0</v>
      </c>
      <c r="P4">
        <v>1</v>
      </c>
      <c r="Q4">
        <v>0</v>
      </c>
    </row>
    <row r="5" spans="1:18" x14ac:dyDescent="0.2">
      <c r="A5" s="1" t="str">
        <f>HYPERLINK("http://www.twitter.com/Ugo_Roux/status/1259390047373099009", "1259390047373099009")</f>
        <v>1259390047373099009</v>
      </c>
      <c r="B5" t="s">
        <v>97</v>
      </c>
      <c r="C5" s="3">
        <v>43961.325925925928</v>
      </c>
      <c r="D5" s="3" t="s">
        <v>41</v>
      </c>
      <c r="E5">
        <v>1</v>
      </c>
      <c r="F5">
        <v>0</v>
      </c>
      <c r="I5" t="s">
        <v>98</v>
      </c>
      <c r="N5">
        <v>0</v>
      </c>
      <c r="O5">
        <v>0</v>
      </c>
      <c r="P5">
        <v>1</v>
      </c>
      <c r="Q5">
        <v>0</v>
      </c>
    </row>
    <row r="6" spans="1:18" x14ac:dyDescent="0.2">
      <c r="A6" s="1" t="str">
        <f>HYPERLINK("http://www.twitter.com/Ugo_Roux/status/1259146269550927874", "1259146269550927874")</f>
        <v>1259146269550927874</v>
      </c>
      <c r="B6" t="s">
        <v>206</v>
      </c>
      <c r="C6" s="3">
        <v>43960.653229166674</v>
      </c>
      <c r="D6" s="3" t="s">
        <v>17</v>
      </c>
      <c r="E6">
        <v>1</v>
      </c>
      <c r="F6">
        <v>0</v>
      </c>
      <c r="I6" t="s">
        <v>242</v>
      </c>
      <c r="J6" t="str">
        <f>HYPERLINK("http://pbs.twimg.com/media/EXli153WAAckbvb.jpg", "http://pbs.twimg.com/media/EXli153WAAckbvb.jpg")</f>
        <v>http://pbs.twimg.com/media/EXli153WAAckbvb.jpg</v>
      </c>
      <c r="N6">
        <v>0</v>
      </c>
      <c r="O6">
        <v>0</v>
      </c>
      <c r="P6">
        <v>1</v>
      </c>
      <c r="Q6">
        <v>0</v>
      </c>
    </row>
    <row r="7" spans="1:18" x14ac:dyDescent="0.2">
      <c r="A7" s="1" t="str">
        <f>HYPERLINK("http://www.twitter.com/Ugo_Roux/status/1259120154019069954", "1259120154019069954")</f>
        <v>1259120154019069954</v>
      </c>
      <c r="B7" t="s">
        <v>206</v>
      </c>
      <c r="C7" s="3">
        <v>43960.581157407411</v>
      </c>
      <c r="D7" s="3" t="s">
        <v>17</v>
      </c>
      <c r="E7">
        <v>2</v>
      </c>
      <c r="F7">
        <v>2</v>
      </c>
      <c r="I7" t="s">
        <v>276</v>
      </c>
      <c r="J7" t="str">
        <f>HYPERLINK("http://pbs.twimg.com/media/EXlLFvAWkAA2ZcY.jpg", "http://pbs.twimg.com/media/EXlLFvAWkAA2ZcY.jpg")</f>
        <v>http://pbs.twimg.com/media/EXlLFvAWkAA2ZcY.jpg</v>
      </c>
      <c r="N7">
        <v>0.43740000000000001</v>
      </c>
      <c r="O7">
        <v>0</v>
      </c>
      <c r="P7">
        <v>0.86799999999999999</v>
      </c>
      <c r="Q7">
        <v>0.13200000000000001</v>
      </c>
    </row>
    <row r="8" spans="1:18" x14ac:dyDescent="0.2">
      <c r="A8" s="1" t="str">
        <f>HYPERLINK("http://www.twitter.com/Ugo_Roux/status/1259054435415752705", "1259054435415752705")</f>
        <v>1259054435415752705</v>
      </c>
      <c r="B8" t="s">
        <v>142</v>
      </c>
      <c r="C8" s="3">
        <v>43960.399814814817</v>
      </c>
      <c r="D8" s="3" t="s">
        <v>28</v>
      </c>
      <c r="E8">
        <v>1</v>
      </c>
      <c r="F8">
        <v>1</v>
      </c>
      <c r="I8" t="s">
        <v>358</v>
      </c>
      <c r="N8">
        <v>0.2263</v>
      </c>
      <c r="O8">
        <v>0</v>
      </c>
      <c r="P8">
        <v>0.93400000000000005</v>
      </c>
      <c r="Q8">
        <v>6.6000000000000003E-2</v>
      </c>
    </row>
    <row r="9" spans="1:18" x14ac:dyDescent="0.2">
      <c r="A9" s="1" t="str">
        <f>HYPERLINK("http://www.twitter.com/Ugo_Roux/status/1259047622410735621", "1259047622410735621")</f>
        <v>1259047622410735621</v>
      </c>
      <c r="B9" t="s">
        <v>425</v>
      </c>
      <c r="C9" s="3">
        <v>43960.381006944437</v>
      </c>
      <c r="D9" s="3" t="s">
        <v>17</v>
      </c>
      <c r="E9">
        <v>1</v>
      </c>
      <c r="F9">
        <v>1</v>
      </c>
      <c r="I9" t="s">
        <v>443</v>
      </c>
      <c r="J9" t="str">
        <f>HYPERLINK("http://pbs.twimg.com/media/EXkJGC_WsAAYU4f.jpg", "http://pbs.twimg.com/media/EXkJGC_WsAAYU4f.jpg")</f>
        <v>http://pbs.twimg.com/media/EXkJGC_WsAAYU4f.jpg</v>
      </c>
      <c r="K9" t="str">
        <f>HYPERLINK("http://pbs.twimg.com/media/EXkJHYVXQAAciJu.jpg", "http://pbs.twimg.com/media/EXkJHYVXQAAciJu.jpg")</f>
        <v>http://pbs.twimg.com/media/EXkJHYVXQAAciJu.jpg</v>
      </c>
      <c r="N9">
        <v>0</v>
      </c>
      <c r="O9">
        <v>0</v>
      </c>
      <c r="P9">
        <v>1</v>
      </c>
      <c r="Q9">
        <v>0</v>
      </c>
      <c r="R9">
        <f ca="1">RAND()</f>
        <v>0.89622109778937065</v>
      </c>
    </row>
    <row r="10" spans="1:18" x14ac:dyDescent="0.2">
      <c r="A10" s="1" t="str">
        <f>HYPERLINK("http://www.twitter.com/Ugo_Roux/status/1259037771320213504", "1259037771320213504")</f>
        <v>1259037771320213504</v>
      </c>
      <c r="B10" t="s">
        <v>414</v>
      </c>
      <c r="C10" s="3">
        <v>43960.353831018518</v>
      </c>
      <c r="D10" s="3" t="s">
        <v>24</v>
      </c>
      <c r="E10">
        <v>0</v>
      </c>
      <c r="F10">
        <v>0</v>
      </c>
      <c r="I10" t="s">
        <v>418</v>
      </c>
      <c r="J10" t="str">
        <f>HYPERLINK("http://pbs.twimg.com/media/EXkAG1EWAAEXAYV.jpg", "http://pbs.twimg.com/media/EXkAG1EWAAEXAYV.jpg")</f>
        <v>http://pbs.twimg.com/media/EXkAG1EWAAEXAYV.jpg</v>
      </c>
      <c r="N10">
        <v>0</v>
      </c>
      <c r="O10">
        <v>0</v>
      </c>
      <c r="P10">
        <v>1</v>
      </c>
      <c r="Q10">
        <v>0</v>
      </c>
    </row>
    <row r="11" spans="1:18" x14ac:dyDescent="0.2">
      <c r="A11" s="1" t="str">
        <f>HYPERLINK("http://www.twitter.com/Ugo_Roux/status/1259016497680265216", "1259016497680265216")</f>
        <v>1259016497680265216</v>
      </c>
      <c r="B11" t="s">
        <v>97</v>
      </c>
      <c r="C11" s="3">
        <v>43960.295127314806</v>
      </c>
      <c r="D11" s="3" t="s">
        <v>17</v>
      </c>
      <c r="E11">
        <v>2</v>
      </c>
      <c r="F11">
        <v>0</v>
      </c>
      <c r="I11" t="s">
        <v>99</v>
      </c>
      <c r="N11">
        <v>0</v>
      </c>
      <c r="O11">
        <v>0</v>
      </c>
      <c r="P11">
        <v>1</v>
      </c>
      <c r="Q11">
        <v>0</v>
      </c>
    </row>
    <row r="12" spans="1:18" x14ac:dyDescent="0.2">
      <c r="A12" s="1" t="str">
        <f>HYPERLINK("http://www.twitter.com/Ugo_Roux/status/1258781634939191297", "1258781634939191297")</f>
        <v>1258781634939191297</v>
      </c>
      <c r="B12" t="s">
        <v>206</v>
      </c>
      <c r="C12" s="3">
        <v>43959.64702546296</v>
      </c>
      <c r="D12" s="3" t="s">
        <v>17</v>
      </c>
      <c r="E12">
        <v>2</v>
      </c>
      <c r="F12">
        <v>0</v>
      </c>
      <c r="I12" t="s">
        <v>277</v>
      </c>
      <c r="J12" t="str">
        <f>HYPERLINK("http://pbs.twimg.com/media/EXgXI3iXQAAvHY7.jpg", "http://pbs.twimg.com/media/EXgXI3iXQAAvHY7.jpg")</f>
        <v>http://pbs.twimg.com/media/EXgXI3iXQAAvHY7.jpg</v>
      </c>
      <c r="K12" t="str">
        <f>HYPERLINK("http://pbs.twimg.com/media/EXgXKaPXsAE94Kz.jpg", "http://pbs.twimg.com/media/EXgXKaPXsAE94Kz.jpg")</f>
        <v>http://pbs.twimg.com/media/EXgXKaPXsAE94Kz.jpg</v>
      </c>
      <c r="N12">
        <v>0</v>
      </c>
      <c r="O12">
        <v>0</v>
      </c>
      <c r="P12">
        <v>1</v>
      </c>
      <c r="Q12">
        <v>0</v>
      </c>
    </row>
    <row r="13" spans="1:18" x14ac:dyDescent="0.2">
      <c r="A13" s="1" t="str">
        <f>HYPERLINK("http://www.twitter.com/Ugo_Roux/status/1258731749762367494", "1258731749762367494")</f>
        <v>1258731749762367494</v>
      </c>
      <c r="B13" t="s">
        <v>142</v>
      </c>
      <c r="C13" s="3">
        <v>43959.509363425917</v>
      </c>
      <c r="D13" s="3" t="s">
        <v>41</v>
      </c>
      <c r="E13">
        <v>8</v>
      </c>
      <c r="F13">
        <v>4</v>
      </c>
      <c r="I13" t="s">
        <v>145</v>
      </c>
      <c r="N13">
        <v>0</v>
      </c>
      <c r="O13">
        <v>0</v>
      </c>
      <c r="P13">
        <v>1</v>
      </c>
      <c r="Q13">
        <v>0</v>
      </c>
    </row>
    <row r="14" spans="1:18" x14ac:dyDescent="0.2">
      <c r="A14" s="1" t="str">
        <f>HYPERLINK("http://www.twitter.com/Ugo_Roux/status/1258731084965183488", "1258731084965183488")</f>
        <v>1258731084965183488</v>
      </c>
      <c r="B14" t="s">
        <v>142</v>
      </c>
      <c r="C14" s="3">
        <v>43959.507534722223</v>
      </c>
      <c r="D14" s="3" t="s">
        <v>41</v>
      </c>
      <c r="E14">
        <v>4</v>
      </c>
      <c r="F14">
        <v>2</v>
      </c>
      <c r="I14" t="s">
        <v>359</v>
      </c>
      <c r="J14" t="str">
        <f>HYPERLINK("http://pbs.twimg.com/media/EXfpPzFWoAM0Pf9.jpg", "http://pbs.twimg.com/media/EXfpPzFWoAM0Pf9.jpg")</f>
        <v>http://pbs.twimg.com/media/EXfpPzFWoAM0Pf9.jpg</v>
      </c>
      <c r="N14">
        <v>0</v>
      </c>
      <c r="O14">
        <v>0</v>
      </c>
      <c r="P14">
        <v>1</v>
      </c>
      <c r="Q14">
        <v>0</v>
      </c>
    </row>
    <row r="15" spans="1:18" x14ac:dyDescent="0.2">
      <c r="A15" s="1" t="str">
        <f>HYPERLINK("http://www.twitter.com/Ugo_Roux/status/1258661830299463681", "1258661830299463681")</f>
        <v>1258661830299463681</v>
      </c>
      <c r="B15" t="s">
        <v>97</v>
      </c>
      <c r="C15" s="3">
        <v>43959.316423611112</v>
      </c>
      <c r="D15" s="3" t="s">
        <v>17</v>
      </c>
      <c r="E15">
        <v>0</v>
      </c>
      <c r="F15">
        <v>0</v>
      </c>
      <c r="I15" t="s">
        <v>100</v>
      </c>
      <c r="N15">
        <v>0</v>
      </c>
      <c r="O15">
        <v>0</v>
      </c>
      <c r="P15">
        <v>1</v>
      </c>
      <c r="Q15">
        <v>0</v>
      </c>
    </row>
    <row r="16" spans="1:18" x14ac:dyDescent="0.2">
      <c r="A16" s="1" t="str">
        <f>HYPERLINK("http://www.twitter.com/Ugo_Roux/status/1258655040237195265", "1258655040237195265")</f>
        <v>1258655040237195265</v>
      </c>
      <c r="B16" t="s">
        <v>370</v>
      </c>
      <c r="C16" s="3">
        <v>43959.297685185193</v>
      </c>
      <c r="D16" s="3" t="s">
        <v>17</v>
      </c>
      <c r="E16">
        <v>0</v>
      </c>
      <c r="F16">
        <v>0</v>
      </c>
      <c r="I16" t="s">
        <v>371</v>
      </c>
      <c r="N16">
        <v>0</v>
      </c>
      <c r="O16">
        <v>0</v>
      </c>
      <c r="P16">
        <v>1</v>
      </c>
      <c r="Q16">
        <v>0</v>
      </c>
    </row>
    <row r="17" spans="1:18" x14ac:dyDescent="0.2">
      <c r="A17" s="1" t="str">
        <f>HYPERLINK("http://www.twitter.com/Ugo_Roux/status/1258655028526661632", "1258655028526661632")</f>
        <v>1258655028526661632</v>
      </c>
      <c r="B17" t="s">
        <v>370</v>
      </c>
      <c r="C17" s="3">
        <v>43959.297662037039</v>
      </c>
      <c r="D17" s="3" t="s">
        <v>17</v>
      </c>
      <c r="E17">
        <v>0</v>
      </c>
      <c r="F17">
        <v>0</v>
      </c>
      <c r="I17" t="s">
        <v>372</v>
      </c>
      <c r="N17">
        <v>0</v>
      </c>
      <c r="O17">
        <v>0</v>
      </c>
      <c r="P17">
        <v>1</v>
      </c>
      <c r="Q17">
        <v>0</v>
      </c>
    </row>
    <row r="18" spans="1:18" x14ac:dyDescent="0.2">
      <c r="A18" s="1" t="str">
        <f>HYPERLINK("http://www.twitter.com/Ugo_Roux/status/1258633499919212545", "1258633499919212545")</f>
        <v>1258633499919212545</v>
      </c>
      <c r="B18" t="s">
        <v>285</v>
      </c>
      <c r="C18" s="3">
        <v>43959.238252314812</v>
      </c>
      <c r="D18" s="3" t="s">
        <v>17</v>
      </c>
      <c r="E18">
        <v>3</v>
      </c>
      <c r="F18">
        <v>1</v>
      </c>
      <c r="I18" t="s">
        <v>291</v>
      </c>
      <c r="J18" t="str">
        <f>HYPERLINK("http://pbs.twimg.com/media/EXeQYwbXgAISwrA.jpg", "http://pbs.twimg.com/media/EXeQYwbXgAISwrA.jpg")</f>
        <v>http://pbs.twimg.com/media/EXeQYwbXgAISwrA.jpg</v>
      </c>
      <c r="N18">
        <v>0</v>
      </c>
      <c r="O18">
        <v>0</v>
      </c>
      <c r="P18">
        <v>1</v>
      </c>
      <c r="Q18">
        <v>0</v>
      </c>
    </row>
    <row r="19" spans="1:18" x14ac:dyDescent="0.2">
      <c r="A19" s="1" t="str">
        <f>HYPERLINK("http://www.twitter.com/Ugo_Roux/status/1258434760235458561", "1258434760235458561")</f>
        <v>1258434760235458561</v>
      </c>
      <c r="B19" t="s">
        <v>425</v>
      </c>
      <c r="C19" s="3">
        <v>43958.689837962957</v>
      </c>
      <c r="D19" s="3" t="s">
        <v>17</v>
      </c>
      <c r="E19">
        <v>2</v>
      </c>
      <c r="F19">
        <v>1</v>
      </c>
      <c r="I19" t="s">
        <v>444</v>
      </c>
      <c r="J19" t="str">
        <f>HYPERLINK("http://pbs.twimg.com/media/EXbbqepWkAUwMS0.jpg", "http://pbs.twimg.com/media/EXbbqepWkAUwMS0.jpg")</f>
        <v>http://pbs.twimg.com/media/EXbbqepWkAUwMS0.jpg</v>
      </c>
      <c r="K19" t="str">
        <f>HYPERLINK("http://pbs.twimg.com/media/EXbbtAXWkAAUQPd.jpg", "http://pbs.twimg.com/media/EXbbtAXWkAAUQPd.jpg")</f>
        <v>http://pbs.twimg.com/media/EXbbtAXWkAAUQPd.jpg</v>
      </c>
      <c r="N19">
        <v>0</v>
      </c>
      <c r="O19">
        <v>0</v>
      </c>
      <c r="P19">
        <v>1</v>
      </c>
      <c r="Q19">
        <v>0</v>
      </c>
      <c r="R19">
        <f ca="1">RAND()</f>
        <v>0.34763204709058004</v>
      </c>
    </row>
    <row r="20" spans="1:18" x14ac:dyDescent="0.2">
      <c r="A20" s="1" t="str">
        <f>HYPERLINK("http://www.twitter.com/Ugo_Roux/status/1258421578041360384", "1258421578041360384")</f>
        <v>1258421578041360384</v>
      </c>
      <c r="B20" t="s">
        <v>206</v>
      </c>
      <c r="C20" s="3">
        <v>43958.653460648151</v>
      </c>
      <c r="D20" s="3" t="s">
        <v>41</v>
      </c>
      <c r="E20">
        <v>2</v>
      </c>
      <c r="F20">
        <v>1</v>
      </c>
      <c r="I20" t="s">
        <v>207</v>
      </c>
      <c r="J20" t="str">
        <f>HYPERLINK("http://pbs.twimg.com/media/EXbPu1AWAAE3Iem.jpg", "http://pbs.twimg.com/media/EXbPu1AWAAE3Iem.jpg")</f>
        <v>http://pbs.twimg.com/media/EXbPu1AWAAE3Iem.jpg</v>
      </c>
      <c r="K20" t="str">
        <f>HYPERLINK("http://pbs.twimg.com/media/EXbPvqlWAAA7wxE.jpg", "http://pbs.twimg.com/media/EXbPvqlWAAA7wxE.jpg")</f>
        <v>http://pbs.twimg.com/media/EXbPvqlWAAA7wxE.jpg</v>
      </c>
      <c r="N20">
        <v>0</v>
      </c>
      <c r="O20">
        <v>0</v>
      </c>
      <c r="P20">
        <v>1</v>
      </c>
      <c r="Q20">
        <v>0</v>
      </c>
    </row>
    <row r="21" spans="1:18" x14ac:dyDescent="0.2">
      <c r="A21" s="1" t="str">
        <f>HYPERLINK("http://www.twitter.com/Ugo_Roux/status/1258381141020676099", "1258381141020676099")</f>
        <v>1258381141020676099</v>
      </c>
      <c r="B21" t="s">
        <v>206</v>
      </c>
      <c r="C21" s="3">
        <v>43958.541875000003</v>
      </c>
      <c r="D21" s="3" t="s">
        <v>17</v>
      </c>
      <c r="E21">
        <v>0</v>
      </c>
      <c r="F21">
        <v>0</v>
      </c>
      <c r="I21" t="s">
        <v>245</v>
      </c>
      <c r="N21">
        <v>0</v>
      </c>
      <c r="O21">
        <v>0</v>
      </c>
      <c r="P21">
        <v>1</v>
      </c>
      <c r="Q21">
        <v>0</v>
      </c>
    </row>
    <row r="22" spans="1:18" x14ac:dyDescent="0.2">
      <c r="A22" s="1" t="str">
        <f>HYPERLINK("http://www.twitter.com/Ugo_Roux/status/1258378705866555396", "1258378705866555396")</f>
        <v>1258378705866555396</v>
      </c>
      <c r="B22" t="s">
        <v>206</v>
      </c>
      <c r="C22" s="3">
        <v>43958.535150462973</v>
      </c>
      <c r="D22" s="3" t="s">
        <v>17</v>
      </c>
      <c r="E22">
        <v>0</v>
      </c>
      <c r="F22">
        <v>0</v>
      </c>
      <c r="I22" t="s">
        <v>340</v>
      </c>
      <c r="N22">
        <v>0</v>
      </c>
      <c r="O22">
        <v>0</v>
      </c>
      <c r="P22">
        <v>1</v>
      </c>
      <c r="Q22">
        <v>0</v>
      </c>
    </row>
    <row r="23" spans="1:18" x14ac:dyDescent="0.2">
      <c r="A23" s="1" t="str">
        <f>HYPERLINK("http://www.twitter.com/Ugo_Roux/status/1258361722630537216", "1258361722630537216")</f>
        <v>1258361722630537216</v>
      </c>
      <c r="B23" t="s">
        <v>142</v>
      </c>
      <c r="C23" s="3">
        <v>43958.488287037027</v>
      </c>
      <c r="D23" s="3" t="s">
        <v>17</v>
      </c>
      <c r="E23">
        <v>7</v>
      </c>
      <c r="F23">
        <v>2</v>
      </c>
      <c r="I23" t="s">
        <v>164</v>
      </c>
      <c r="J23" t="str">
        <f>HYPERLINK("http://pbs.twimg.com/media/EXaZUB1XsAANDQb.jpg", "http://pbs.twimg.com/media/EXaZUB1XsAANDQb.jpg")</f>
        <v>http://pbs.twimg.com/media/EXaZUB1XsAANDQb.jpg</v>
      </c>
      <c r="N23">
        <v>0</v>
      </c>
      <c r="O23">
        <v>0</v>
      </c>
      <c r="P23">
        <v>1</v>
      </c>
      <c r="Q23">
        <v>0</v>
      </c>
    </row>
    <row r="24" spans="1:18" x14ac:dyDescent="0.2">
      <c r="A24" s="1" t="str">
        <f>HYPERLINK("http://www.twitter.com/Ugo_Roux/status/1258360759639293952", "1258360759639293952")</f>
        <v>1258360759639293952</v>
      </c>
      <c r="B24" t="s">
        <v>142</v>
      </c>
      <c r="C24" s="3">
        <v>43958.485625000001</v>
      </c>
      <c r="D24" s="3" t="s">
        <v>28</v>
      </c>
      <c r="E24">
        <v>3</v>
      </c>
      <c r="F24">
        <v>2</v>
      </c>
      <c r="I24" t="s">
        <v>153</v>
      </c>
      <c r="J24" t="str">
        <f>HYPERLINK("http://pbs.twimg.com/media/EXaYb9BXgAAHRoH.jpg", "http://pbs.twimg.com/media/EXaYb9BXgAAHRoH.jpg")</f>
        <v>http://pbs.twimg.com/media/EXaYb9BXgAAHRoH.jpg</v>
      </c>
      <c r="N24">
        <v>0</v>
      </c>
      <c r="O24">
        <v>0</v>
      </c>
      <c r="P24">
        <v>1</v>
      </c>
      <c r="Q24">
        <v>0</v>
      </c>
    </row>
    <row r="25" spans="1:18" x14ac:dyDescent="0.2">
      <c r="A25" s="1" t="str">
        <f>HYPERLINK("http://www.twitter.com/Ugo_Roux/status/1258292957784014850", "1258292957784014850")</f>
        <v>1258292957784014850</v>
      </c>
      <c r="B25" t="s">
        <v>285</v>
      </c>
      <c r="C25" s="3">
        <v>43958.298530092587</v>
      </c>
      <c r="D25" s="3" t="s">
        <v>17</v>
      </c>
      <c r="E25">
        <v>1</v>
      </c>
      <c r="F25">
        <v>0</v>
      </c>
      <c r="I25" t="s">
        <v>292</v>
      </c>
      <c r="J25" t="str">
        <f>HYPERLINK("http://pbs.twimg.com/media/EXZaumyXsAE5wry.jpg", "http://pbs.twimg.com/media/EXZaumyXsAE5wry.jpg")</f>
        <v>http://pbs.twimg.com/media/EXZaumyXsAE5wry.jpg</v>
      </c>
      <c r="N25">
        <v>0</v>
      </c>
      <c r="O25">
        <v>0</v>
      </c>
      <c r="P25">
        <v>1</v>
      </c>
      <c r="Q25">
        <v>0</v>
      </c>
    </row>
    <row r="26" spans="1:18" x14ac:dyDescent="0.2">
      <c r="A26" s="1" t="str">
        <f>HYPERLINK("http://www.twitter.com/Ugo_Roux/status/1258120039045226497", "1258120039045226497")</f>
        <v>1258120039045226497</v>
      </c>
      <c r="B26" t="s">
        <v>370</v>
      </c>
      <c r="C26" s="3">
        <v>43957.82136574074</v>
      </c>
      <c r="D26" s="3" t="s">
        <v>24</v>
      </c>
      <c r="E26">
        <v>0</v>
      </c>
      <c r="F26">
        <v>0</v>
      </c>
      <c r="I26" t="s">
        <v>373</v>
      </c>
      <c r="N26">
        <v>0</v>
      </c>
      <c r="O26">
        <v>0</v>
      </c>
      <c r="P26">
        <v>1</v>
      </c>
      <c r="Q26">
        <v>0</v>
      </c>
    </row>
    <row r="27" spans="1:18" x14ac:dyDescent="0.2">
      <c r="A27" s="1" t="str">
        <f>HYPERLINK("http://www.twitter.com/Ugo_Roux/status/1258058585231314944", "1258058585231314944")</f>
        <v>1258058585231314944</v>
      </c>
      <c r="B27" t="s">
        <v>206</v>
      </c>
      <c r="C27" s="3">
        <v>43957.651782407411</v>
      </c>
      <c r="D27" s="3" t="s">
        <v>17</v>
      </c>
      <c r="E27">
        <v>2</v>
      </c>
      <c r="F27">
        <v>1</v>
      </c>
      <c r="I27" t="s">
        <v>341</v>
      </c>
      <c r="J27" t="str">
        <f>HYPERLINK("http://pbs.twimg.com/media/EXWE-dGU0AAsv6d.jpg", "http://pbs.twimg.com/media/EXWE-dGU0AAsv6d.jpg")</f>
        <v>http://pbs.twimg.com/media/EXWE-dGU0AAsv6d.jpg</v>
      </c>
      <c r="N27">
        <v>0</v>
      </c>
      <c r="O27">
        <v>0</v>
      </c>
      <c r="P27">
        <v>1</v>
      </c>
      <c r="Q27">
        <v>0</v>
      </c>
    </row>
    <row r="28" spans="1:18" x14ac:dyDescent="0.2">
      <c r="A28" s="1" t="str">
        <f>HYPERLINK("http://www.twitter.com/Ugo_Roux/status/1258027996021166080", "1258027996021166080")</f>
        <v>1258027996021166080</v>
      </c>
      <c r="B28" t="s">
        <v>130</v>
      </c>
      <c r="C28" s="3">
        <v>43957.567372685182</v>
      </c>
      <c r="D28" s="3" t="s">
        <v>24</v>
      </c>
      <c r="E28">
        <v>0</v>
      </c>
      <c r="F28">
        <v>0</v>
      </c>
      <c r="I28" t="s">
        <v>131</v>
      </c>
      <c r="J28" t="str">
        <f>HYPERLINK("http://pbs.twimg.com/media/EXVpjHnUcAArGbi.jpg", "http://pbs.twimg.com/media/EXVpjHnUcAArGbi.jpg")</f>
        <v>http://pbs.twimg.com/media/EXVpjHnUcAArGbi.jpg</v>
      </c>
      <c r="N28">
        <v>0.44040000000000001</v>
      </c>
      <c r="O28">
        <v>0</v>
      </c>
      <c r="P28">
        <v>0.93500000000000005</v>
      </c>
      <c r="Q28">
        <v>6.5000000000000002E-2</v>
      </c>
    </row>
    <row r="29" spans="1:18" x14ac:dyDescent="0.2">
      <c r="A29" s="1" t="str">
        <f>HYPERLINK("http://www.twitter.com/Ugo_Roux/status/1258011765448814592", "1258011765448814592")</f>
        <v>1258011765448814592</v>
      </c>
      <c r="B29" t="s">
        <v>206</v>
      </c>
      <c r="C29" s="3">
        <v>43957.522592592592</v>
      </c>
      <c r="D29" s="3" t="s">
        <v>28</v>
      </c>
      <c r="E29">
        <v>2</v>
      </c>
      <c r="F29">
        <v>0</v>
      </c>
      <c r="I29" t="s">
        <v>237</v>
      </c>
      <c r="N29">
        <v>0</v>
      </c>
      <c r="O29">
        <v>0</v>
      </c>
      <c r="P29">
        <v>1</v>
      </c>
      <c r="Q29">
        <v>0</v>
      </c>
    </row>
    <row r="30" spans="1:18" x14ac:dyDescent="0.2">
      <c r="A30" s="1" t="str">
        <f>HYPERLINK("http://www.twitter.com/Ugo_Roux/status/1258002218424377345", "1258002218424377345")</f>
        <v>1258002218424377345</v>
      </c>
      <c r="B30" t="s">
        <v>142</v>
      </c>
      <c r="C30" s="3">
        <v>43957.496249999997</v>
      </c>
      <c r="D30" s="3" t="s">
        <v>28</v>
      </c>
      <c r="E30">
        <v>3</v>
      </c>
      <c r="F30">
        <v>0</v>
      </c>
      <c r="I30" t="s">
        <v>152</v>
      </c>
      <c r="J30" t="str">
        <f>HYPERLINK("http://pbs.twimg.com/media/EXVSWJoU4AA9aNy.jpg", "http://pbs.twimg.com/media/EXVSWJoU4AA9aNy.jpg")</f>
        <v>http://pbs.twimg.com/media/EXVSWJoU4AA9aNy.jpg</v>
      </c>
      <c r="N30">
        <v>0</v>
      </c>
      <c r="O30">
        <v>0</v>
      </c>
      <c r="P30">
        <v>1</v>
      </c>
      <c r="Q30">
        <v>0</v>
      </c>
    </row>
    <row r="31" spans="1:18" x14ac:dyDescent="0.2">
      <c r="A31" s="1" t="str">
        <f>HYPERLINK("http://www.twitter.com/Ugo_Roux/status/1257966705927688193", "1257966705927688193")</f>
        <v>1257966705927688193</v>
      </c>
      <c r="B31" t="s">
        <v>47</v>
      </c>
      <c r="C31" s="3">
        <v>43957.398252314822</v>
      </c>
      <c r="D31" s="3" t="s">
        <v>28</v>
      </c>
      <c r="E31">
        <v>4</v>
      </c>
      <c r="F31">
        <v>1</v>
      </c>
      <c r="I31" t="s">
        <v>48</v>
      </c>
      <c r="N31">
        <v>0</v>
      </c>
      <c r="O31">
        <v>0</v>
      </c>
      <c r="P31">
        <v>1</v>
      </c>
      <c r="Q31">
        <v>0</v>
      </c>
    </row>
    <row r="32" spans="1:18" x14ac:dyDescent="0.2">
      <c r="A32" s="1" t="str">
        <f>HYPERLINK("http://www.twitter.com/Ugo_Roux/status/1257934906577113089", "1257934906577113089")</f>
        <v>1257934906577113089</v>
      </c>
      <c r="B32" t="s">
        <v>47</v>
      </c>
      <c r="C32" s="3">
        <v>43957.310497685183</v>
      </c>
      <c r="D32" s="3" t="s">
        <v>17</v>
      </c>
      <c r="E32">
        <v>3</v>
      </c>
      <c r="F32">
        <v>0</v>
      </c>
      <c r="I32" t="s">
        <v>49</v>
      </c>
      <c r="N32">
        <v>0</v>
      </c>
      <c r="O32">
        <v>0</v>
      </c>
      <c r="P32">
        <v>1</v>
      </c>
      <c r="Q32">
        <v>0</v>
      </c>
    </row>
    <row r="33" spans="1:18" x14ac:dyDescent="0.2">
      <c r="A33" s="1" t="str">
        <f>HYPERLINK("http://www.twitter.com/Ugo_Roux/status/1257928259335073794", "1257928259335073794")</f>
        <v>1257928259335073794</v>
      </c>
      <c r="B33" t="s">
        <v>370</v>
      </c>
      <c r="C33" s="3">
        <v>43957.29215277778</v>
      </c>
      <c r="D33" s="3" t="s">
        <v>17</v>
      </c>
      <c r="E33">
        <v>0</v>
      </c>
      <c r="F33">
        <v>0</v>
      </c>
      <c r="I33" t="s">
        <v>374</v>
      </c>
      <c r="N33">
        <v>0</v>
      </c>
      <c r="O33">
        <v>0</v>
      </c>
      <c r="P33">
        <v>1</v>
      </c>
      <c r="Q33">
        <v>0</v>
      </c>
    </row>
    <row r="34" spans="1:18" x14ac:dyDescent="0.2">
      <c r="A34" s="1" t="str">
        <f>HYPERLINK("http://www.twitter.com/Ugo_Roux/status/1257928259129364480", "1257928259129364480")</f>
        <v>1257928259129364480</v>
      </c>
      <c r="B34" t="s">
        <v>370</v>
      </c>
      <c r="C34" s="3">
        <v>43957.29215277778</v>
      </c>
      <c r="D34" s="3" t="s">
        <v>17</v>
      </c>
      <c r="E34">
        <v>0</v>
      </c>
      <c r="F34">
        <v>0</v>
      </c>
      <c r="I34" t="s">
        <v>375</v>
      </c>
      <c r="N34">
        <v>0</v>
      </c>
      <c r="O34">
        <v>0</v>
      </c>
      <c r="P34">
        <v>1</v>
      </c>
      <c r="Q34">
        <v>0</v>
      </c>
    </row>
    <row r="35" spans="1:18" x14ac:dyDescent="0.2">
      <c r="A35" s="1" t="str">
        <f>HYPERLINK("http://www.twitter.com/Ugo_Roux/status/1257926019065032704", "1257926019065032704")</f>
        <v>1257926019065032704</v>
      </c>
      <c r="B35" t="s">
        <v>285</v>
      </c>
      <c r="C35" s="3">
        <v>43957.28597222222</v>
      </c>
      <c r="D35" s="3" t="s">
        <v>17</v>
      </c>
      <c r="E35">
        <v>0</v>
      </c>
      <c r="F35">
        <v>0</v>
      </c>
      <c r="I35" t="s">
        <v>293</v>
      </c>
      <c r="J35" t="str">
        <f>HYPERLINK("http://pbs.twimg.com/media/EXUM9r3WsAARL6_.jpg", "http://pbs.twimg.com/media/EXUM9r3WsAARL6_.jpg")</f>
        <v>http://pbs.twimg.com/media/EXUM9r3WsAARL6_.jpg</v>
      </c>
      <c r="K35" t="str">
        <f>HYPERLINK("http://pbs.twimg.com/media/EXUM-9OWkAILb6N.jpg", "http://pbs.twimg.com/media/EXUM-9OWkAILb6N.jpg")</f>
        <v>http://pbs.twimg.com/media/EXUM-9OWkAILb6N.jpg</v>
      </c>
      <c r="N35">
        <v>0</v>
      </c>
      <c r="O35">
        <v>0</v>
      </c>
      <c r="P35">
        <v>1</v>
      </c>
      <c r="Q35">
        <v>0</v>
      </c>
    </row>
    <row r="36" spans="1:18" x14ac:dyDescent="0.2">
      <c r="A36" s="1" t="str">
        <f>HYPERLINK("http://www.twitter.com/Ugo_Roux/status/1257694231839326208", "1257694231839326208")</f>
        <v>1257694231839326208</v>
      </c>
      <c r="B36" t="s">
        <v>206</v>
      </c>
      <c r="C36" s="3">
        <v>43956.646365740737</v>
      </c>
      <c r="D36" s="3" t="s">
        <v>41</v>
      </c>
      <c r="E36">
        <v>2</v>
      </c>
      <c r="F36">
        <v>0</v>
      </c>
      <c r="I36" t="s">
        <v>342</v>
      </c>
      <c r="J36" t="str">
        <f>HYPERLINK("http://pbs.twimg.com/media/EXQ6OuxWoAApuuS.jpg", "http://pbs.twimg.com/media/EXQ6OuxWoAApuuS.jpg")</f>
        <v>http://pbs.twimg.com/media/EXQ6OuxWoAApuuS.jpg</v>
      </c>
      <c r="N36">
        <v>0</v>
      </c>
      <c r="O36">
        <v>0</v>
      </c>
      <c r="P36">
        <v>1</v>
      </c>
      <c r="Q36">
        <v>0</v>
      </c>
    </row>
    <row r="37" spans="1:18" x14ac:dyDescent="0.2">
      <c r="A37" s="1" t="str">
        <f>HYPERLINK("http://www.twitter.com/Ugo_Roux/status/1257656075366682626", "1257656075366682626")</f>
        <v>1257656075366682626</v>
      </c>
      <c r="B37" t="s">
        <v>206</v>
      </c>
      <c r="C37" s="3">
        <v>43956.541076388887</v>
      </c>
      <c r="D37" s="3" t="s">
        <v>17</v>
      </c>
      <c r="E37">
        <v>1</v>
      </c>
      <c r="F37">
        <v>0</v>
      </c>
      <c r="I37" t="s">
        <v>268</v>
      </c>
      <c r="J37" t="str">
        <f>HYPERLINK("http://pbs.twimg.com/media/EXQXhBQWAAARCZN.jpg", "http://pbs.twimg.com/media/EXQXhBQWAAARCZN.jpg")</f>
        <v>http://pbs.twimg.com/media/EXQXhBQWAAARCZN.jpg</v>
      </c>
      <c r="N37">
        <v>0</v>
      </c>
      <c r="O37">
        <v>0</v>
      </c>
      <c r="P37">
        <v>1</v>
      </c>
      <c r="Q37">
        <v>0</v>
      </c>
    </row>
    <row r="38" spans="1:18" x14ac:dyDescent="0.2">
      <c r="A38" s="1" t="str">
        <f>HYPERLINK("http://www.twitter.com/Ugo_Roux/status/1257646384444030976", "1257646384444030976")</f>
        <v>1257646384444030976</v>
      </c>
      <c r="B38" t="s">
        <v>142</v>
      </c>
      <c r="C38" s="3">
        <v>43956.514328703714</v>
      </c>
      <c r="D38" s="3" t="s">
        <v>17</v>
      </c>
      <c r="E38">
        <v>3</v>
      </c>
      <c r="F38">
        <v>6</v>
      </c>
      <c r="I38" t="s">
        <v>181</v>
      </c>
      <c r="J38" t="str">
        <f>HYPERLINK("http://pbs.twimg.com/media/EXQOt2eXkAI8Mio.jpg", "http://pbs.twimg.com/media/EXQOt2eXkAI8Mio.jpg")</f>
        <v>http://pbs.twimg.com/media/EXQOt2eXkAI8Mio.jpg</v>
      </c>
      <c r="N38">
        <v>0</v>
      </c>
      <c r="O38">
        <v>0</v>
      </c>
      <c r="P38">
        <v>1</v>
      </c>
      <c r="Q38">
        <v>0</v>
      </c>
    </row>
    <row r="39" spans="1:18" x14ac:dyDescent="0.2">
      <c r="A39" s="1" t="str">
        <f>HYPERLINK("http://www.twitter.com/Ugo_Roux/status/1257641667517198336", "1257641667517198336")</f>
        <v>1257641667517198336</v>
      </c>
      <c r="B39" t="s">
        <v>142</v>
      </c>
      <c r="C39" s="3">
        <v>43956.501319444447</v>
      </c>
      <c r="D39" s="3" t="s">
        <v>17</v>
      </c>
      <c r="E39">
        <v>0</v>
      </c>
      <c r="F39">
        <v>1</v>
      </c>
      <c r="I39" t="s">
        <v>168</v>
      </c>
      <c r="N39">
        <v>0</v>
      </c>
      <c r="O39">
        <v>0</v>
      </c>
      <c r="P39">
        <v>1</v>
      </c>
      <c r="Q39">
        <v>0</v>
      </c>
    </row>
    <row r="40" spans="1:18" x14ac:dyDescent="0.2">
      <c r="A40" s="1" t="str">
        <f>HYPERLINK("http://www.twitter.com/Ugo_Roux/status/1257640426657452032", "1257640426657452032")</f>
        <v>1257640426657452032</v>
      </c>
      <c r="B40" t="s">
        <v>47</v>
      </c>
      <c r="C40" s="3">
        <v>43956.497893518521</v>
      </c>
      <c r="D40" s="3" t="s">
        <v>17</v>
      </c>
      <c r="E40">
        <v>2</v>
      </c>
      <c r="F40">
        <v>1</v>
      </c>
      <c r="I40" t="s">
        <v>50</v>
      </c>
      <c r="J40" t="str">
        <f>HYPERLINK("http://pbs.twimg.com/media/EXQIpZpXQAEsBCq.png", "http://pbs.twimg.com/media/EXQIpZpXQAEsBCq.png")</f>
        <v>http://pbs.twimg.com/media/EXQIpZpXQAEsBCq.png</v>
      </c>
      <c r="N40">
        <v>-0.45879999999999999</v>
      </c>
      <c r="O40">
        <v>0.10299999999999999</v>
      </c>
      <c r="P40">
        <v>0.89700000000000002</v>
      </c>
      <c r="Q40">
        <v>0</v>
      </c>
    </row>
    <row r="41" spans="1:18" x14ac:dyDescent="0.2">
      <c r="A41" s="1" t="str">
        <f>HYPERLINK("http://www.twitter.com/Ugo_Roux/status/1257637891947315204", "1257637891947315204")</f>
        <v>1257637891947315204</v>
      </c>
      <c r="B41" t="s">
        <v>142</v>
      </c>
      <c r="C41" s="3">
        <v>43956.490891203714</v>
      </c>
      <c r="D41" s="3" t="s">
        <v>17</v>
      </c>
      <c r="E41">
        <v>1</v>
      </c>
      <c r="F41">
        <v>1</v>
      </c>
      <c r="I41" t="s">
        <v>205</v>
      </c>
      <c r="J41" t="str">
        <f>HYPERLINK("http://pbs.twimg.com/media/EXQG_l9XkAAce1K.jpg", "http://pbs.twimg.com/media/EXQG_l9XkAAce1K.jpg")</f>
        <v>http://pbs.twimg.com/media/EXQG_l9XkAAce1K.jpg</v>
      </c>
      <c r="N41">
        <v>0</v>
      </c>
      <c r="O41">
        <v>0</v>
      </c>
      <c r="P41">
        <v>1</v>
      </c>
      <c r="Q41">
        <v>0</v>
      </c>
    </row>
    <row r="42" spans="1:18" x14ac:dyDescent="0.2">
      <c r="A42" s="1" t="str">
        <f>HYPERLINK("http://www.twitter.com/Ugo_Roux/status/1257637045754880008", "1257637045754880008")</f>
        <v>1257637045754880008</v>
      </c>
      <c r="B42" t="s">
        <v>47</v>
      </c>
      <c r="C42" s="3">
        <v>43956.488564814812</v>
      </c>
      <c r="D42" s="3" t="s">
        <v>17</v>
      </c>
      <c r="E42">
        <v>4</v>
      </c>
      <c r="F42">
        <v>1</v>
      </c>
      <c r="I42" t="s">
        <v>51</v>
      </c>
      <c r="N42">
        <v>0</v>
      </c>
      <c r="O42">
        <v>0</v>
      </c>
      <c r="P42">
        <v>1</v>
      </c>
      <c r="Q42">
        <v>0</v>
      </c>
    </row>
    <row r="43" spans="1:18" x14ac:dyDescent="0.2">
      <c r="A43" s="1" t="str">
        <f>HYPERLINK("http://www.twitter.com/Ugo_Roux/status/1257587451469672448", "1257587451469672448")</f>
        <v>1257587451469672448</v>
      </c>
      <c r="B43" t="s">
        <v>425</v>
      </c>
      <c r="C43" s="3">
        <v>43956.351701388892</v>
      </c>
      <c r="D43" s="3" t="s">
        <v>17</v>
      </c>
      <c r="E43">
        <v>1</v>
      </c>
      <c r="F43">
        <v>0</v>
      </c>
      <c r="I43" t="s">
        <v>434</v>
      </c>
      <c r="J43" t="str">
        <f>HYPERLINK("http://pbs.twimg.com/media/EXPZFQLXgAEA46p.jpg", "http://pbs.twimg.com/media/EXPZFQLXgAEA46p.jpg")</f>
        <v>http://pbs.twimg.com/media/EXPZFQLXgAEA46p.jpg</v>
      </c>
      <c r="N43">
        <v>0</v>
      </c>
      <c r="O43">
        <v>0</v>
      </c>
      <c r="P43">
        <v>1</v>
      </c>
      <c r="Q43">
        <v>0</v>
      </c>
      <c r="R43">
        <f ca="1">RAND()</f>
        <v>0.58218148355339205</v>
      </c>
    </row>
    <row r="44" spans="1:18" x14ac:dyDescent="0.2">
      <c r="A44" s="1" t="str">
        <f>HYPERLINK("http://www.twitter.com/Ugo_Roux/status/1257573890928324608", "1257573890928324608")</f>
        <v>1257573890928324608</v>
      </c>
      <c r="B44" t="s">
        <v>97</v>
      </c>
      <c r="C44" s="3">
        <v>43956.314282407409</v>
      </c>
      <c r="D44" s="3" t="s">
        <v>17</v>
      </c>
      <c r="E44">
        <v>0</v>
      </c>
      <c r="F44">
        <v>0</v>
      </c>
      <c r="I44" t="s">
        <v>101</v>
      </c>
      <c r="J44" t="str">
        <f>HYPERLINK("http://pbs.twimg.com/media/EXPMyhvXQAMgUm9.jpg", "http://pbs.twimg.com/media/EXPMyhvXQAMgUm9.jpg")</f>
        <v>http://pbs.twimg.com/media/EXPMyhvXQAMgUm9.jpg</v>
      </c>
      <c r="N44">
        <v>0</v>
      </c>
      <c r="O44">
        <v>0</v>
      </c>
      <c r="P44">
        <v>1</v>
      </c>
      <c r="Q44">
        <v>0</v>
      </c>
    </row>
    <row r="45" spans="1:18" x14ac:dyDescent="0.2">
      <c r="A45" s="1" t="str">
        <f>HYPERLINK("http://www.twitter.com/Ugo_Roux/status/1257569534065729539", "1257569534065729539")</f>
        <v>1257569534065729539</v>
      </c>
      <c r="B45" t="s">
        <v>370</v>
      </c>
      <c r="C45" s="3">
        <v>43956.302268518521</v>
      </c>
      <c r="D45" s="3" t="s">
        <v>17</v>
      </c>
      <c r="E45">
        <v>0</v>
      </c>
      <c r="F45">
        <v>0</v>
      </c>
      <c r="I45" t="s">
        <v>376</v>
      </c>
      <c r="J45" t="str">
        <f>HYPERLINK("http://pbs.twimg.com/media/EXPI07TXgAMJsnI.jpg", "http://pbs.twimg.com/media/EXPI07TXgAMJsnI.jpg")</f>
        <v>http://pbs.twimg.com/media/EXPI07TXgAMJsnI.jpg</v>
      </c>
      <c r="N45">
        <v>0</v>
      </c>
      <c r="O45">
        <v>0</v>
      </c>
      <c r="P45">
        <v>1</v>
      </c>
      <c r="Q45">
        <v>0</v>
      </c>
    </row>
    <row r="46" spans="1:18" x14ac:dyDescent="0.2">
      <c r="A46" s="1" t="str">
        <f>HYPERLINK("http://www.twitter.com/Ugo_Roux/status/1257568440556097536", "1257568440556097536")</f>
        <v>1257568440556097536</v>
      </c>
      <c r="B46" t="s">
        <v>370</v>
      </c>
      <c r="C46" s="3">
        <v>43956.299247685187</v>
      </c>
      <c r="D46" s="3" t="s">
        <v>17</v>
      </c>
      <c r="E46">
        <v>0</v>
      </c>
      <c r="F46">
        <v>0</v>
      </c>
      <c r="I46" t="s">
        <v>377</v>
      </c>
      <c r="J46" t="str">
        <f>HYPERLINK("http://pbs.twimg.com/media/EXPH1QgWoAAJ4dP.jpg", "http://pbs.twimg.com/media/EXPH1QgWoAAJ4dP.jpg")</f>
        <v>http://pbs.twimg.com/media/EXPH1QgWoAAJ4dP.jpg</v>
      </c>
      <c r="N46">
        <v>0</v>
      </c>
      <c r="O46">
        <v>0</v>
      </c>
      <c r="P46">
        <v>1</v>
      </c>
      <c r="Q46">
        <v>0</v>
      </c>
    </row>
    <row r="47" spans="1:18" x14ac:dyDescent="0.2">
      <c r="A47" s="1" t="str">
        <f>HYPERLINK("http://www.twitter.com/Ugo_Roux/status/1257566163816636416", "1257566163816636416")</f>
        <v>1257566163816636416</v>
      </c>
      <c r="B47" t="s">
        <v>97</v>
      </c>
      <c r="C47" s="3">
        <v>43956.292962962973</v>
      </c>
      <c r="D47" s="3" t="s">
        <v>17</v>
      </c>
      <c r="E47">
        <v>0</v>
      </c>
      <c r="F47">
        <v>0</v>
      </c>
      <c r="I47" t="s">
        <v>102</v>
      </c>
      <c r="J47" t="str">
        <f>HYPERLINK("http://pbs.twimg.com/media/EXPFwvuWoAAZv__.jpg", "http://pbs.twimg.com/media/EXPFwvuWoAAZv__.jpg")</f>
        <v>http://pbs.twimg.com/media/EXPFwvuWoAAZv__.jpg</v>
      </c>
      <c r="N47">
        <v>0</v>
      </c>
      <c r="O47">
        <v>0</v>
      </c>
      <c r="P47">
        <v>1</v>
      </c>
      <c r="Q47">
        <v>0</v>
      </c>
    </row>
    <row r="48" spans="1:18" x14ac:dyDescent="0.2">
      <c r="A48" s="1" t="str">
        <f>HYPERLINK("http://www.twitter.com/Ugo_Roux/status/1257544406032437249", "1257544406032437249")</f>
        <v>1257544406032437249</v>
      </c>
      <c r="B48" t="s">
        <v>285</v>
      </c>
      <c r="C48" s="3">
        <v>43956.232928240737</v>
      </c>
      <c r="D48" s="3" t="s">
        <v>17</v>
      </c>
      <c r="E48">
        <v>2</v>
      </c>
      <c r="F48">
        <v>1</v>
      </c>
      <c r="I48" t="s">
        <v>294</v>
      </c>
      <c r="J48" t="str">
        <f>HYPERLINK("http://pbs.twimg.com/media/EXOx5ObWsAAl-GS.jpg", "http://pbs.twimg.com/media/EXOx5ObWsAAl-GS.jpg")</f>
        <v>http://pbs.twimg.com/media/EXOx5ObWsAAl-GS.jpg</v>
      </c>
      <c r="N48">
        <v>0</v>
      </c>
      <c r="O48">
        <v>0</v>
      </c>
      <c r="P48">
        <v>1</v>
      </c>
      <c r="Q48">
        <v>0</v>
      </c>
    </row>
    <row r="49" spans="1:18" x14ac:dyDescent="0.2">
      <c r="A49" s="1" t="str">
        <f>HYPERLINK("http://www.twitter.com/Ugo_Roux/status/1257337500747673607", "1257337500747673607")</f>
        <v>1257337500747673607</v>
      </c>
      <c r="B49" t="s">
        <v>206</v>
      </c>
      <c r="C49" s="3">
        <v>43955.661979166667</v>
      </c>
      <c r="D49" s="3" t="s">
        <v>17</v>
      </c>
      <c r="E49">
        <v>1</v>
      </c>
      <c r="F49">
        <v>0</v>
      </c>
      <c r="I49" t="s">
        <v>257</v>
      </c>
      <c r="J49" t="str">
        <f>HYPERLINK("http://pbs.twimg.com/media/EXL1xqQXsAEdy4k.jpg", "http://pbs.twimg.com/media/EXL1xqQXsAEdy4k.jpg")</f>
        <v>http://pbs.twimg.com/media/EXL1xqQXsAEdy4k.jpg</v>
      </c>
      <c r="N49">
        <v>0</v>
      </c>
      <c r="O49">
        <v>0</v>
      </c>
      <c r="P49">
        <v>1</v>
      </c>
      <c r="Q49">
        <v>0</v>
      </c>
    </row>
    <row r="50" spans="1:18" x14ac:dyDescent="0.2">
      <c r="A50" s="1" t="str">
        <f>HYPERLINK("http://www.twitter.com/Ugo_Roux/status/1257334039926759425", "1257334039926759425")</f>
        <v>1257334039926759425</v>
      </c>
      <c r="B50" t="s">
        <v>206</v>
      </c>
      <c r="C50" s="3">
        <v>43955.652418981481</v>
      </c>
      <c r="D50" s="3" t="s">
        <v>17</v>
      </c>
      <c r="E50">
        <v>0</v>
      </c>
      <c r="F50">
        <v>0</v>
      </c>
      <c r="I50" t="s">
        <v>256</v>
      </c>
      <c r="N50">
        <v>0</v>
      </c>
      <c r="O50">
        <v>0</v>
      </c>
      <c r="P50">
        <v>1</v>
      </c>
      <c r="Q50">
        <v>0</v>
      </c>
    </row>
    <row r="51" spans="1:18" x14ac:dyDescent="0.2">
      <c r="A51" s="1" t="str">
        <f>HYPERLINK("http://www.twitter.com/Ugo_Roux/status/1257328832044040193", "1257328832044040193")</f>
        <v>1257328832044040193</v>
      </c>
      <c r="B51" t="s">
        <v>425</v>
      </c>
      <c r="C51" s="3">
        <v>43955.638055555559</v>
      </c>
      <c r="D51" s="3" t="s">
        <v>17</v>
      </c>
      <c r="E51">
        <v>1</v>
      </c>
      <c r="F51">
        <v>0</v>
      </c>
      <c r="I51" t="s">
        <v>452</v>
      </c>
      <c r="J51" t="str">
        <f>HYPERLINK("http://pbs.twimg.com/media/EXLtzJVWsAAC2eR.jpg", "http://pbs.twimg.com/media/EXLtzJVWsAAC2eR.jpg")</f>
        <v>http://pbs.twimg.com/media/EXLtzJVWsAAC2eR.jpg</v>
      </c>
      <c r="N51">
        <v>0</v>
      </c>
      <c r="O51">
        <v>0</v>
      </c>
      <c r="P51">
        <v>1</v>
      </c>
      <c r="Q51">
        <v>0</v>
      </c>
      <c r="R51">
        <f ca="1">RAND()</f>
        <v>0.10456553398515911</v>
      </c>
    </row>
    <row r="52" spans="1:18" x14ac:dyDescent="0.2">
      <c r="A52" s="1" t="str">
        <f>HYPERLINK("http://www.twitter.com/Ugo_Roux/status/1257240126054264835", "1257240126054264835")</f>
        <v>1257240126054264835</v>
      </c>
      <c r="B52" t="s">
        <v>142</v>
      </c>
      <c r="C52" s="3">
        <v>43955.393275462957</v>
      </c>
      <c r="D52" s="3" t="s">
        <v>17</v>
      </c>
      <c r="E52">
        <v>1</v>
      </c>
      <c r="F52">
        <v>1</v>
      </c>
      <c r="I52" t="s">
        <v>360</v>
      </c>
      <c r="J52" t="str">
        <f>HYPERLINK("http://pbs.twimg.com/media/EXKdOrSWoAAoMBg.jpg", "http://pbs.twimg.com/media/EXKdOrSWoAAoMBg.jpg")</f>
        <v>http://pbs.twimg.com/media/EXKdOrSWoAAoMBg.jpg</v>
      </c>
      <c r="N52">
        <v>0</v>
      </c>
      <c r="O52">
        <v>0</v>
      </c>
      <c r="P52">
        <v>1</v>
      </c>
      <c r="Q52">
        <v>0</v>
      </c>
    </row>
    <row r="53" spans="1:18" x14ac:dyDescent="0.2">
      <c r="A53" s="1" t="str">
        <f>HYPERLINK("http://www.twitter.com/Ugo_Roux/status/1257220276523356161", "1257220276523356161")</f>
        <v>1257220276523356161</v>
      </c>
      <c r="B53" t="s">
        <v>97</v>
      </c>
      <c r="C53" s="3">
        <v>43955.338495370372</v>
      </c>
      <c r="D53" s="3" t="s">
        <v>17</v>
      </c>
      <c r="E53">
        <v>0</v>
      </c>
      <c r="F53">
        <v>0</v>
      </c>
      <c r="I53" t="s">
        <v>103</v>
      </c>
      <c r="N53">
        <v>0</v>
      </c>
      <c r="O53">
        <v>0</v>
      </c>
      <c r="P53">
        <v>1</v>
      </c>
      <c r="Q53">
        <v>0</v>
      </c>
    </row>
    <row r="54" spans="1:18" x14ac:dyDescent="0.2">
      <c r="A54" s="1" t="str">
        <f>HYPERLINK("http://www.twitter.com/Ugo_Roux/status/1257206451128459266", "1257206451128459266")</f>
        <v>1257206451128459266</v>
      </c>
      <c r="B54" t="s">
        <v>370</v>
      </c>
      <c r="C54" s="3">
        <v>43955.300347222219</v>
      </c>
      <c r="D54" s="3" t="s">
        <v>17</v>
      </c>
      <c r="E54">
        <v>0</v>
      </c>
      <c r="F54">
        <v>0</v>
      </c>
      <c r="I54" t="s">
        <v>378</v>
      </c>
      <c r="J54" t="str">
        <f>HYPERLINK("http://pbs.twimg.com/media/EXJ-mtYWkAESIi3.jpg", "http://pbs.twimg.com/media/EXJ-mtYWkAESIi3.jpg")</f>
        <v>http://pbs.twimg.com/media/EXJ-mtYWkAESIi3.jpg</v>
      </c>
      <c r="N54">
        <v>0</v>
      </c>
      <c r="O54">
        <v>0</v>
      </c>
      <c r="P54">
        <v>1</v>
      </c>
      <c r="Q54">
        <v>0</v>
      </c>
    </row>
    <row r="55" spans="1:18" x14ac:dyDescent="0.2">
      <c r="A55" s="1" t="str">
        <f>HYPERLINK("http://www.twitter.com/Ugo_Roux/status/1257206435135528960", "1257206435135528960")</f>
        <v>1257206435135528960</v>
      </c>
      <c r="B55" t="s">
        <v>370</v>
      </c>
      <c r="C55" s="3">
        <v>43955.300300925926</v>
      </c>
      <c r="D55" s="3" t="s">
        <v>17</v>
      </c>
      <c r="E55">
        <v>0</v>
      </c>
      <c r="F55">
        <v>0</v>
      </c>
      <c r="I55" t="s">
        <v>379</v>
      </c>
      <c r="J55" t="str">
        <f>HYPERLINK("http://pbs.twimg.com/media/EXJ-lw-XQAEyy_z.jpg", "http://pbs.twimg.com/media/EXJ-lw-XQAEyy_z.jpg")</f>
        <v>http://pbs.twimg.com/media/EXJ-lw-XQAEyy_z.jpg</v>
      </c>
      <c r="N55">
        <v>0</v>
      </c>
      <c r="O55">
        <v>0</v>
      </c>
      <c r="P55">
        <v>1</v>
      </c>
      <c r="Q55">
        <v>0</v>
      </c>
    </row>
    <row r="56" spans="1:18" x14ac:dyDescent="0.2">
      <c r="A56" s="1" t="str">
        <f>HYPERLINK("http://www.twitter.com/Ugo_Roux/status/1257196766824402944", "1257196766824402944")</f>
        <v>1257196766824402944</v>
      </c>
      <c r="B56" t="s">
        <v>47</v>
      </c>
      <c r="C56" s="3">
        <v>43955.273622685178</v>
      </c>
      <c r="D56" s="3" t="s">
        <v>28</v>
      </c>
      <c r="E56">
        <v>4</v>
      </c>
      <c r="F56">
        <v>2</v>
      </c>
      <c r="I56" t="s">
        <v>52</v>
      </c>
      <c r="N56">
        <v>-0.20030000000000001</v>
      </c>
      <c r="O56">
        <v>4.3999999999999997E-2</v>
      </c>
      <c r="P56">
        <v>0.95599999999999996</v>
      </c>
      <c r="Q56">
        <v>0</v>
      </c>
    </row>
    <row r="57" spans="1:18" x14ac:dyDescent="0.2">
      <c r="A57" s="1" t="str">
        <f>HYPERLINK("http://www.twitter.com/Ugo_Roux/status/1256975996533817347", "1256975996533817347")</f>
        <v>1256975996533817347</v>
      </c>
      <c r="B57" t="s">
        <v>206</v>
      </c>
      <c r="C57" s="3">
        <v>43954.664409722223</v>
      </c>
      <c r="D57" s="3" t="s">
        <v>41</v>
      </c>
      <c r="E57">
        <v>3</v>
      </c>
      <c r="F57">
        <v>0</v>
      </c>
      <c r="I57" t="s">
        <v>209</v>
      </c>
      <c r="J57" t="str">
        <f>HYPERLINK("http://pbs.twimg.com/media/EXGs3fCXkAMRMnm.jpg", "http://pbs.twimg.com/media/EXGs3fCXkAMRMnm.jpg")</f>
        <v>http://pbs.twimg.com/media/EXGs3fCXkAMRMnm.jpg</v>
      </c>
      <c r="K57" t="str">
        <f>HYPERLINK("http://pbs.twimg.com/media/EXGs6DUXsAEEYAF.jpg", "http://pbs.twimg.com/media/EXGs6DUXsAEEYAF.jpg")</f>
        <v>http://pbs.twimg.com/media/EXGs6DUXsAEEYAF.jpg</v>
      </c>
      <c r="L57" t="str">
        <f>HYPERLINK("http://pbs.twimg.com/media/EXGs9jeWoAMcphn.jpg", "http://pbs.twimg.com/media/EXGs9jeWoAMcphn.jpg")</f>
        <v>http://pbs.twimg.com/media/EXGs9jeWoAMcphn.jpg</v>
      </c>
      <c r="N57">
        <v>0</v>
      </c>
      <c r="O57">
        <v>0</v>
      </c>
      <c r="P57">
        <v>1</v>
      </c>
      <c r="Q57">
        <v>0</v>
      </c>
    </row>
    <row r="58" spans="1:18" x14ac:dyDescent="0.2">
      <c r="A58" s="1" t="str">
        <f>HYPERLINK("http://www.twitter.com/Ugo_Roux/status/1256939070057562113", "1256939070057562113")</f>
        <v>1256939070057562113</v>
      </c>
      <c r="B58" t="s">
        <v>142</v>
      </c>
      <c r="C58" s="3">
        <v>43954.562511574077</v>
      </c>
      <c r="D58" s="3" t="s">
        <v>17</v>
      </c>
      <c r="E58">
        <v>3</v>
      </c>
      <c r="F58">
        <v>1</v>
      </c>
      <c r="I58" t="s">
        <v>167</v>
      </c>
      <c r="J58" t="str">
        <f>HYPERLINK("http://pbs.twimg.com/media/EXGLaGWXkBMSlRi.jpg", "http://pbs.twimg.com/media/EXGLaGWXkBMSlRi.jpg")</f>
        <v>http://pbs.twimg.com/media/EXGLaGWXkBMSlRi.jpg</v>
      </c>
      <c r="N58">
        <v>0</v>
      </c>
      <c r="O58">
        <v>0</v>
      </c>
      <c r="P58">
        <v>1</v>
      </c>
      <c r="Q58">
        <v>0</v>
      </c>
    </row>
    <row r="59" spans="1:18" x14ac:dyDescent="0.2">
      <c r="A59" s="1" t="str">
        <f>HYPERLINK("http://www.twitter.com/Ugo_Roux/status/1256906857677029376", "1256906857677029376")</f>
        <v>1256906857677029376</v>
      </c>
      <c r="B59" t="s">
        <v>47</v>
      </c>
      <c r="C59" s="3">
        <v>43954.473622685182</v>
      </c>
      <c r="D59" s="3" t="s">
        <v>41</v>
      </c>
      <c r="E59">
        <v>6</v>
      </c>
      <c r="F59">
        <v>2</v>
      </c>
      <c r="I59" t="s">
        <v>53</v>
      </c>
      <c r="N59">
        <v>0</v>
      </c>
      <c r="O59">
        <v>0</v>
      </c>
      <c r="P59">
        <v>1</v>
      </c>
      <c r="Q59">
        <v>0</v>
      </c>
    </row>
    <row r="60" spans="1:18" x14ac:dyDescent="0.2">
      <c r="A60" s="1" t="str">
        <f>HYPERLINK("http://www.twitter.com/Ugo_Roux/status/1256841225279344641", "1256841225279344641")</f>
        <v>1256841225279344641</v>
      </c>
      <c r="B60" t="s">
        <v>97</v>
      </c>
      <c r="C60" s="3">
        <v>43954.292511574073</v>
      </c>
      <c r="D60" s="3" t="s">
        <v>17</v>
      </c>
      <c r="E60">
        <v>1</v>
      </c>
      <c r="F60">
        <v>0</v>
      </c>
      <c r="I60" t="s">
        <v>104</v>
      </c>
      <c r="J60" t="str">
        <f>HYPERLINK("http://pbs.twimg.com/media/EXEybxIXgAE13mt.jpg", "http://pbs.twimg.com/media/EXEybxIXgAE13mt.jpg")</f>
        <v>http://pbs.twimg.com/media/EXEybxIXgAE13mt.jpg</v>
      </c>
      <c r="N60">
        <v>0</v>
      </c>
      <c r="O60">
        <v>0</v>
      </c>
      <c r="P60">
        <v>1</v>
      </c>
      <c r="Q60">
        <v>0</v>
      </c>
    </row>
    <row r="61" spans="1:18" x14ac:dyDescent="0.2">
      <c r="A61" s="1" t="str">
        <f>HYPERLINK("http://www.twitter.com/Ugo_Roux/status/1256602036365230080", "1256602036365230080")</f>
        <v>1256602036365230080</v>
      </c>
      <c r="B61" t="s">
        <v>206</v>
      </c>
      <c r="C61" s="3">
        <v>43953.632476851853</v>
      </c>
      <c r="D61" s="3" t="s">
        <v>28</v>
      </c>
      <c r="E61">
        <v>3</v>
      </c>
      <c r="F61">
        <v>1</v>
      </c>
      <c r="I61" t="s">
        <v>235</v>
      </c>
      <c r="N61">
        <v>0</v>
      </c>
      <c r="O61">
        <v>0</v>
      </c>
      <c r="P61">
        <v>1</v>
      </c>
      <c r="Q61">
        <v>0</v>
      </c>
    </row>
    <row r="62" spans="1:18" x14ac:dyDescent="0.2">
      <c r="A62" s="1" t="str">
        <f>HYPERLINK("http://www.twitter.com/Ugo_Roux/status/1256598040380690432", "1256598040380690432")</f>
        <v>1256598040380690432</v>
      </c>
      <c r="B62" t="s">
        <v>206</v>
      </c>
      <c r="C62" s="3">
        <v>43953.621446759258</v>
      </c>
      <c r="D62" s="3" t="s">
        <v>17</v>
      </c>
      <c r="E62">
        <v>1</v>
      </c>
      <c r="F62">
        <v>0</v>
      </c>
      <c r="I62" t="s">
        <v>343</v>
      </c>
      <c r="J62" t="str">
        <f>HYPERLINK("http://pbs.twimg.com/media/EXBVAdgXYAACa69.jpg", "http://pbs.twimg.com/media/EXBVAdgXYAACa69.jpg")</f>
        <v>http://pbs.twimg.com/media/EXBVAdgXYAACa69.jpg</v>
      </c>
      <c r="N62">
        <v>0</v>
      </c>
      <c r="O62">
        <v>0</v>
      </c>
      <c r="P62">
        <v>1</v>
      </c>
      <c r="Q62">
        <v>0</v>
      </c>
    </row>
    <row r="63" spans="1:18" x14ac:dyDescent="0.2">
      <c r="A63" s="1" t="str">
        <f>HYPERLINK("http://www.twitter.com/Ugo_Roux/status/1256514119127220230", "1256514119127220230")</f>
        <v>1256514119127220230</v>
      </c>
      <c r="B63" t="s">
        <v>47</v>
      </c>
      <c r="C63" s="3">
        <v>43953.389872685177</v>
      </c>
      <c r="D63" s="3" t="s">
        <v>17</v>
      </c>
      <c r="E63">
        <v>11</v>
      </c>
      <c r="F63">
        <v>4</v>
      </c>
      <c r="I63" t="s">
        <v>54</v>
      </c>
      <c r="J63" t="str">
        <f>HYPERLINK("http://pbs.twimg.com/media/EXAGNcbWoAAjv1z.jpg", "http://pbs.twimg.com/media/EXAGNcbWoAAjv1z.jpg")</f>
        <v>http://pbs.twimg.com/media/EXAGNcbWoAAjv1z.jpg</v>
      </c>
      <c r="N63">
        <v>-0.54110000000000003</v>
      </c>
      <c r="O63">
        <v>9.2999999999999999E-2</v>
      </c>
      <c r="P63">
        <v>0.90700000000000003</v>
      </c>
      <c r="Q63">
        <v>0</v>
      </c>
    </row>
    <row r="64" spans="1:18" x14ac:dyDescent="0.2">
      <c r="A64" s="1" t="str">
        <f>HYPERLINK("http://www.twitter.com/Ugo_Roux/status/1256507609739395073", "1256507609739395073")</f>
        <v>1256507609739395073</v>
      </c>
      <c r="B64" t="s">
        <v>47</v>
      </c>
      <c r="C64" s="3">
        <v>43953.37190972222</v>
      </c>
      <c r="D64" s="3" t="s">
        <v>17</v>
      </c>
      <c r="E64">
        <v>6</v>
      </c>
      <c r="F64">
        <v>1</v>
      </c>
      <c r="I64" t="s">
        <v>55</v>
      </c>
      <c r="N64">
        <v>0</v>
      </c>
      <c r="O64">
        <v>0</v>
      </c>
      <c r="P64">
        <v>1</v>
      </c>
      <c r="Q64">
        <v>0</v>
      </c>
    </row>
    <row r="65" spans="1:18" x14ac:dyDescent="0.2">
      <c r="A65" s="1" t="str">
        <f>HYPERLINK("http://www.twitter.com/Ugo_Roux/status/1256479424934903808", "1256479424934903808")</f>
        <v>1256479424934903808</v>
      </c>
      <c r="B65" t="s">
        <v>97</v>
      </c>
      <c r="C65" s="3">
        <v>43953.294131944444</v>
      </c>
      <c r="D65" s="3" t="s">
        <v>17</v>
      </c>
      <c r="E65">
        <v>1</v>
      </c>
      <c r="F65">
        <v>0</v>
      </c>
      <c r="I65" t="s">
        <v>105</v>
      </c>
      <c r="N65">
        <v>0</v>
      </c>
      <c r="O65">
        <v>0</v>
      </c>
      <c r="P65">
        <v>1</v>
      </c>
      <c r="Q65">
        <v>0</v>
      </c>
    </row>
    <row r="66" spans="1:18" x14ac:dyDescent="0.2">
      <c r="A66" s="1" t="str">
        <f>HYPERLINK("http://www.twitter.com/Ugo_Roux/status/1256460248073846784", "1256460248073846784")</f>
        <v>1256460248073846784</v>
      </c>
      <c r="B66" t="s">
        <v>285</v>
      </c>
      <c r="C66" s="3">
        <v>43953.241215277783</v>
      </c>
      <c r="D66" s="3" t="s">
        <v>17</v>
      </c>
      <c r="E66">
        <v>1</v>
      </c>
      <c r="F66">
        <v>0</v>
      </c>
      <c r="I66" t="s">
        <v>295</v>
      </c>
      <c r="J66" t="str">
        <f>HYPERLINK("http://pbs.twimg.com/media/EW_X6_uX0AEFfrh.png", "http://pbs.twimg.com/media/EW_X6_uX0AEFfrh.png")</f>
        <v>http://pbs.twimg.com/media/EW_X6_uX0AEFfrh.png</v>
      </c>
      <c r="N66">
        <v>0</v>
      </c>
      <c r="O66">
        <v>0</v>
      </c>
      <c r="P66">
        <v>1</v>
      </c>
      <c r="Q66">
        <v>0</v>
      </c>
    </row>
    <row r="67" spans="1:18" x14ac:dyDescent="0.2">
      <c r="A67" s="1" t="str">
        <f>HYPERLINK("http://www.twitter.com/Ugo_Roux/status/1256211656822140928", "1256211656822140928")</f>
        <v>1256211656822140928</v>
      </c>
      <c r="B67" t="s">
        <v>142</v>
      </c>
      <c r="C67" s="3">
        <v>43952.555231481478</v>
      </c>
      <c r="D67" s="3" t="s">
        <v>17</v>
      </c>
      <c r="E67">
        <v>2</v>
      </c>
      <c r="F67">
        <v>1</v>
      </c>
      <c r="I67" t="s">
        <v>201</v>
      </c>
      <c r="J67" t="str">
        <f>HYPERLINK("http://pbs.twimg.com/media/EW711zfXgAEdUVR.jpg", "http://pbs.twimg.com/media/EW711zfXgAEdUVR.jpg")</f>
        <v>http://pbs.twimg.com/media/EW711zfXgAEdUVR.jpg</v>
      </c>
      <c r="N67">
        <v>0</v>
      </c>
      <c r="O67">
        <v>0</v>
      </c>
      <c r="P67">
        <v>1</v>
      </c>
      <c r="Q67">
        <v>0</v>
      </c>
    </row>
    <row r="68" spans="1:18" x14ac:dyDescent="0.2">
      <c r="A68" s="1" t="str">
        <f>HYPERLINK("http://www.twitter.com/Ugo_Roux/status/1256197146640109568", "1256197146640109568")</f>
        <v>1256197146640109568</v>
      </c>
      <c r="B68" t="s">
        <v>206</v>
      </c>
      <c r="C68" s="3">
        <v>43952.515196759261</v>
      </c>
      <c r="D68" s="3" t="s">
        <v>41</v>
      </c>
      <c r="E68">
        <v>2</v>
      </c>
      <c r="F68">
        <v>0</v>
      </c>
      <c r="I68" t="s">
        <v>344</v>
      </c>
      <c r="J68" t="str">
        <f>HYPERLINK("http://pbs.twimg.com/media/EW7ooh6XQAATUnI.jpg", "http://pbs.twimg.com/media/EW7ooh6XQAATUnI.jpg")</f>
        <v>http://pbs.twimg.com/media/EW7ooh6XQAATUnI.jpg</v>
      </c>
      <c r="N68">
        <v>0</v>
      </c>
      <c r="O68">
        <v>0</v>
      </c>
      <c r="P68">
        <v>1</v>
      </c>
      <c r="Q68">
        <v>0</v>
      </c>
    </row>
    <row r="69" spans="1:18" x14ac:dyDescent="0.2">
      <c r="A69" s="1" t="str">
        <f>HYPERLINK("http://www.twitter.com/Ugo_Roux/status/1256123855971721217", "1256123855971721217")</f>
        <v>1256123855971721217</v>
      </c>
      <c r="B69" t="s">
        <v>370</v>
      </c>
      <c r="C69" s="3">
        <v>43952.312951388893</v>
      </c>
      <c r="D69" s="3" t="s">
        <v>17</v>
      </c>
      <c r="E69">
        <v>0</v>
      </c>
      <c r="F69">
        <v>0</v>
      </c>
      <c r="I69" t="s">
        <v>380</v>
      </c>
      <c r="J69" t="str">
        <f>HYPERLINK("http://pbs.twimg.com/media/EW6l_ZMWAAEip8e.jpg", "http://pbs.twimg.com/media/EW6l_ZMWAAEip8e.jpg")</f>
        <v>http://pbs.twimg.com/media/EW6l_ZMWAAEip8e.jpg</v>
      </c>
      <c r="N69">
        <v>0</v>
      </c>
      <c r="O69">
        <v>0</v>
      </c>
      <c r="P69">
        <v>1</v>
      </c>
      <c r="Q69">
        <v>0</v>
      </c>
    </row>
    <row r="70" spans="1:18" x14ac:dyDescent="0.2">
      <c r="A70" s="1" t="str">
        <f>HYPERLINK("http://www.twitter.com/Ugo_Roux/status/1256116839119155200", "1256116839119155200")</f>
        <v>1256116839119155200</v>
      </c>
      <c r="B70" t="s">
        <v>370</v>
      </c>
      <c r="C70" s="3">
        <v>43952.293587962973</v>
      </c>
      <c r="D70" s="3" t="s">
        <v>17</v>
      </c>
      <c r="E70">
        <v>0</v>
      </c>
      <c r="F70">
        <v>0</v>
      </c>
      <c r="I70" t="s">
        <v>381</v>
      </c>
      <c r="J70" t="str">
        <f>HYPERLINK("http://pbs.twimg.com/media/EW6fm8CVcAE-7Hh.jpg", "http://pbs.twimg.com/media/EW6fm8CVcAE-7Hh.jpg")</f>
        <v>http://pbs.twimg.com/media/EW6fm8CVcAE-7Hh.jpg</v>
      </c>
      <c r="N70">
        <v>0</v>
      </c>
      <c r="O70">
        <v>0</v>
      </c>
      <c r="P70">
        <v>1</v>
      </c>
      <c r="Q70">
        <v>0</v>
      </c>
    </row>
    <row r="71" spans="1:18" x14ac:dyDescent="0.2">
      <c r="A71" s="1" t="str">
        <f>HYPERLINK("http://www.twitter.com/Ugo_Roux/status/1256116530829561856", "1256116530829561856")</f>
        <v>1256116530829561856</v>
      </c>
      <c r="B71" t="s">
        <v>97</v>
      </c>
      <c r="C71" s="3">
        <v>43952.292743055557</v>
      </c>
      <c r="D71" s="3" t="s">
        <v>17</v>
      </c>
      <c r="E71">
        <v>1</v>
      </c>
      <c r="F71">
        <v>0</v>
      </c>
      <c r="I71" t="s">
        <v>106</v>
      </c>
      <c r="J71" t="str">
        <f>HYPERLINK("http://pbs.twimg.com/media/EW6fU_hXsAAlo0E.jpg", "http://pbs.twimg.com/media/EW6fU_hXsAAlo0E.jpg")</f>
        <v>http://pbs.twimg.com/media/EW6fU_hXsAAlo0E.jpg</v>
      </c>
      <c r="N71">
        <v>0</v>
      </c>
      <c r="O71">
        <v>0</v>
      </c>
      <c r="P71">
        <v>1</v>
      </c>
      <c r="Q71">
        <v>0</v>
      </c>
    </row>
    <row r="72" spans="1:18" x14ac:dyDescent="0.2">
      <c r="A72" s="1" t="str">
        <f>HYPERLINK("http://www.twitter.com/Ugo_Roux/status/1256094834634510339", "1256094834634510339")</f>
        <v>1256094834634510339</v>
      </c>
      <c r="B72" t="s">
        <v>285</v>
      </c>
      <c r="C72" s="3">
        <v>43952.232870370368</v>
      </c>
      <c r="D72" s="3" t="s">
        <v>17</v>
      </c>
      <c r="E72">
        <v>0</v>
      </c>
      <c r="F72">
        <v>0</v>
      </c>
      <c r="I72" t="s">
        <v>296</v>
      </c>
      <c r="J72" t="str">
        <f>HYPERLINK("http://pbs.twimg.com/media/EW6Ll3mXQAAoipx.jpg", "http://pbs.twimg.com/media/EW6Ll3mXQAAoipx.jpg")</f>
        <v>http://pbs.twimg.com/media/EW6Ll3mXQAAoipx.jpg</v>
      </c>
      <c r="N72">
        <v>0</v>
      </c>
      <c r="O72">
        <v>0</v>
      </c>
      <c r="P72">
        <v>1</v>
      </c>
      <c r="Q72">
        <v>0</v>
      </c>
    </row>
    <row r="73" spans="1:18" x14ac:dyDescent="0.2">
      <c r="A73" s="1" t="str">
        <f>HYPERLINK("http://www.twitter.com/Ugo_Roux/status/1255893304140537859", "1255893304140537859")</f>
        <v>1255893304140537859</v>
      </c>
      <c r="B73" t="s">
        <v>47</v>
      </c>
      <c r="C73" s="3">
        <v>43951.676747685182</v>
      </c>
      <c r="D73" s="3" t="s">
        <v>17</v>
      </c>
      <c r="E73">
        <v>7</v>
      </c>
      <c r="F73">
        <v>1</v>
      </c>
      <c r="I73" t="s">
        <v>56</v>
      </c>
      <c r="N73">
        <v>0</v>
      </c>
      <c r="O73">
        <v>0</v>
      </c>
      <c r="P73">
        <v>1</v>
      </c>
      <c r="Q73">
        <v>0</v>
      </c>
    </row>
    <row r="74" spans="1:18" x14ac:dyDescent="0.2">
      <c r="A74" s="1" t="str">
        <f>HYPERLINK("http://www.twitter.com/Ugo_Roux/status/1255886732123344903", "1255886732123344903")</f>
        <v>1255886732123344903</v>
      </c>
      <c r="B74" t="s">
        <v>206</v>
      </c>
      <c r="C74" s="3">
        <v>43951.65861111111</v>
      </c>
      <c r="D74" s="3" t="s">
        <v>41</v>
      </c>
      <c r="E74">
        <v>4</v>
      </c>
      <c r="F74">
        <v>2</v>
      </c>
      <c r="I74" t="s">
        <v>221</v>
      </c>
      <c r="J74" t="str">
        <f>HYPERLINK("http://pbs.twimg.com/media/EW3OSScX0AAzIDJ.jpg", "http://pbs.twimg.com/media/EW3OSScX0AAzIDJ.jpg")</f>
        <v>http://pbs.twimg.com/media/EW3OSScX0AAzIDJ.jpg</v>
      </c>
      <c r="N74">
        <v>0</v>
      </c>
      <c r="O74">
        <v>0</v>
      </c>
      <c r="P74">
        <v>1</v>
      </c>
      <c r="Q74">
        <v>0</v>
      </c>
    </row>
    <row r="75" spans="1:18" x14ac:dyDescent="0.2">
      <c r="A75" s="1" t="str">
        <f>HYPERLINK("http://www.twitter.com/Ugo_Roux/status/1255885236698787840", "1255885236698787840")</f>
        <v>1255885236698787840</v>
      </c>
      <c r="B75" t="s">
        <v>425</v>
      </c>
      <c r="C75" s="3">
        <v>43951.654490740737</v>
      </c>
      <c r="D75" s="3" t="s">
        <v>17</v>
      </c>
      <c r="E75">
        <v>2</v>
      </c>
      <c r="F75">
        <v>0</v>
      </c>
      <c r="I75" t="s">
        <v>439</v>
      </c>
      <c r="J75" t="str">
        <f>HYPERLINK("http://pbs.twimg.com/media/EW3M9EPXkAIehRl.jpg", "http://pbs.twimg.com/media/EW3M9EPXkAIehRl.jpg")</f>
        <v>http://pbs.twimg.com/media/EW3M9EPXkAIehRl.jpg</v>
      </c>
      <c r="N75">
        <v>0</v>
      </c>
      <c r="O75">
        <v>0</v>
      </c>
      <c r="P75">
        <v>1</v>
      </c>
      <c r="Q75">
        <v>0</v>
      </c>
      <c r="R75">
        <f ca="1">RAND()</f>
        <v>0.77007916226532513</v>
      </c>
    </row>
    <row r="76" spans="1:18" x14ac:dyDescent="0.2">
      <c r="A76" s="1" t="str">
        <f>HYPERLINK("http://www.twitter.com/Ugo_Roux/status/1255870063661514755", "1255870063661514755")</f>
        <v>1255870063661514755</v>
      </c>
      <c r="B76" t="s">
        <v>142</v>
      </c>
      <c r="C76" s="3">
        <v>43951.612615740742</v>
      </c>
      <c r="D76" s="3" t="s">
        <v>17</v>
      </c>
      <c r="E76">
        <v>0</v>
      </c>
      <c r="F76">
        <v>1</v>
      </c>
      <c r="I76" t="s">
        <v>190</v>
      </c>
      <c r="J76" t="str">
        <f>HYPERLINK("http://pbs.twimg.com/media/EW2_KZ3WoAgv502.jpg", "http://pbs.twimg.com/media/EW2_KZ3WoAgv502.jpg")</f>
        <v>http://pbs.twimg.com/media/EW2_KZ3WoAgv502.jpg</v>
      </c>
      <c r="N76">
        <v>0</v>
      </c>
      <c r="O76">
        <v>0</v>
      </c>
      <c r="P76">
        <v>1</v>
      </c>
      <c r="Q76">
        <v>0</v>
      </c>
    </row>
    <row r="77" spans="1:18" x14ac:dyDescent="0.2">
      <c r="A77" s="1" t="str">
        <f>HYPERLINK("http://www.twitter.com/Ugo_Roux/status/1255869940852297733", "1255869940852297733")</f>
        <v>1255869940852297733</v>
      </c>
      <c r="B77" t="s">
        <v>142</v>
      </c>
      <c r="C77" s="3">
        <v>43951.612280092602</v>
      </c>
      <c r="D77" s="3" t="s">
        <v>17</v>
      </c>
      <c r="E77">
        <v>1</v>
      </c>
      <c r="F77">
        <v>1</v>
      </c>
      <c r="I77" t="s">
        <v>194</v>
      </c>
      <c r="J77" t="str">
        <f>HYPERLINK("http://pbs.twimg.com/media/EW2_DDRWoAA77Zd.jpg", "http://pbs.twimg.com/media/EW2_DDRWoAA77Zd.jpg")</f>
        <v>http://pbs.twimg.com/media/EW2_DDRWoAA77Zd.jpg</v>
      </c>
      <c r="K77" t="str">
        <f>HYPERLINK("http://pbs.twimg.com/media/EW2_DFAWsAI4_MY.jpg", "http://pbs.twimg.com/media/EW2_DFAWsAI4_MY.jpg")</f>
        <v>http://pbs.twimg.com/media/EW2_DFAWsAI4_MY.jpg</v>
      </c>
      <c r="N77">
        <v>0</v>
      </c>
      <c r="O77">
        <v>0</v>
      </c>
      <c r="P77">
        <v>1</v>
      </c>
      <c r="Q77">
        <v>0</v>
      </c>
    </row>
    <row r="78" spans="1:18" x14ac:dyDescent="0.2">
      <c r="A78" s="1" t="str">
        <f>HYPERLINK("http://www.twitter.com/Ugo_Roux/status/1255810159823081472", "1255810159823081472")</f>
        <v>1255810159823081472</v>
      </c>
      <c r="B78" t="s">
        <v>206</v>
      </c>
      <c r="C78" s="3">
        <v>43951.447314814817</v>
      </c>
      <c r="D78" s="3" t="s">
        <v>17</v>
      </c>
      <c r="E78">
        <v>1</v>
      </c>
      <c r="F78">
        <v>0</v>
      </c>
      <c r="I78" t="s">
        <v>259</v>
      </c>
      <c r="N78">
        <v>0</v>
      </c>
      <c r="O78">
        <v>0</v>
      </c>
      <c r="P78">
        <v>1</v>
      </c>
      <c r="Q78">
        <v>0</v>
      </c>
    </row>
    <row r="79" spans="1:18" x14ac:dyDescent="0.2">
      <c r="A79" s="1" t="str">
        <f>HYPERLINK("http://www.twitter.com/Ugo_Roux/status/1255753960977285122", "1255753960977285122")</f>
        <v>1255753960977285122</v>
      </c>
      <c r="B79" t="s">
        <v>97</v>
      </c>
      <c r="C79" s="3">
        <v>43951.292233796303</v>
      </c>
      <c r="D79" s="3" t="s">
        <v>17</v>
      </c>
      <c r="E79">
        <v>1</v>
      </c>
      <c r="F79">
        <v>0</v>
      </c>
      <c r="I79" t="s">
        <v>107</v>
      </c>
      <c r="J79" t="str">
        <f>HYPERLINK("http://pbs.twimg.com/media/EW1VkpzWkAIELZn.jpg", "http://pbs.twimg.com/media/EW1VkpzWkAIELZn.jpg")</f>
        <v>http://pbs.twimg.com/media/EW1VkpzWkAIELZn.jpg</v>
      </c>
      <c r="N79">
        <v>0</v>
      </c>
      <c r="O79">
        <v>0</v>
      </c>
      <c r="P79">
        <v>1</v>
      </c>
      <c r="Q79">
        <v>0</v>
      </c>
    </row>
    <row r="80" spans="1:18" x14ac:dyDescent="0.2">
      <c r="A80" s="1" t="str">
        <f>HYPERLINK("http://www.twitter.com/Ugo_Roux/status/1255744361373011968", "1255744361373011968")</f>
        <v>1255744361373011968</v>
      </c>
      <c r="B80" t="s">
        <v>285</v>
      </c>
      <c r="C80" s="3">
        <v>43951.265752314823</v>
      </c>
      <c r="D80" s="3" t="s">
        <v>17</v>
      </c>
      <c r="E80">
        <v>0</v>
      </c>
      <c r="F80">
        <v>0</v>
      </c>
      <c r="I80" t="s">
        <v>297</v>
      </c>
      <c r="J80" t="str">
        <f>HYPERLINK("http://pbs.twimg.com/media/EW1M0mVXYAIpUqC.jpg", "http://pbs.twimg.com/media/EW1M0mVXYAIpUqC.jpg")</f>
        <v>http://pbs.twimg.com/media/EW1M0mVXYAIpUqC.jpg</v>
      </c>
      <c r="N80">
        <v>0</v>
      </c>
      <c r="O80">
        <v>0</v>
      </c>
      <c r="P80">
        <v>1</v>
      </c>
      <c r="Q80">
        <v>0</v>
      </c>
    </row>
    <row r="81" spans="1:18" x14ac:dyDescent="0.2">
      <c r="A81" s="1" t="str">
        <f>HYPERLINK("http://www.twitter.com/Ugo_Roux/status/1255532102478704640", "1255532102478704640")</f>
        <v>1255532102478704640</v>
      </c>
      <c r="B81" t="s">
        <v>142</v>
      </c>
      <c r="C81" s="3">
        <v>43950.680023148147</v>
      </c>
      <c r="D81" s="3" t="s">
        <v>17</v>
      </c>
      <c r="E81">
        <v>7</v>
      </c>
      <c r="F81">
        <v>2</v>
      </c>
      <c r="I81" t="s">
        <v>361</v>
      </c>
      <c r="J81" t="str">
        <f>HYPERLINK("http://pbs.twimg.com/media/EWyLyZPXYAUrj3r.jpg", "http://pbs.twimg.com/media/EWyLyZPXYAUrj3r.jpg")</f>
        <v>http://pbs.twimg.com/media/EWyLyZPXYAUrj3r.jpg</v>
      </c>
      <c r="N81">
        <v>0</v>
      </c>
      <c r="O81">
        <v>0</v>
      </c>
      <c r="P81">
        <v>1</v>
      </c>
      <c r="Q81">
        <v>0</v>
      </c>
    </row>
    <row r="82" spans="1:18" x14ac:dyDescent="0.2">
      <c r="A82" s="1" t="str">
        <f>HYPERLINK("http://www.twitter.com/Ugo_Roux/status/1255531003310940161", "1255531003310940161")</f>
        <v>1255531003310940161</v>
      </c>
      <c r="B82" t="s">
        <v>142</v>
      </c>
      <c r="C82" s="3">
        <v>43950.676990740743</v>
      </c>
      <c r="D82" s="3" t="s">
        <v>17</v>
      </c>
      <c r="E82">
        <v>0</v>
      </c>
      <c r="F82">
        <v>0</v>
      </c>
      <c r="I82" t="s">
        <v>157</v>
      </c>
      <c r="J82" t="str">
        <f>HYPERLINK("http://pbs.twimg.com/media/EWyKyZZX0AQvMg0.jpg", "http://pbs.twimg.com/media/EWyKyZZX0AQvMg0.jpg")</f>
        <v>http://pbs.twimg.com/media/EWyKyZZX0AQvMg0.jpg</v>
      </c>
      <c r="N82">
        <v>0</v>
      </c>
      <c r="O82">
        <v>0</v>
      </c>
      <c r="P82">
        <v>1</v>
      </c>
      <c r="Q82">
        <v>0</v>
      </c>
    </row>
    <row r="83" spans="1:18" x14ac:dyDescent="0.2">
      <c r="A83" s="1" t="str">
        <f>HYPERLINK("http://www.twitter.com/Ugo_Roux/status/1255524557663997960", "1255524557663997960")</f>
        <v>1255524557663997960</v>
      </c>
      <c r="B83" t="s">
        <v>206</v>
      </c>
      <c r="C83" s="3">
        <v>43950.659201388888</v>
      </c>
      <c r="D83" s="3" t="s">
        <v>17</v>
      </c>
      <c r="E83">
        <v>1</v>
      </c>
      <c r="F83">
        <v>1</v>
      </c>
      <c r="I83" t="s">
        <v>244</v>
      </c>
      <c r="J83" t="str">
        <f>HYPERLINK("http://pbs.twimg.com/media/EWyE4xpWkAApmqh.jpg", "http://pbs.twimg.com/media/EWyE4xpWkAApmqh.jpg")</f>
        <v>http://pbs.twimg.com/media/EWyE4xpWkAApmqh.jpg</v>
      </c>
      <c r="K83" t="str">
        <f>HYPERLINK("http://pbs.twimg.com/media/EWyE58BWsAIfMTT.jpg", "http://pbs.twimg.com/media/EWyE58BWsAIfMTT.jpg")</f>
        <v>http://pbs.twimg.com/media/EWyE58BWsAIfMTT.jpg</v>
      </c>
      <c r="L83" t="str">
        <f>HYPERLINK("http://pbs.twimg.com/media/EWyE63QWoAAbXFH.jpg", "http://pbs.twimg.com/media/EWyE63QWoAAbXFH.jpg")</f>
        <v>http://pbs.twimg.com/media/EWyE63QWoAAbXFH.jpg</v>
      </c>
      <c r="N83">
        <v>0</v>
      </c>
      <c r="O83">
        <v>0</v>
      </c>
      <c r="P83">
        <v>1</v>
      </c>
      <c r="Q83">
        <v>0</v>
      </c>
    </row>
    <row r="84" spans="1:18" x14ac:dyDescent="0.2">
      <c r="A84" s="1" t="str">
        <f>HYPERLINK("http://www.twitter.com/Ugo_Roux/status/1255516243781660677", "1255516243781660677")</f>
        <v>1255516243781660677</v>
      </c>
      <c r="B84" t="s">
        <v>130</v>
      </c>
      <c r="C84" s="3">
        <v>43950.636261574073</v>
      </c>
      <c r="D84" s="3" t="s">
        <v>17</v>
      </c>
      <c r="E84">
        <v>0</v>
      </c>
      <c r="F84">
        <v>0</v>
      </c>
      <c r="I84" t="s">
        <v>133</v>
      </c>
      <c r="J84" t="str">
        <f>HYPERLINK("http://pbs.twimg.com/media/EWx9V7KWAAQ7iOt.jpg", "http://pbs.twimg.com/media/EWx9V7KWAAQ7iOt.jpg")</f>
        <v>http://pbs.twimg.com/media/EWx9V7KWAAQ7iOt.jpg</v>
      </c>
      <c r="N84">
        <v>-0.47670000000000001</v>
      </c>
      <c r="O84">
        <v>9.4E-2</v>
      </c>
      <c r="P84">
        <v>0.90600000000000003</v>
      </c>
      <c r="Q84">
        <v>0</v>
      </c>
    </row>
    <row r="85" spans="1:18" x14ac:dyDescent="0.2">
      <c r="A85" s="1" t="str">
        <f>HYPERLINK("http://www.twitter.com/Ugo_Roux/status/1255510518955204611", "1255510518955204611")</f>
        <v>1255510518955204611</v>
      </c>
      <c r="B85" t="s">
        <v>47</v>
      </c>
      <c r="C85" s="3">
        <v>43950.620462962957</v>
      </c>
      <c r="D85" s="3" t="s">
        <v>17</v>
      </c>
      <c r="E85">
        <v>7</v>
      </c>
      <c r="F85">
        <v>1</v>
      </c>
      <c r="I85" t="s">
        <v>57</v>
      </c>
      <c r="N85">
        <v>0</v>
      </c>
      <c r="O85">
        <v>0</v>
      </c>
      <c r="P85">
        <v>1</v>
      </c>
      <c r="Q85">
        <v>0</v>
      </c>
    </row>
    <row r="86" spans="1:18" x14ac:dyDescent="0.2">
      <c r="A86" s="1" t="str">
        <f>HYPERLINK("http://www.twitter.com/Ugo_Roux/status/1255505470560886784", "1255505470560886784")</f>
        <v>1255505470560886784</v>
      </c>
      <c r="B86" t="s">
        <v>97</v>
      </c>
      <c r="C86" s="3">
        <v>43950.606539351851</v>
      </c>
      <c r="D86" s="3" t="s">
        <v>17</v>
      </c>
      <c r="E86">
        <v>1</v>
      </c>
      <c r="F86">
        <v>0</v>
      </c>
      <c r="I86" t="s">
        <v>108</v>
      </c>
      <c r="J86" t="str">
        <f>HYPERLINK("http://pbs.twimg.com/media/EWxzkkNWsAICW9n.jpg", "http://pbs.twimg.com/media/EWxzkkNWsAICW9n.jpg")</f>
        <v>http://pbs.twimg.com/media/EWxzkkNWsAICW9n.jpg</v>
      </c>
      <c r="N86">
        <v>0</v>
      </c>
      <c r="O86">
        <v>0</v>
      </c>
      <c r="P86">
        <v>1</v>
      </c>
      <c r="Q86">
        <v>0</v>
      </c>
    </row>
    <row r="87" spans="1:18" x14ac:dyDescent="0.2">
      <c r="A87" s="1" t="str">
        <f>HYPERLINK("http://www.twitter.com/Ugo_Roux/status/1255419865986478080", "1255419865986478080")</f>
        <v>1255419865986478080</v>
      </c>
      <c r="B87" t="s">
        <v>47</v>
      </c>
      <c r="C87" s="3">
        <v>43950.370312500003</v>
      </c>
      <c r="D87" s="3" t="s">
        <v>17</v>
      </c>
      <c r="E87">
        <v>8</v>
      </c>
      <c r="F87">
        <v>1</v>
      </c>
      <c r="I87" t="s">
        <v>58</v>
      </c>
      <c r="N87">
        <v>0</v>
      </c>
      <c r="O87">
        <v>0</v>
      </c>
      <c r="P87">
        <v>1</v>
      </c>
      <c r="Q87">
        <v>0</v>
      </c>
    </row>
    <row r="88" spans="1:18" x14ac:dyDescent="0.2">
      <c r="A88" s="1" t="str">
        <f>HYPERLINK("http://www.twitter.com/Ugo_Roux/status/1255405055362117632", "1255405055362117632")</f>
        <v>1255405055362117632</v>
      </c>
      <c r="B88" t="s">
        <v>425</v>
      </c>
      <c r="C88" s="3">
        <v>43950.329444444447</v>
      </c>
      <c r="D88" s="3" t="s">
        <v>17</v>
      </c>
      <c r="E88">
        <v>0</v>
      </c>
      <c r="F88">
        <v>0</v>
      </c>
      <c r="I88" t="s">
        <v>429</v>
      </c>
      <c r="J88" t="str">
        <f>HYPERLINK("http://pbs.twimg.com/media/EWwXjhSWAAI5oh5.jpg", "http://pbs.twimg.com/media/EWwXjhSWAAI5oh5.jpg")</f>
        <v>http://pbs.twimg.com/media/EWwXjhSWAAI5oh5.jpg</v>
      </c>
      <c r="N88">
        <v>0</v>
      </c>
      <c r="O88">
        <v>0</v>
      </c>
      <c r="P88">
        <v>1</v>
      </c>
      <c r="Q88">
        <v>0</v>
      </c>
      <c r="R88">
        <f ca="1">RAND()</f>
        <v>0.12886473578491164</v>
      </c>
    </row>
    <row r="89" spans="1:18" x14ac:dyDescent="0.2">
      <c r="A89" s="1" t="str">
        <f>HYPERLINK("http://www.twitter.com/Ugo_Roux/status/1255399270276046848", "1255399270276046848")</f>
        <v>1255399270276046848</v>
      </c>
      <c r="B89" t="s">
        <v>370</v>
      </c>
      <c r="C89" s="3">
        <v>43950.313472222217</v>
      </c>
      <c r="D89" s="3" t="s">
        <v>17</v>
      </c>
      <c r="E89">
        <v>1</v>
      </c>
      <c r="F89">
        <v>1</v>
      </c>
      <c r="I89" t="s">
        <v>382</v>
      </c>
      <c r="J89" t="str">
        <f>HYPERLINK("http://pbs.twimg.com/media/EWwS-5oWkAUoGll.jpg", "http://pbs.twimg.com/media/EWwS-5oWkAUoGll.jpg")</f>
        <v>http://pbs.twimg.com/media/EWwS-5oWkAUoGll.jpg</v>
      </c>
      <c r="N89">
        <v>0</v>
      </c>
      <c r="O89">
        <v>0</v>
      </c>
      <c r="P89">
        <v>1</v>
      </c>
      <c r="Q89">
        <v>0</v>
      </c>
    </row>
    <row r="90" spans="1:18" x14ac:dyDescent="0.2">
      <c r="A90" s="1" t="str">
        <f>HYPERLINK("http://www.twitter.com/Ugo_Roux/status/1255391978096939010", "1255391978096939010")</f>
        <v>1255391978096939010</v>
      </c>
      <c r="B90" t="s">
        <v>370</v>
      </c>
      <c r="C90" s="3">
        <v>43950.293356481481</v>
      </c>
      <c r="D90" s="3" t="s">
        <v>17</v>
      </c>
      <c r="E90">
        <v>0</v>
      </c>
      <c r="F90">
        <v>0</v>
      </c>
      <c r="I90" t="s">
        <v>383</v>
      </c>
      <c r="J90" t="str">
        <f>HYPERLINK("http://pbs.twimg.com/media/EWwMWdyWAAExuor.jpg", "http://pbs.twimg.com/media/EWwMWdyWAAExuor.jpg")</f>
        <v>http://pbs.twimg.com/media/EWwMWdyWAAExuor.jpg</v>
      </c>
      <c r="N90">
        <v>0</v>
      </c>
      <c r="O90">
        <v>0</v>
      </c>
      <c r="P90">
        <v>1</v>
      </c>
      <c r="Q90">
        <v>0</v>
      </c>
    </row>
    <row r="91" spans="1:18" x14ac:dyDescent="0.2">
      <c r="A91" s="1" t="str">
        <f>HYPERLINK("http://www.twitter.com/Ugo_Roux/status/1255372798224187397", "1255372798224187397")</f>
        <v>1255372798224187397</v>
      </c>
      <c r="B91" t="s">
        <v>285</v>
      </c>
      <c r="C91" s="3">
        <v>43950.240428240737</v>
      </c>
      <c r="D91" s="3" t="s">
        <v>17</v>
      </c>
      <c r="E91">
        <v>0</v>
      </c>
      <c r="F91">
        <v>0</v>
      </c>
      <c r="I91" t="s">
        <v>298</v>
      </c>
      <c r="J91" t="str">
        <f>HYPERLINK("http://pbs.twimg.com/media/EWv5iPUWsAAKvOe.jpg", "http://pbs.twimg.com/media/EWv5iPUWsAAKvOe.jpg")</f>
        <v>http://pbs.twimg.com/media/EWv5iPUWsAAKvOe.jpg</v>
      </c>
      <c r="K91" t="str">
        <f>HYPERLINK("http://pbs.twimg.com/media/EWv6uezWkAMNSbI.jpg", "http://pbs.twimg.com/media/EWv6uezWkAMNSbI.jpg")</f>
        <v>http://pbs.twimg.com/media/EWv6uezWkAMNSbI.jpg</v>
      </c>
      <c r="N91">
        <v>-0.70030000000000003</v>
      </c>
      <c r="O91">
        <v>0.158</v>
      </c>
      <c r="P91">
        <v>0.84199999999999997</v>
      </c>
      <c r="Q91">
        <v>0</v>
      </c>
    </row>
    <row r="92" spans="1:18" x14ac:dyDescent="0.2">
      <c r="A92" s="1" t="str">
        <f>HYPERLINK("http://www.twitter.com/Ugo_Roux/status/1255158746092843008", "1255158746092843008")</f>
        <v>1255158746092843008</v>
      </c>
      <c r="B92" t="s">
        <v>206</v>
      </c>
      <c r="C92" s="3">
        <v>43949.649756944447</v>
      </c>
      <c r="D92" s="3" t="s">
        <v>41</v>
      </c>
      <c r="E92">
        <v>1</v>
      </c>
      <c r="F92">
        <v>0</v>
      </c>
      <c r="I92" t="s">
        <v>215</v>
      </c>
      <c r="J92" t="str">
        <f>HYPERLINK("http://pbs.twimg.com/media/EWs4NpPXkAAJMAk.jpg", "http://pbs.twimg.com/media/EWs4NpPXkAAJMAk.jpg")</f>
        <v>http://pbs.twimg.com/media/EWs4NpPXkAAJMAk.jpg</v>
      </c>
      <c r="N92">
        <v>0</v>
      </c>
      <c r="O92">
        <v>0</v>
      </c>
      <c r="P92">
        <v>1</v>
      </c>
      <c r="Q92">
        <v>0</v>
      </c>
    </row>
    <row r="93" spans="1:18" x14ac:dyDescent="0.2">
      <c r="A93" s="1" t="str">
        <f>HYPERLINK("http://www.twitter.com/Ugo_Roux/status/1255125504170098688", "1255125504170098688")</f>
        <v>1255125504170098688</v>
      </c>
      <c r="B93" t="s">
        <v>142</v>
      </c>
      <c r="C93" s="3">
        <v>43949.558020833327</v>
      </c>
      <c r="D93" s="3" t="s">
        <v>41</v>
      </c>
      <c r="E93">
        <v>0</v>
      </c>
      <c r="F93">
        <v>1</v>
      </c>
      <c r="I93" t="s">
        <v>150</v>
      </c>
      <c r="N93">
        <v>0</v>
      </c>
      <c r="O93">
        <v>0</v>
      </c>
      <c r="P93">
        <v>1</v>
      </c>
      <c r="Q93">
        <v>0</v>
      </c>
    </row>
    <row r="94" spans="1:18" x14ac:dyDescent="0.2">
      <c r="A94" s="1" t="str">
        <f>HYPERLINK("http://www.twitter.com/Ugo_Roux/status/1255125242068025345", "1255125242068025345")</f>
        <v>1255125242068025345</v>
      </c>
      <c r="B94" t="s">
        <v>142</v>
      </c>
      <c r="C94" s="3">
        <v>43949.557303240741</v>
      </c>
      <c r="D94" s="3" t="s">
        <v>17</v>
      </c>
      <c r="E94">
        <v>1</v>
      </c>
      <c r="F94">
        <v>1</v>
      </c>
      <c r="I94" t="s">
        <v>197</v>
      </c>
      <c r="J94" t="str">
        <f>HYPERLINK("http://pbs.twimg.com/media/EWsZwBcWkAEFggk.jpg", "http://pbs.twimg.com/media/EWsZwBcWkAEFggk.jpg")</f>
        <v>http://pbs.twimg.com/media/EWsZwBcWkAEFggk.jpg</v>
      </c>
      <c r="N94">
        <v>0</v>
      </c>
      <c r="O94">
        <v>0</v>
      </c>
      <c r="P94">
        <v>1</v>
      </c>
      <c r="Q94">
        <v>0</v>
      </c>
    </row>
    <row r="95" spans="1:18" x14ac:dyDescent="0.2">
      <c r="A95" s="1" t="str">
        <f>HYPERLINK("http://www.twitter.com/Ugo_Roux/status/1255096259263766530", "1255096259263766530")</f>
        <v>1255096259263766530</v>
      </c>
      <c r="B95" t="s">
        <v>130</v>
      </c>
      <c r="C95" s="3">
        <v>43949.477326388893</v>
      </c>
      <c r="D95" s="3" t="s">
        <v>17</v>
      </c>
      <c r="E95">
        <v>0</v>
      </c>
      <c r="F95">
        <v>0</v>
      </c>
      <c r="I95" t="s">
        <v>134</v>
      </c>
      <c r="J95" t="str">
        <f>HYPERLINK("http://pbs.twimg.com/media/EWr_YD0XYAAT-sb.jpg", "http://pbs.twimg.com/media/EWr_YD0XYAAT-sb.jpg")</f>
        <v>http://pbs.twimg.com/media/EWr_YD0XYAAT-sb.jpg</v>
      </c>
      <c r="N95">
        <v>0</v>
      </c>
      <c r="O95">
        <v>0</v>
      </c>
      <c r="P95">
        <v>1</v>
      </c>
      <c r="Q95">
        <v>0</v>
      </c>
    </row>
    <row r="96" spans="1:18" x14ac:dyDescent="0.2">
      <c r="A96" s="1" t="str">
        <f>HYPERLINK("http://www.twitter.com/Ugo_Roux/status/1255089386129166336", "1255089386129166336")</f>
        <v>1255089386129166336</v>
      </c>
      <c r="B96" t="s">
        <v>47</v>
      </c>
      <c r="C96" s="3">
        <v>43949.458356481482</v>
      </c>
      <c r="D96" s="3" t="s">
        <v>17</v>
      </c>
      <c r="E96">
        <v>4</v>
      </c>
      <c r="F96">
        <v>0</v>
      </c>
      <c r="I96" t="s">
        <v>59</v>
      </c>
      <c r="N96">
        <v>-0.69810000000000005</v>
      </c>
      <c r="O96">
        <v>0.219</v>
      </c>
      <c r="P96">
        <v>0.78100000000000003</v>
      </c>
      <c r="Q96">
        <v>0</v>
      </c>
    </row>
    <row r="97" spans="1:17" x14ac:dyDescent="0.2">
      <c r="A97" s="1" t="str">
        <f>HYPERLINK("http://www.twitter.com/Ugo_Roux/status/1255029368566566912", "1255029368566566912")</f>
        <v>1255029368566566912</v>
      </c>
      <c r="B97" t="s">
        <v>97</v>
      </c>
      <c r="C97" s="3">
        <v>43949.292743055557</v>
      </c>
      <c r="D97" s="3" t="s">
        <v>17</v>
      </c>
      <c r="E97">
        <v>0</v>
      </c>
      <c r="F97">
        <v>0</v>
      </c>
      <c r="I97" t="s">
        <v>109</v>
      </c>
      <c r="J97" t="str">
        <f>HYPERLINK("http://pbs.twimg.com/media/EWrCj1jXYAUfI6e.jpg", "http://pbs.twimg.com/media/EWrCj1jXYAUfI6e.jpg")</f>
        <v>http://pbs.twimg.com/media/EWrCj1jXYAUfI6e.jpg</v>
      </c>
      <c r="N97">
        <v>0</v>
      </c>
      <c r="O97">
        <v>0</v>
      </c>
      <c r="P97">
        <v>1</v>
      </c>
      <c r="Q97">
        <v>0</v>
      </c>
    </row>
    <row r="98" spans="1:17" x14ac:dyDescent="0.2">
      <c r="A98" s="1" t="str">
        <f>HYPERLINK("http://www.twitter.com/Ugo_Roux/status/1255029346324090880", "1255029346324090880")</f>
        <v>1255029346324090880</v>
      </c>
      <c r="B98" t="s">
        <v>370</v>
      </c>
      <c r="C98" s="3">
        <v>43949.292685185188</v>
      </c>
      <c r="D98" s="3" t="s">
        <v>17</v>
      </c>
      <c r="E98">
        <v>0</v>
      </c>
      <c r="F98">
        <v>0</v>
      </c>
      <c r="I98" t="s">
        <v>384</v>
      </c>
      <c r="J98" t="str">
        <f>HYPERLINK("http://pbs.twimg.com/media/EWrCihBWAAAu8KZ.jpg", "http://pbs.twimg.com/media/EWrCihBWAAAu8KZ.jpg")</f>
        <v>http://pbs.twimg.com/media/EWrCihBWAAAu8KZ.jpg</v>
      </c>
      <c r="N98">
        <v>0</v>
      </c>
      <c r="O98">
        <v>0</v>
      </c>
      <c r="P98">
        <v>1</v>
      </c>
      <c r="Q98">
        <v>0</v>
      </c>
    </row>
    <row r="99" spans="1:17" x14ac:dyDescent="0.2">
      <c r="A99" s="1" t="str">
        <f>HYPERLINK("http://www.twitter.com/Ugo_Roux/status/1255008545248026626", "1255008545248026626")</f>
        <v>1255008545248026626</v>
      </c>
      <c r="B99" t="s">
        <v>285</v>
      </c>
      <c r="C99" s="3">
        <v>43949.235277777778</v>
      </c>
      <c r="D99" s="3" t="s">
        <v>17</v>
      </c>
      <c r="E99">
        <v>2</v>
      </c>
      <c r="F99">
        <v>3</v>
      </c>
      <c r="I99" t="s">
        <v>299</v>
      </c>
      <c r="J99" t="str">
        <f>HYPERLINK("http://pbs.twimg.com/media/EWqvjj7WsAEdljY.png", "http://pbs.twimg.com/media/EWqvjj7WsAEdljY.png")</f>
        <v>http://pbs.twimg.com/media/EWqvjj7WsAEdljY.png</v>
      </c>
      <c r="N99">
        <v>0</v>
      </c>
      <c r="O99">
        <v>0</v>
      </c>
      <c r="P99">
        <v>1</v>
      </c>
      <c r="Q99">
        <v>0</v>
      </c>
    </row>
    <row r="100" spans="1:17" x14ac:dyDescent="0.2">
      <c r="A100" s="1" t="str">
        <f>HYPERLINK("http://www.twitter.com/Ugo_Roux/status/1254802575641239553", "1254802575641239553")</f>
        <v>1254802575641239553</v>
      </c>
      <c r="B100" t="s">
        <v>130</v>
      </c>
      <c r="C100" s="3">
        <v>43948.666909722233</v>
      </c>
      <c r="D100" s="3" t="s">
        <v>17</v>
      </c>
      <c r="E100">
        <v>0</v>
      </c>
      <c r="F100">
        <v>0</v>
      </c>
      <c r="I100" t="s">
        <v>135</v>
      </c>
      <c r="J100" t="str">
        <f>HYPERLINK("http://pbs.twimg.com/media/EWn0RkZXYAAS6MQ.jpg", "http://pbs.twimg.com/media/EWn0RkZXYAAS6MQ.jpg")</f>
        <v>http://pbs.twimg.com/media/EWn0RkZXYAAS6MQ.jpg</v>
      </c>
      <c r="N100">
        <v>0</v>
      </c>
      <c r="O100">
        <v>0</v>
      </c>
      <c r="P100">
        <v>1</v>
      </c>
      <c r="Q100">
        <v>0</v>
      </c>
    </row>
    <row r="101" spans="1:17" x14ac:dyDescent="0.2">
      <c r="A101" s="1" t="str">
        <f>HYPERLINK("http://www.twitter.com/Ugo_Roux/status/1254800936742137858", "1254800936742137858")</f>
        <v>1254800936742137858</v>
      </c>
      <c r="B101" t="s">
        <v>206</v>
      </c>
      <c r="C101" s="3">
        <v>43948.662395833337</v>
      </c>
      <c r="D101" s="3" t="s">
        <v>17</v>
      </c>
      <c r="E101">
        <v>0</v>
      </c>
      <c r="F101">
        <v>0</v>
      </c>
      <c r="I101" t="s">
        <v>266</v>
      </c>
      <c r="J101" t="str">
        <f>HYPERLINK("http://pbs.twimg.com/media/EWnx9JhXYAAS0MH.jpg", "http://pbs.twimg.com/media/EWnx9JhXYAAS0MH.jpg")</f>
        <v>http://pbs.twimg.com/media/EWnx9JhXYAAS0MH.jpg</v>
      </c>
      <c r="N101">
        <v>0.45879999999999999</v>
      </c>
      <c r="O101">
        <v>0</v>
      </c>
      <c r="P101">
        <v>0.92700000000000005</v>
      </c>
      <c r="Q101">
        <v>7.2999999999999995E-2</v>
      </c>
    </row>
    <row r="102" spans="1:17" x14ac:dyDescent="0.2">
      <c r="A102" s="1" t="str">
        <f>HYPERLINK("http://www.twitter.com/Ugo_Roux/status/1254785457293946880", "1254785457293946880")</f>
        <v>1254785457293946880</v>
      </c>
      <c r="B102" t="s">
        <v>142</v>
      </c>
      <c r="C102" s="3">
        <v>43948.619675925933</v>
      </c>
      <c r="D102" s="3" t="s">
        <v>17</v>
      </c>
      <c r="E102">
        <v>2</v>
      </c>
      <c r="F102">
        <v>2</v>
      </c>
      <c r="I102" t="s">
        <v>177</v>
      </c>
      <c r="J102" t="str">
        <f>HYPERLINK("http://pbs.twimg.com/media/EWnkttbU4AMgXYA.jpg", "http://pbs.twimg.com/media/EWnkttbU4AMgXYA.jpg")</f>
        <v>http://pbs.twimg.com/media/EWnkttbU4AMgXYA.jpg</v>
      </c>
      <c r="N102">
        <v>0</v>
      </c>
      <c r="O102">
        <v>0</v>
      </c>
      <c r="P102">
        <v>1</v>
      </c>
      <c r="Q102">
        <v>0</v>
      </c>
    </row>
    <row r="103" spans="1:17" x14ac:dyDescent="0.2">
      <c r="A103" s="1" t="str">
        <f>HYPERLINK("http://www.twitter.com/Ugo_Roux/status/1254785191358283776", "1254785191358283776")</f>
        <v>1254785191358283776</v>
      </c>
      <c r="B103" t="s">
        <v>142</v>
      </c>
      <c r="C103" s="3">
        <v>43948.618946759263</v>
      </c>
      <c r="D103" s="3" t="s">
        <v>17</v>
      </c>
      <c r="E103">
        <v>0</v>
      </c>
      <c r="F103">
        <v>2</v>
      </c>
      <c r="I103" t="s">
        <v>362</v>
      </c>
      <c r="J103" t="str">
        <f>HYPERLINK("http://pbs.twimg.com/media/EWnkdgxU0AEQK4d.jpg", "http://pbs.twimg.com/media/EWnkdgxU0AEQK4d.jpg")</f>
        <v>http://pbs.twimg.com/media/EWnkdgxU0AEQK4d.jpg</v>
      </c>
      <c r="N103">
        <v>0</v>
      </c>
      <c r="O103">
        <v>0</v>
      </c>
      <c r="P103">
        <v>1</v>
      </c>
      <c r="Q103">
        <v>0</v>
      </c>
    </row>
    <row r="104" spans="1:17" x14ac:dyDescent="0.2">
      <c r="A104" s="1" t="str">
        <f>HYPERLINK("http://www.twitter.com/Ugo_Roux/status/1254434238067290117", "1254434238067290117")</f>
        <v>1254434238067290117</v>
      </c>
      <c r="B104" t="s">
        <v>206</v>
      </c>
      <c r="C104" s="3">
        <v>43947.650497685187</v>
      </c>
      <c r="D104" s="3" t="s">
        <v>41</v>
      </c>
      <c r="E104">
        <v>6</v>
      </c>
      <c r="F104">
        <v>1</v>
      </c>
      <c r="I104" t="s">
        <v>234</v>
      </c>
      <c r="J104" t="str">
        <f>HYPERLINK("http://pbs.twimg.com/media/EWilR8KWkAYhjDm.jpg", "http://pbs.twimg.com/media/EWilR8KWkAYhjDm.jpg")</f>
        <v>http://pbs.twimg.com/media/EWilR8KWkAYhjDm.jpg</v>
      </c>
      <c r="N104">
        <v>0</v>
      </c>
      <c r="O104">
        <v>0</v>
      </c>
      <c r="P104">
        <v>1</v>
      </c>
      <c r="Q104">
        <v>0</v>
      </c>
    </row>
    <row r="105" spans="1:17" x14ac:dyDescent="0.2">
      <c r="A105" s="1" t="str">
        <f>HYPERLINK("http://www.twitter.com/Ugo_Roux/status/1254406598405038080", "1254406598405038080")</f>
        <v>1254406598405038080</v>
      </c>
      <c r="B105" t="s">
        <v>142</v>
      </c>
      <c r="C105" s="3">
        <v>43947.574224537027</v>
      </c>
      <c r="D105" s="3" t="s">
        <v>17</v>
      </c>
      <c r="E105">
        <v>2</v>
      </c>
      <c r="F105">
        <v>1</v>
      </c>
      <c r="I105" t="s">
        <v>175</v>
      </c>
      <c r="J105" t="str">
        <f>HYPERLINK("http://pbs.twimg.com/media/EWiMJLSWsAArpM4.jpg", "http://pbs.twimg.com/media/EWiMJLSWsAArpM4.jpg")</f>
        <v>http://pbs.twimg.com/media/EWiMJLSWsAArpM4.jpg</v>
      </c>
      <c r="K105" t="str">
        <f>HYPERLINK("http://pbs.twimg.com/media/EWiMJLWXsAEc52c.jpg", "http://pbs.twimg.com/media/EWiMJLWXsAEc52c.jpg")</f>
        <v>http://pbs.twimg.com/media/EWiMJLWXsAEc52c.jpg</v>
      </c>
      <c r="N105">
        <v>0</v>
      </c>
      <c r="O105">
        <v>0</v>
      </c>
      <c r="P105">
        <v>1</v>
      </c>
      <c r="Q105">
        <v>0</v>
      </c>
    </row>
    <row r="106" spans="1:17" x14ac:dyDescent="0.2">
      <c r="A106" s="1" t="str">
        <f>HYPERLINK("http://www.twitter.com/Ugo_Roux/status/1254363651051585537", "1254363651051585537")</f>
        <v>1254363651051585537</v>
      </c>
      <c r="B106" t="s">
        <v>142</v>
      </c>
      <c r="C106" s="3">
        <v>43947.455717592587</v>
      </c>
      <c r="D106" s="3" t="s">
        <v>17</v>
      </c>
      <c r="E106">
        <v>19</v>
      </c>
      <c r="F106">
        <v>9</v>
      </c>
      <c r="I106" t="s">
        <v>174</v>
      </c>
      <c r="J106" t="str">
        <f>HYPERLINK("http://pbs.twimg.com/media/EWhlFwJXYAAxeLD.jpg", "http://pbs.twimg.com/media/EWhlFwJXYAAxeLD.jpg")</f>
        <v>http://pbs.twimg.com/media/EWhlFwJXYAAxeLD.jpg</v>
      </c>
      <c r="N106">
        <v>0</v>
      </c>
      <c r="O106">
        <v>0</v>
      </c>
      <c r="P106">
        <v>1</v>
      </c>
      <c r="Q106">
        <v>0</v>
      </c>
    </row>
    <row r="107" spans="1:17" x14ac:dyDescent="0.2">
      <c r="A107" s="1" t="str">
        <f>HYPERLINK("http://www.twitter.com/Ugo_Roux/status/1254322299479572480", "1254322299479572480")</f>
        <v>1254322299479572480</v>
      </c>
      <c r="B107" t="s">
        <v>47</v>
      </c>
      <c r="C107" s="3">
        <v>43947.341608796298</v>
      </c>
      <c r="D107" s="3" t="s">
        <v>17</v>
      </c>
      <c r="E107">
        <v>7</v>
      </c>
      <c r="F107">
        <v>3</v>
      </c>
      <c r="I107" t="s">
        <v>60</v>
      </c>
      <c r="N107">
        <v>0</v>
      </c>
      <c r="O107">
        <v>0</v>
      </c>
      <c r="P107">
        <v>1</v>
      </c>
      <c r="Q107">
        <v>0</v>
      </c>
    </row>
    <row r="108" spans="1:17" x14ac:dyDescent="0.2">
      <c r="A108" s="1" t="str">
        <f>HYPERLINK("http://www.twitter.com/Ugo_Roux/status/1254057587210928130", "1254057587210928130")</f>
        <v>1254057587210928130</v>
      </c>
      <c r="B108" t="s">
        <v>206</v>
      </c>
      <c r="C108" s="3">
        <v>43946.611134259263</v>
      </c>
      <c r="D108" s="3" t="s">
        <v>17</v>
      </c>
      <c r="E108">
        <v>0</v>
      </c>
      <c r="F108">
        <v>0</v>
      </c>
      <c r="I108" t="s">
        <v>284</v>
      </c>
      <c r="J108" t="str">
        <f>HYPERLINK("http://pbs.twimg.com/media/EWdOh5GWAAAj_1B.jpg", "http://pbs.twimg.com/media/EWdOh5GWAAAj_1B.jpg")</f>
        <v>http://pbs.twimg.com/media/EWdOh5GWAAAj_1B.jpg</v>
      </c>
      <c r="N108">
        <v>0</v>
      </c>
      <c r="O108">
        <v>0</v>
      </c>
      <c r="P108">
        <v>1</v>
      </c>
      <c r="Q108">
        <v>0</v>
      </c>
    </row>
    <row r="109" spans="1:17" x14ac:dyDescent="0.2">
      <c r="A109" s="1" t="str">
        <f>HYPERLINK("http://www.twitter.com/Ugo_Roux/status/1254029278578126848", "1254029278578126848")</f>
        <v>1254029278578126848</v>
      </c>
      <c r="B109" t="s">
        <v>142</v>
      </c>
      <c r="C109" s="3">
        <v>43946.533020833333</v>
      </c>
      <c r="D109" s="3" t="s">
        <v>17</v>
      </c>
      <c r="E109">
        <v>0</v>
      </c>
      <c r="F109">
        <v>2</v>
      </c>
      <c r="I109" t="s">
        <v>163</v>
      </c>
      <c r="J109" t="str">
        <f>HYPERLINK("http://pbs.twimg.com/media/EWc0-glWkAEwgYL.jpg", "http://pbs.twimg.com/media/EWc0-glWkAEwgYL.jpg")</f>
        <v>http://pbs.twimg.com/media/EWc0-glWkAEwgYL.jpg</v>
      </c>
      <c r="N109">
        <v>0</v>
      </c>
      <c r="O109">
        <v>0</v>
      </c>
      <c r="P109">
        <v>1</v>
      </c>
      <c r="Q109">
        <v>0</v>
      </c>
    </row>
    <row r="110" spans="1:17" x14ac:dyDescent="0.2">
      <c r="A110" s="1" t="str">
        <f>HYPERLINK("http://www.twitter.com/Ugo_Roux/status/1253993326807826432", "1253993326807826432")</f>
        <v>1253993326807826432</v>
      </c>
      <c r="B110" t="s">
        <v>47</v>
      </c>
      <c r="C110" s="3">
        <v>43946.433807870373</v>
      </c>
      <c r="D110" s="3" t="s">
        <v>17</v>
      </c>
      <c r="E110">
        <v>5</v>
      </c>
      <c r="F110">
        <v>3</v>
      </c>
      <c r="I110" t="s">
        <v>61</v>
      </c>
      <c r="N110">
        <v>0</v>
      </c>
      <c r="O110">
        <v>0</v>
      </c>
      <c r="P110">
        <v>1</v>
      </c>
      <c r="Q110">
        <v>0</v>
      </c>
    </row>
    <row r="111" spans="1:17" x14ac:dyDescent="0.2">
      <c r="A111" s="1" t="str">
        <f>HYPERLINK("http://www.twitter.com/Ugo_Roux/status/1253949414110121985", "1253949414110121985")</f>
        <v>1253949414110121985</v>
      </c>
      <c r="B111" t="s">
        <v>370</v>
      </c>
      <c r="C111" s="3">
        <v>43946.312638888892</v>
      </c>
      <c r="D111" s="3" t="s">
        <v>17</v>
      </c>
      <c r="E111">
        <v>0</v>
      </c>
      <c r="F111">
        <v>0</v>
      </c>
      <c r="I111" t="s">
        <v>385</v>
      </c>
      <c r="J111" t="str">
        <f>HYPERLINK("http://pbs.twimg.com/media/EWbsWM9WoAAIVfa.jpg", "http://pbs.twimg.com/media/EWbsWM9WoAAIVfa.jpg")</f>
        <v>http://pbs.twimg.com/media/EWbsWM9WoAAIVfa.jpg</v>
      </c>
      <c r="N111">
        <v>-0.128</v>
      </c>
      <c r="O111">
        <v>0.17599999999999999</v>
      </c>
      <c r="P111">
        <v>0.82399999999999995</v>
      </c>
      <c r="Q111">
        <v>0</v>
      </c>
    </row>
    <row r="112" spans="1:17" x14ac:dyDescent="0.2">
      <c r="A112" s="1" t="str">
        <f>HYPERLINK("http://www.twitter.com/Ugo_Roux/status/1253942056227164160", "1253942056227164160")</f>
        <v>1253942056227164160</v>
      </c>
      <c r="B112" t="s">
        <v>97</v>
      </c>
      <c r="C112" s="3">
        <v>43946.292326388888</v>
      </c>
      <c r="D112" s="3" t="s">
        <v>17</v>
      </c>
      <c r="E112">
        <v>1</v>
      </c>
      <c r="F112">
        <v>0</v>
      </c>
      <c r="I112" t="s">
        <v>110</v>
      </c>
      <c r="J112" t="str">
        <f>HYPERLINK("http://pbs.twimg.com/media/EWblp7cXQAA_B5x.jpg", "http://pbs.twimg.com/media/EWblp7cXQAA_B5x.jpg")</f>
        <v>http://pbs.twimg.com/media/EWblp7cXQAA_B5x.jpg</v>
      </c>
      <c r="N112">
        <v>0</v>
      </c>
      <c r="O112">
        <v>0</v>
      </c>
      <c r="P112">
        <v>1</v>
      </c>
      <c r="Q112">
        <v>0</v>
      </c>
    </row>
    <row r="113" spans="1:18" x14ac:dyDescent="0.2">
      <c r="A113" s="1" t="str">
        <f>HYPERLINK("http://www.twitter.com/Ugo_Roux/status/1253714775848235009", "1253714775848235009")</f>
        <v>1253714775848235009</v>
      </c>
      <c r="B113" t="s">
        <v>206</v>
      </c>
      <c r="C113" s="3">
        <v>43945.665162037039</v>
      </c>
      <c r="D113" s="3" t="s">
        <v>41</v>
      </c>
      <c r="E113">
        <v>1</v>
      </c>
      <c r="F113">
        <v>1</v>
      </c>
      <c r="I113" t="s">
        <v>233</v>
      </c>
      <c r="J113" t="str">
        <f>HYPERLINK("http://pbs.twimg.com/media/EWYW6fbXQAQx3m6.jpg", "http://pbs.twimg.com/media/EWYW6fbXQAQx3m6.jpg")</f>
        <v>http://pbs.twimg.com/media/EWYW6fbXQAQx3m6.jpg</v>
      </c>
      <c r="N113">
        <v>0.57069999999999999</v>
      </c>
      <c r="O113">
        <v>0</v>
      </c>
      <c r="P113">
        <v>0.85</v>
      </c>
      <c r="Q113">
        <v>0.15</v>
      </c>
    </row>
    <row r="114" spans="1:18" x14ac:dyDescent="0.2">
      <c r="A114" s="1" t="str">
        <f>HYPERLINK("http://www.twitter.com/Ugo_Roux/status/1253689984923639808", "1253689984923639808")</f>
        <v>1253689984923639808</v>
      </c>
      <c r="B114" t="s">
        <v>425</v>
      </c>
      <c r="C114" s="3">
        <v>43945.596747685187</v>
      </c>
      <c r="D114" s="3" t="s">
        <v>17</v>
      </c>
      <c r="E114">
        <v>0</v>
      </c>
      <c r="F114">
        <v>1</v>
      </c>
      <c r="I114" t="s">
        <v>433</v>
      </c>
      <c r="J114" t="str">
        <f>HYPERLINK("http://pbs.twimg.com/media/EWYAInvXgAA3PBx.jpg", "http://pbs.twimg.com/media/EWYAInvXgAA3PBx.jpg")</f>
        <v>http://pbs.twimg.com/media/EWYAInvXgAA3PBx.jpg</v>
      </c>
      <c r="K114" t="str">
        <f>HYPERLINK("http://pbs.twimg.com/media/EWYAL37X0AAOrbe.jpg", "http://pbs.twimg.com/media/EWYAL37X0AAOrbe.jpg")</f>
        <v>http://pbs.twimg.com/media/EWYAL37X0AAOrbe.jpg</v>
      </c>
      <c r="L114" t="str">
        <f>HYPERLINK("http://pbs.twimg.com/media/EWYAPglWAAAlxJw.jpg", "http://pbs.twimg.com/media/EWYAPglWAAAlxJw.jpg")</f>
        <v>http://pbs.twimg.com/media/EWYAPglWAAAlxJw.jpg</v>
      </c>
      <c r="M114" t="str">
        <f>HYPERLINK("http://pbs.twimg.com/media/EWYAWVsXQAEn-zI.jpg", "http://pbs.twimg.com/media/EWYAWVsXQAEn-zI.jpg")</f>
        <v>http://pbs.twimg.com/media/EWYAWVsXQAEn-zI.jpg</v>
      </c>
      <c r="N114">
        <v>0</v>
      </c>
      <c r="O114">
        <v>0</v>
      </c>
      <c r="P114">
        <v>1</v>
      </c>
      <c r="Q114">
        <v>0</v>
      </c>
      <c r="R114">
        <f ca="1">RAND()</f>
        <v>0.93077157684566558</v>
      </c>
    </row>
    <row r="115" spans="1:18" x14ac:dyDescent="0.2">
      <c r="A115" s="1" t="str">
        <f>HYPERLINK("http://www.twitter.com/Ugo_Roux/status/1253672711819341824", "1253672711819341824")</f>
        <v>1253672711819341824</v>
      </c>
      <c r="B115" t="s">
        <v>142</v>
      </c>
      <c r="C115" s="3">
        <v>43945.549085648148</v>
      </c>
      <c r="D115" s="3" t="s">
        <v>17</v>
      </c>
      <c r="E115">
        <v>0</v>
      </c>
      <c r="F115">
        <v>1</v>
      </c>
      <c r="I115" t="s">
        <v>204</v>
      </c>
      <c r="J115" t="str">
        <f>HYPERLINK("http://pbs.twimg.com/media/EWXwrs_WAAEzFmu.jpg", "http://pbs.twimg.com/media/EWXwrs_WAAEzFmu.jpg")</f>
        <v>http://pbs.twimg.com/media/EWXwrs_WAAEzFmu.jpg</v>
      </c>
      <c r="N115">
        <v>0</v>
      </c>
      <c r="O115">
        <v>0</v>
      </c>
      <c r="P115">
        <v>1</v>
      </c>
      <c r="Q115">
        <v>0</v>
      </c>
    </row>
    <row r="116" spans="1:18" x14ac:dyDescent="0.2">
      <c r="A116" s="1" t="str">
        <f>HYPERLINK("http://www.twitter.com/Ugo_Roux/status/1253639148189224961", "1253639148189224961")</f>
        <v>1253639148189224961</v>
      </c>
      <c r="B116" t="s">
        <v>47</v>
      </c>
      <c r="C116" s="3">
        <v>43945.456469907411</v>
      </c>
      <c r="D116" s="3" t="s">
        <v>17</v>
      </c>
      <c r="E116">
        <v>10</v>
      </c>
      <c r="F116">
        <v>4</v>
      </c>
      <c r="I116" t="s">
        <v>62</v>
      </c>
      <c r="J116" t="str">
        <f>HYPERLINK("http://pbs.twimg.com/media/EWXRni0WoAAhVB5.jpg", "http://pbs.twimg.com/media/EWXRni0WoAAhVB5.jpg")</f>
        <v>http://pbs.twimg.com/media/EWXRni0WoAAhVB5.jpg</v>
      </c>
      <c r="N116">
        <v>0</v>
      </c>
      <c r="O116">
        <v>0</v>
      </c>
      <c r="P116">
        <v>1</v>
      </c>
      <c r="Q116">
        <v>0</v>
      </c>
    </row>
    <row r="117" spans="1:18" x14ac:dyDescent="0.2">
      <c r="A117" s="1" t="str">
        <f>HYPERLINK("http://www.twitter.com/Ugo_Roux/status/1253587064697823232", "1253587064697823232")</f>
        <v>1253587064697823232</v>
      </c>
      <c r="B117" t="s">
        <v>370</v>
      </c>
      <c r="C117" s="3">
        <v>43945.312743055547</v>
      </c>
      <c r="D117" s="3" t="s">
        <v>17</v>
      </c>
      <c r="E117">
        <v>1</v>
      </c>
      <c r="F117">
        <v>0</v>
      </c>
      <c r="I117" t="s">
        <v>386</v>
      </c>
      <c r="J117" t="str">
        <f>HYPERLINK("http://pbs.twimg.com/media/EWWiysIWoAAh-20.jpg", "http://pbs.twimg.com/media/EWWiysIWoAAh-20.jpg")</f>
        <v>http://pbs.twimg.com/media/EWWiysIWoAAh-20.jpg</v>
      </c>
      <c r="N117">
        <v>0</v>
      </c>
      <c r="O117">
        <v>0</v>
      </c>
      <c r="P117">
        <v>1</v>
      </c>
      <c r="Q117">
        <v>0</v>
      </c>
    </row>
    <row r="118" spans="1:18" x14ac:dyDescent="0.2">
      <c r="A118" s="1" t="str">
        <f>HYPERLINK("http://www.twitter.com/Ugo_Roux/status/1253565359812227073", "1253565359812227073")</f>
        <v>1253565359812227073</v>
      </c>
      <c r="B118" t="s">
        <v>285</v>
      </c>
      <c r="C118" s="3">
        <v>43945.252847222233</v>
      </c>
      <c r="D118" s="3" t="s">
        <v>17</v>
      </c>
      <c r="E118">
        <v>1</v>
      </c>
      <c r="F118">
        <v>1</v>
      </c>
      <c r="I118" t="s">
        <v>300</v>
      </c>
      <c r="J118" t="str">
        <f>HYPERLINK("http://pbs.twimg.com/media/EWWO-3dWsAEU7ZV.jpg", "http://pbs.twimg.com/media/EWWO-3dWsAEU7ZV.jpg")</f>
        <v>http://pbs.twimg.com/media/EWWO-3dWsAEU7ZV.jpg</v>
      </c>
      <c r="N118">
        <v>0</v>
      </c>
      <c r="O118">
        <v>0</v>
      </c>
      <c r="P118">
        <v>1</v>
      </c>
      <c r="Q118">
        <v>0</v>
      </c>
    </row>
    <row r="119" spans="1:18" x14ac:dyDescent="0.2">
      <c r="A119" s="1" t="str">
        <f>HYPERLINK("http://www.twitter.com/Ugo_Roux/status/1253362271142719494", "1253362271142719494")</f>
        <v>1253362271142719494</v>
      </c>
      <c r="B119" t="s">
        <v>206</v>
      </c>
      <c r="C119" s="3">
        <v>43944.692430555559</v>
      </c>
      <c r="D119" s="3" t="s">
        <v>17</v>
      </c>
      <c r="E119">
        <v>2</v>
      </c>
      <c r="F119">
        <v>1</v>
      </c>
      <c r="I119" t="s">
        <v>345</v>
      </c>
      <c r="J119" t="str">
        <f>HYPERLINK("http://pbs.twimg.com/media/EWTVh9YXQAIU6uL.jpg", "http://pbs.twimg.com/media/EWTVh9YXQAIU6uL.jpg")</f>
        <v>http://pbs.twimg.com/media/EWTVh9YXQAIU6uL.jpg</v>
      </c>
      <c r="N119">
        <v>0</v>
      </c>
      <c r="O119">
        <v>0</v>
      </c>
      <c r="P119">
        <v>1</v>
      </c>
      <c r="Q119">
        <v>0</v>
      </c>
    </row>
    <row r="120" spans="1:18" x14ac:dyDescent="0.2">
      <c r="A120" s="1" t="str">
        <f>HYPERLINK("http://www.twitter.com/Ugo_Roux/status/1253286986019934209", "1253286986019934209")</f>
        <v>1253286986019934209</v>
      </c>
      <c r="B120" t="s">
        <v>142</v>
      </c>
      <c r="C120" s="3">
        <v>43944.4846875</v>
      </c>
      <c r="D120" s="3" t="s">
        <v>17</v>
      </c>
      <c r="E120">
        <v>4</v>
      </c>
      <c r="F120">
        <v>5</v>
      </c>
      <c r="I120" t="s">
        <v>154</v>
      </c>
      <c r="J120" t="str">
        <f>HYPERLINK("http://pbs.twimg.com/media/EWSR3kbXQAANaTN.jpg", "http://pbs.twimg.com/media/EWSR3kbXQAANaTN.jpg")</f>
        <v>http://pbs.twimg.com/media/EWSR3kbXQAANaTN.jpg</v>
      </c>
      <c r="N120">
        <v>0</v>
      </c>
      <c r="O120">
        <v>0</v>
      </c>
      <c r="P120">
        <v>1</v>
      </c>
      <c r="Q120">
        <v>0</v>
      </c>
    </row>
    <row r="121" spans="1:18" x14ac:dyDescent="0.2">
      <c r="A121" s="1" t="str">
        <f>HYPERLINK("http://www.twitter.com/Ugo_Roux/status/1253224945485840385", "1253224945485840385")</f>
        <v>1253224945485840385</v>
      </c>
      <c r="B121" t="s">
        <v>97</v>
      </c>
      <c r="C121" s="3">
        <v>43944.313483796293</v>
      </c>
      <c r="D121" s="3" t="s">
        <v>17</v>
      </c>
      <c r="E121">
        <v>1</v>
      </c>
      <c r="F121">
        <v>0</v>
      </c>
      <c r="I121" t="s">
        <v>111</v>
      </c>
      <c r="N121">
        <v>0</v>
      </c>
      <c r="O121">
        <v>0</v>
      </c>
      <c r="P121">
        <v>1</v>
      </c>
      <c r="Q121">
        <v>0</v>
      </c>
    </row>
    <row r="122" spans="1:18" x14ac:dyDescent="0.2">
      <c r="A122" s="1" t="str">
        <f>HYPERLINK("http://www.twitter.com/Ugo_Roux/status/1253219143618347008", "1253219143618347008")</f>
        <v>1253219143618347008</v>
      </c>
      <c r="B122" t="s">
        <v>425</v>
      </c>
      <c r="C122" s="3">
        <v>43944.297476851847</v>
      </c>
      <c r="D122" s="3" t="s">
        <v>17</v>
      </c>
      <c r="E122">
        <v>1</v>
      </c>
      <c r="F122">
        <v>0</v>
      </c>
      <c r="I122" t="s">
        <v>454</v>
      </c>
      <c r="J122" t="str">
        <f>HYPERLINK("http://pbs.twimg.com/media/EWRT-UpXgAAsiK7.jpg", "http://pbs.twimg.com/media/EWRT-UpXgAAsiK7.jpg")</f>
        <v>http://pbs.twimg.com/media/EWRT-UpXgAAsiK7.jpg</v>
      </c>
      <c r="N122">
        <v>0</v>
      </c>
      <c r="O122">
        <v>0</v>
      </c>
      <c r="P122">
        <v>1</v>
      </c>
      <c r="Q122">
        <v>0</v>
      </c>
      <c r="R122">
        <f ca="1">RAND()</f>
        <v>0.62532591950079053</v>
      </c>
    </row>
    <row r="123" spans="1:18" x14ac:dyDescent="0.2">
      <c r="A123" s="1" t="str">
        <f>HYPERLINK("http://www.twitter.com/Ugo_Roux/status/1253200202506350594", "1253200202506350594")</f>
        <v>1253200202506350594</v>
      </c>
      <c r="B123" t="s">
        <v>285</v>
      </c>
      <c r="C123" s="3">
        <v>43944.245208333326</v>
      </c>
      <c r="D123" s="3" t="s">
        <v>17</v>
      </c>
      <c r="E123">
        <v>0</v>
      </c>
      <c r="F123">
        <v>0</v>
      </c>
      <c r="I123" t="s">
        <v>301</v>
      </c>
      <c r="J123" t="str">
        <f>HYPERLINK("http://pbs.twimg.com/media/EWRC8EsWkAExhmz.jpg", "http://pbs.twimg.com/media/EWRC8EsWkAExhmz.jpg")</f>
        <v>http://pbs.twimg.com/media/EWRC8EsWkAExhmz.jpg</v>
      </c>
      <c r="N123">
        <v>0</v>
      </c>
      <c r="O123">
        <v>0</v>
      </c>
      <c r="P123">
        <v>1</v>
      </c>
      <c r="Q123">
        <v>0</v>
      </c>
    </row>
    <row r="124" spans="1:18" x14ac:dyDescent="0.2">
      <c r="A124" s="1" t="str">
        <f>HYPERLINK("http://www.twitter.com/Ugo_Roux/status/1253096160769781760", "1253096160769781760")</f>
        <v>1253096160769781760</v>
      </c>
      <c r="B124" t="s">
        <v>414</v>
      </c>
      <c r="C124" s="3">
        <v>43943.958101851851</v>
      </c>
      <c r="D124" s="3" t="s">
        <v>41</v>
      </c>
      <c r="E124">
        <v>0</v>
      </c>
      <c r="F124">
        <v>0</v>
      </c>
      <c r="I124" t="s">
        <v>415</v>
      </c>
      <c r="J124" t="str">
        <f>HYPERLINK("http://pbs.twimg.com/media/EWPjbJZXkAEHYHp.jpg", "http://pbs.twimg.com/media/EWPjbJZXkAEHYHp.jpg")</f>
        <v>http://pbs.twimg.com/media/EWPjbJZXkAEHYHp.jpg</v>
      </c>
      <c r="K124" t="str">
        <f>HYPERLINK("http://pbs.twimg.com/media/EWPjdc8XYAIA7Ng.jpg", "http://pbs.twimg.com/media/EWPjdc8XYAIA7Ng.jpg")</f>
        <v>http://pbs.twimg.com/media/EWPjdc8XYAIA7Ng.jpg</v>
      </c>
      <c r="L124" t="str">
        <f>HYPERLINK("http://pbs.twimg.com/media/EWPjdc8WsAAekqH.jpg", "http://pbs.twimg.com/media/EWPjdc8WsAAekqH.jpg")</f>
        <v>http://pbs.twimg.com/media/EWPjdc8WsAAekqH.jpg</v>
      </c>
      <c r="N124">
        <v>0</v>
      </c>
      <c r="O124">
        <v>0</v>
      </c>
      <c r="P124">
        <v>1</v>
      </c>
      <c r="Q124">
        <v>0</v>
      </c>
    </row>
    <row r="125" spans="1:18" x14ac:dyDescent="0.2">
      <c r="A125" s="1" t="str">
        <f>HYPERLINK("http://www.twitter.com/Ugo_Roux/status/1253006337304416258", "1253006337304416258")</f>
        <v>1253006337304416258</v>
      </c>
      <c r="B125" t="s">
        <v>142</v>
      </c>
      <c r="C125" s="3">
        <v>43943.710243055553</v>
      </c>
      <c r="D125" s="3" t="s">
        <v>17</v>
      </c>
      <c r="E125">
        <v>1</v>
      </c>
      <c r="F125">
        <v>2</v>
      </c>
      <c r="I125" t="s">
        <v>198</v>
      </c>
      <c r="J125" t="str">
        <f>HYPERLINK("http://pbs.twimg.com/media/EWOSmioXsAMopq3.jpg", "http://pbs.twimg.com/media/EWOSmioXsAMopq3.jpg")</f>
        <v>http://pbs.twimg.com/media/EWOSmioXsAMopq3.jpg</v>
      </c>
      <c r="N125">
        <v>0.38179999999999997</v>
      </c>
      <c r="O125">
        <v>0</v>
      </c>
      <c r="P125">
        <v>0.92900000000000005</v>
      </c>
      <c r="Q125">
        <v>7.0999999999999994E-2</v>
      </c>
    </row>
    <row r="126" spans="1:18" x14ac:dyDescent="0.2">
      <c r="A126" s="1" t="str">
        <f>HYPERLINK("http://www.twitter.com/Ugo_Roux/status/1252990832132661253", "1252990832132661253")</f>
        <v>1252990832132661253</v>
      </c>
      <c r="B126" t="s">
        <v>206</v>
      </c>
      <c r="C126" s="3">
        <v>43943.667453703703</v>
      </c>
      <c r="D126" s="3" t="s">
        <v>41</v>
      </c>
      <c r="E126">
        <v>5</v>
      </c>
      <c r="F126">
        <v>1</v>
      </c>
      <c r="I126" t="s">
        <v>211</v>
      </c>
      <c r="J126" t="str">
        <f>HYPERLINK("http://pbs.twimg.com/media/EWOEdycWsAELG6n.jpg", "http://pbs.twimg.com/media/EWOEdycWsAELG6n.jpg")</f>
        <v>http://pbs.twimg.com/media/EWOEdycWsAELG6n.jpg</v>
      </c>
      <c r="N126">
        <v>0</v>
      </c>
      <c r="O126">
        <v>0</v>
      </c>
      <c r="P126">
        <v>1</v>
      </c>
      <c r="Q126">
        <v>0</v>
      </c>
    </row>
    <row r="127" spans="1:18" x14ac:dyDescent="0.2">
      <c r="A127" s="1" t="str">
        <f>HYPERLINK("http://www.twitter.com/Ugo_Roux/status/1252900903121805312", "1252900903121805312")</f>
        <v>1252900903121805312</v>
      </c>
      <c r="B127" t="s">
        <v>414</v>
      </c>
      <c r="C127" s="3">
        <v>43943.419293981482</v>
      </c>
      <c r="D127" s="3" t="s">
        <v>17</v>
      </c>
      <c r="E127">
        <v>0</v>
      </c>
      <c r="F127">
        <v>1</v>
      </c>
      <c r="I127" t="s">
        <v>420</v>
      </c>
      <c r="N127">
        <v>0</v>
      </c>
      <c r="O127">
        <v>0</v>
      </c>
      <c r="P127">
        <v>1</v>
      </c>
      <c r="Q127">
        <v>0</v>
      </c>
    </row>
    <row r="128" spans="1:18" x14ac:dyDescent="0.2">
      <c r="A128" s="1" t="str">
        <f>HYPERLINK("http://www.twitter.com/Ugo_Roux/status/1252874572682035200", "1252874572682035200")</f>
        <v>1252874572682035200</v>
      </c>
      <c r="B128" t="s">
        <v>425</v>
      </c>
      <c r="C128" s="3">
        <v>43943.346643518518</v>
      </c>
      <c r="D128" s="3" t="s">
        <v>17</v>
      </c>
      <c r="E128">
        <v>3</v>
      </c>
      <c r="F128">
        <v>1</v>
      </c>
      <c r="I128" t="s">
        <v>435</v>
      </c>
      <c r="J128" t="str">
        <f>HYPERLINK("http://pbs.twimg.com/media/EWMawlfUcAMGLGc.jpg", "http://pbs.twimg.com/media/EWMawlfUcAMGLGc.jpg")</f>
        <v>http://pbs.twimg.com/media/EWMawlfUcAMGLGc.jpg</v>
      </c>
      <c r="N128">
        <v>0</v>
      </c>
      <c r="O128">
        <v>0</v>
      </c>
      <c r="P128">
        <v>1</v>
      </c>
      <c r="Q128">
        <v>0</v>
      </c>
      <c r="R128">
        <f ca="1">RAND()</f>
        <v>2.5489293864183749E-2</v>
      </c>
    </row>
    <row r="129" spans="1:18" x14ac:dyDescent="0.2">
      <c r="A129" s="1" t="str">
        <f>HYPERLINK("http://www.twitter.com/Ugo_Roux/status/1252869362496663552", "1252869362496663552")</f>
        <v>1252869362496663552</v>
      </c>
      <c r="B129" t="s">
        <v>142</v>
      </c>
      <c r="C129" s="3">
        <v>43943.332256944443</v>
      </c>
      <c r="D129" s="3" t="s">
        <v>17</v>
      </c>
      <c r="E129">
        <v>0</v>
      </c>
      <c r="F129">
        <v>1</v>
      </c>
      <c r="I129" t="s">
        <v>363</v>
      </c>
      <c r="J129" t="str">
        <f>HYPERLINK("http://pbs.twimg.com/media/EWMWCGWVcAM_E45.jpg", "http://pbs.twimg.com/media/EWMWCGWVcAM_E45.jpg")</f>
        <v>http://pbs.twimg.com/media/EWMWCGWVcAM_E45.jpg</v>
      </c>
      <c r="N129">
        <v>0</v>
      </c>
      <c r="O129">
        <v>0</v>
      </c>
      <c r="P129">
        <v>1</v>
      </c>
      <c r="Q129">
        <v>0</v>
      </c>
    </row>
    <row r="130" spans="1:18" x14ac:dyDescent="0.2">
      <c r="A130" s="1" t="str">
        <f>HYPERLINK("http://www.twitter.com/Ugo_Roux/status/1252866118605107200", "1252866118605107200")</f>
        <v>1252866118605107200</v>
      </c>
      <c r="B130" t="s">
        <v>142</v>
      </c>
      <c r="C130" s="3">
        <v>43943.323310185187</v>
      </c>
      <c r="D130" s="3" t="s">
        <v>41</v>
      </c>
      <c r="E130">
        <v>0</v>
      </c>
      <c r="F130">
        <v>1</v>
      </c>
      <c r="I130" t="s">
        <v>143</v>
      </c>
      <c r="N130">
        <v>0</v>
      </c>
      <c r="O130">
        <v>0</v>
      </c>
      <c r="P130">
        <v>1</v>
      </c>
      <c r="Q130">
        <v>0</v>
      </c>
    </row>
    <row r="131" spans="1:18" x14ac:dyDescent="0.2">
      <c r="A131" s="1" t="str">
        <f>HYPERLINK("http://www.twitter.com/Ugo_Roux/status/1252862715220996098", "1252862715220996098")</f>
        <v>1252862715220996098</v>
      </c>
      <c r="B131" t="s">
        <v>370</v>
      </c>
      <c r="C131" s="3">
        <v>43943.313923611109</v>
      </c>
      <c r="D131" s="3" t="s">
        <v>17</v>
      </c>
      <c r="E131">
        <v>0</v>
      </c>
      <c r="F131">
        <v>0</v>
      </c>
      <c r="I131" t="s">
        <v>387</v>
      </c>
      <c r="J131" t="str">
        <f>HYPERLINK("http://pbs.twimg.com/media/EWMP_-RU0AAyje-.jpg", "http://pbs.twimg.com/media/EWMP_-RU0AAyje-.jpg")</f>
        <v>http://pbs.twimg.com/media/EWMP_-RU0AAyje-.jpg</v>
      </c>
      <c r="N131">
        <v>0</v>
      </c>
      <c r="O131">
        <v>0</v>
      </c>
      <c r="P131">
        <v>1</v>
      </c>
      <c r="Q131">
        <v>0</v>
      </c>
    </row>
    <row r="132" spans="1:18" x14ac:dyDescent="0.2">
      <c r="A132" s="1" t="str">
        <f>HYPERLINK("http://www.twitter.com/Ugo_Roux/status/1252847754797133824", "1252847754797133824")</f>
        <v>1252847754797133824</v>
      </c>
      <c r="B132" t="s">
        <v>370</v>
      </c>
      <c r="C132" s="3">
        <v>43943.272638888891</v>
      </c>
      <c r="D132" s="3" t="s">
        <v>17</v>
      </c>
      <c r="E132">
        <v>0</v>
      </c>
      <c r="F132">
        <v>0</v>
      </c>
      <c r="I132" t="s">
        <v>388</v>
      </c>
      <c r="N132">
        <v>0</v>
      </c>
      <c r="O132">
        <v>0</v>
      </c>
      <c r="P132">
        <v>1</v>
      </c>
      <c r="Q132">
        <v>0</v>
      </c>
    </row>
    <row r="133" spans="1:18" x14ac:dyDescent="0.2">
      <c r="A133" s="1" t="str">
        <f>HYPERLINK("http://www.twitter.com/Ugo_Roux/status/1252838595112517637", "1252838595112517637")</f>
        <v>1252838595112517637</v>
      </c>
      <c r="B133" t="s">
        <v>285</v>
      </c>
      <c r="C133" s="3">
        <v>43943.247361111113</v>
      </c>
      <c r="D133" s="3" t="s">
        <v>17</v>
      </c>
      <c r="E133">
        <v>0</v>
      </c>
      <c r="F133">
        <v>0</v>
      </c>
      <c r="I133" t="s">
        <v>302</v>
      </c>
      <c r="J133" t="str">
        <f>HYPERLINK("http://pbs.twimg.com/media/EWL5yvVVcAADNT-.jpg", "http://pbs.twimg.com/media/EWL5yvVVcAADNT-.jpg")</f>
        <v>http://pbs.twimg.com/media/EWL5yvVVcAADNT-.jpg</v>
      </c>
      <c r="K133" t="str">
        <f>HYPERLINK("http://pbs.twimg.com/media/EWL5z3pVcAEztEs.jpg", "http://pbs.twimg.com/media/EWL5z3pVcAEztEs.jpg")</f>
        <v>http://pbs.twimg.com/media/EWL5z3pVcAEztEs.jpg</v>
      </c>
      <c r="N133">
        <v>0</v>
      </c>
      <c r="O133">
        <v>0</v>
      </c>
      <c r="P133">
        <v>1</v>
      </c>
      <c r="Q133">
        <v>0</v>
      </c>
    </row>
    <row r="134" spans="1:18" x14ac:dyDescent="0.2">
      <c r="A134" s="1" t="str">
        <f>HYPERLINK("http://www.twitter.com/Ugo_Roux/status/1252627796960174082", "1252627796960174082")</f>
        <v>1252627796960174082</v>
      </c>
      <c r="B134" t="s">
        <v>425</v>
      </c>
      <c r="C134" s="3">
        <v>43942.665671296287</v>
      </c>
      <c r="D134" s="3" t="s">
        <v>17</v>
      </c>
      <c r="E134">
        <v>0</v>
      </c>
      <c r="F134">
        <v>0</v>
      </c>
      <c r="I134" t="s">
        <v>448</v>
      </c>
      <c r="J134" t="str">
        <f>HYPERLINK("http://pbs.twimg.com/media/EWI6HNzWoBQMWR1.png", "http://pbs.twimg.com/media/EWI6HNzWoBQMWR1.png")</f>
        <v>http://pbs.twimg.com/media/EWI6HNzWoBQMWR1.png</v>
      </c>
      <c r="N134">
        <v>0</v>
      </c>
      <c r="O134">
        <v>0</v>
      </c>
      <c r="P134">
        <v>1</v>
      </c>
      <c r="Q134">
        <v>0</v>
      </c>
      <c r="R134">
        <f ca="1">RAND()</f>
        <v>0.49090216366022021</v>
      </c>
    </row>
    <row r="135" spans="1:18" x14ac:dyDescent="0.2">
      <c r="A135" s="1" t="str">
        <f>HYPERLINK("http://www.twitter.com/Ugo_Roux/status/1252612249027596289", "1252612249027596289")</f>
        <v>1252612249027596289</v>
      </c>
      <c r="B135" t="s">
        <v>206</v>
      </c>
      <c r="C135" s="3">
        <v>43942.622766203713</v>
      </c>
      <c r="D135" s="3" t="s">
        <v>17</v>
      </c>
      <c r="E135">
        <v>2</v>
      </c>
      <c r="F135">
        <v>0</v>
      </c>
      <c r="I135" t="s">
        <v>346</v>
      </c>
      <c r="J135" t="str">
        <f>HYPERLINK("http://pbs.twimg.com/media/EWIraWjXkAIYt2v.jpg", "http://pbs.twimg.com/media/EWIraWjXkAIYt2v.jpg")</f>
        <v>http://pbs.twimg.com/media/EWIraWjXkAIYt2v.jpg</v>
      </c>
      <c r="N135">
        <v>0.52549999999999997</v>
      </c>
      <c r="O135">
        <v>0</v>
      </c>
      <c r="P135">
        <v>0.90100000000000002</v>
      </c>
      <c r="Q135">
        <v>9.9000000000000005E-2</v>
      </c>
    </row>
    <row r="136" spans="1:18" x14ac:dyDescent="0.2">
      <c r="A136" s="1" t="str">
        <f>HYPERLINK("http://www.twitter.com/Ugo_Roux/status/1252568749913395200", "1252568749913395200")</f>
        <v>1252568749913395200</v>
      </c>
      <c r="B136" t="s">
        <v>142</v>
      </c>
      <c r="C136" s="3">
        <v>43942.50273148148</v>
      </c>
      <c r="D136" s="3" t="s">
        <v>17</v>
      </c>
      <c r="E136">
        <v>5</v>
      </c>
      <c r="F136">
        <v>4</v>
      </c>
      <c r="I136" t="s">
        <v>200</v>
      </c>
      <c r="J136" t="str">
        <f>HYPERLINK("http://pbs.twimg.com/media/EWIEoxvXsAAiALj.jpg", "http://pbs.twimg.com/media/EWIEoxvXsAAiALj.jpg")</f>
        <v>http://pbs.twimg.com/media/EWIEoxvXsAAiALj.jpg</v>
      </c>
      <c r="N136">
        <v>0</v>
      </c>
      <c r="O136">
        <v>0</v>
      </c>
      <c r="P136">
        <v>1</v>
      </c>
      <c r="Q136">
        <v>0</v>
      </c>
    </row>
    <row r="137" spans="1:18" x14ac:dyDescent="0.2">
      <c r="A137" s="1" t="str">
        <f>HYPERLINK("http://www.twitter.com/Ugo_Roux/status/1252492654811766784", "1252492654811766784")</f>
        <v>1252492654811766784</v>
      </c>
      <c r="B137" t="s">
        <v>97</v>
      </c>
      <c r="C137" s="3">
        <v>43942.292743055557</v>
      </c>
      <c r="D137" s="3" t="s">
        <v>17</v>
      </c>
      <c r="E137">
        <v>0</v>
      </c>
      <c r="F137">
        <v>0</v>
      </c>
      <c r="I137" t="s">
        <v>112</v>
      </c>
      <c r="J137" t="str">
        <f>HYPERLINK("http://pbs.twimg.com/media/EWG_boUXQAAriKl.jpg", "http://pbs.twimg.com/media/EWG_boUXQAAriKl.jpg")</f>
        <v>http://pbs.twimg.com/media/EWG_boUXQAAriKl.jpg</v>
      </c>
      <c r="N137">
        <v>0</v>
      </c>
      <c r="O137">
        <v>0</v>
      </c>
      <c r="P137">
        <v>1</v>
      </c>
      <c r="Q137">
        <v>0</v>
      </c>
    </row>
    <row r="138" spans="1:18" x14ac:dyDescent="0.2">
      <c r="A138" s="1" t="str">
        <f>HYPERLINK("http://www.twitter.com/Ugo_Roux/status/1252473507495247873", "1252473507495247873")</f>
        <v>1252473507495247873</v>
      </c>
      <c r="B138" t="s">
        <v>285</v>
      </c>
      <c r="C138" s="3">
        <v>43942.239907407413</v>
      </c>
      <c r="D138" s="3" t="s">
        <v>17</v>
      </c>
      <c r="E138">
        <v>4</v>
      </c>
      <c r="F138">
        <v>3</v>
      </c>
      <c r="I138" t="s">
        <v>303</v>
      </c>
      <c r="J138" t="str">
        <f>HYPERLINK("http://pbs.twimg.com/media/EWGt3ohXYAABdmC.jpg", "http://pbs.twimg.com/media/EWGt3ohXYAABdmC.jpg")</f>
        <v>http://pbs.twimg.com/media/EWGt3ohXYAABdmC.jpg</v>
      </c>
      <c r="N138">
        <v>0</v>
      </c>
      <c r="O138">
        <v>0</v>
      </c>
      <c r="P138">
        <v>1</v>
      </c>
      <c r="Q138">
        <v>0</v>
      </c>
    </row>
    <row r="139" spans="1:18" x14ac:dyDescent="0.2">
      <c r="A139" s="1" t="str">
        <f>HYPERLINK("http://www.twitter.com/Ugo_Roux/status/1252255640380211202", "1252255640380211202")</f>
        <v>1252255640380211202</v>
      </c>
      <c r="B139" t="s">
        <v>206</v>
      </c>
      <c r="C139" s="3">
        <v>43941.638715277782</v>
      </c>
      <c r="D139" s="3" t="s">
        <v>41</v>
      </c>
      <c r="E139">
        <v>5</v>
      </c>
      <c r="F139">
        <v>2</v>
      </c>
      <c r="I139" t="s">
        <v>214</v>
      </c>
      <c r="N139">
        <v>0</v>
      </c>
      <c r="O139">
        <v>0</v>
      </c>
      <c r="P139">
        <v>1</v>
      </c>
      <c r="Q139">
        <v>0</v>
      </c>
    </row>
    <row r="140" spans="1:18" x14ac:dyDescent="0.2">
      <c r="A140" s="1" t="str">
        <f>HYPERLINK("http://www.twitter.com/Ugo_Roux/status/1252218979273388035", "1252218979273388035")</f>
        <v>1252218979273388035</v>
      </c>
      <c r="B140" t="s">
        <v>142</v>
      </c>
      <c r="C140" s="3">
        <v>43941.537546296298</v>
      </c>
      <c r="D140" s="3" t="s">
        <v>17</v>
      </c>
      <c r="E140">
        <v>4</v>
      </c>
      <c r="F140">
        <v>1</v>
      </c>
      <c r="I140" t="s">
        <v>169</v>
      </c>
      <c r="J140" t="str">
        <f>HYPERLINK("http://pbs.twimg.com/media/EWDGhNHXQAYkOZM.jpg", "http://pbs.twimg.com/media/EWDGhNHXQAYkOZM.jpg")</f>
        <v>http://pbs.twimg.com/media/EWDGhNHXQAYkOZM.jpg</v>
      </c>
      <c r="N140">
        <v>0</v>
      </c>
      <c r="O140">
        <v>0</v>
      </c>
      <c r="P140">
        <v>1</v>
      </c>
      <c r="Q140">
        <v>0</v>
      </c>
    </row>
    <row r="141" spans="1:18" x14ac:dyDescent="0.2">
      <c r="A141" s="1" t="str">
        <f>HYPERLINK("http://www.twitter.com/Ugo_Roux/status/1252139203938435078", "1252139203938435078")</f>
        <v>1252139203938435078</v>
      </c>
      <c r="B141" t="s">
        <v>370</v>
      </c>
      <c r="C141" s="3">
        <v>43941.317407407398</v>
      </c>
      <c r="D141" s="3" t="s">
        <v>17</v>
      </c>
      <c r="E141">
        <v>0</v>
      </c>
      <c r="F141">
        <v>1</v>
      </c>
      <c r="I141" t="s">
        <v>389</v>
      </c>
      <c r="N141">
        <v>0</v>
      </c>
      <c r="O141">
        <v>0</v>
      </c>
      <c r="P141">
        <v>1</v>
      </c>
      <c r="Q141">
        <v>0</v>
      </c>
    </row>
    <row r="142" spans="1:18" x14ac:dyDescent="0.2">
      <c r="A142" s="1" t="str">
        <f>HYPERLINK("http://www.twitter.com/Ugo_Roux/status/1252139194052476929", "1252139194052476929")</f>
        <v>1252139194052476929</v>
      </c>
      <c r="B142" t="s">
        <v>370</v>
      </c>
      <c r="C142" s="3">
        <v>43941.317384259259</v>
      </c>
      <c r="D142" s="3" t="s">
        <v>17</v>
      </c>
      <c r="E142">
        <v>0</v>
      </c>
      <c r="F142">
        <v>0</v>
      </c>
      <c r="I142" t="s">
        <v>390</v>
      </c>
      <c r="J142" t="str">
        <f>HYPERLINK("http://pbs.twimg.com/media/EWB99h1XsAAEPIr.jpg", "http://pbs.twimg.com/media/EWB99h1XsAAEPIr.jpg")</f>
        <v>http://pbs.twimg.com/media/EWB99h1XsAAEPIr.jpg</v>
      </c>
      <c r="N142">
        <v>0</v>
      </c>
      <c r="O142">
        <v>0</v>
      </c>
      <c r="P142">
        <v>1</v>
      </c>
      <c r="Q142">
        <v>0</v>
      </c>
    </row>
    <row r="143" spans="1:18" x14ac:dyDescent="0.2">
      <c r="A143" s="1" t="str">
        <f>HYPERLINK("http://www.twitter.com/Ugo_Roux/status/1252125081494532096", "1252125081494532096")</f>
        <v>1252125081494532096</v>
      </c>
      <c r="B143" t="s">
        <v>47</v>
      </c>
      <c r="C143" s="3">
        <v>43941.278437499997</v>
      </c>
      <c r="D143" s="3" t="s">
        <v>41</v>
      </c>
      <c r="E143">
        <v>10</v>
      </c>
      <c r="F143">
        <v>4</v>
      </c>
      <c r="I143" t="s">
        <v>63</v>
      </c>
      <c r="N143">
        <v>0.54110000000000003</v>
      </c>
      <c r="O143">
        <v>0</v>
      </c>
      <c r="P143">
        <v>0.89300000000000002</v>
      </c>
      <c r="Q143">
        <v>0.107</v>
      </c>
    </row>
    <row r="144" spans="1:18" x14ac:dyDescent="0.2">
      <c r="A144" s="1" t="str">
        <f>HYPERLINK("http://www.twitter.com/Ugo_Roux/status/1251911763223855104", "1251911763223855104")</f>
        <v>1251911763223855104</v>
      </c>
      <c r="B144" t="s">
        <v>206</v>
      </c>
      <c r="C144" s="3">
        <v>43940.689791666657</v>
      </c>
      <c r="D144" s="3" t="s">
        <v>17</v>
      </c>
      <c r="E144">
        <v>4</v>
      </c>
      <c r="F144">
        <v>1</v>
      </c>
      <c r="I144" t="s">
        <v>252</v>
      </c>
      <c r="J144" t="str">
        <f>HYPERLINK("http://pbs.twimg.com/media/EV-vGe3X0AMtan6.jpg", "http://pbs.twimg.com/media/EV-vGe3X0AMtan6.jpg")</f>
        <v>http://pbs.twimg.com/media/EV-vGe3X0AMtan6.jpg</v>
      </c>
      <c r="N144">
        <v>0</v>
      </c>
      <c r="O144">
        <v>0</v>
      </c>
      <c r="P144">
        <v>1</v>
      </c>
      <c r="Q144">
        <v>0</v>
      </c>
    </row>
    <row r="145" spans="1:18" x14ac:dyDescent="0.2">
      <c r="A145" s="1" t="str">
        <f>HYPERLINK("http://www.twitter.com/Ugo_Roux/status/1251853894734536704", "1251853894734536704")</f>
        <v>1251853894734536704</v>
      </c>
      <c r="B145" t="s">
        <v>142</v>
      </c>
      <c r="C145" s="3">
        <v>43940.530104166668</v>
      </c>
      <c r="D145" s="3" t="s">
        <v>17</v>
      </c>
      <c r="E145">
        <v>0</v>
      </c>
      <c r="F145">
        <v>1</v>
      </c>
      <c r="I145" t="s">
        <v>188</v>
      </c>
      <c r="J145" t="str">
        <f>HYPERLINK("http://pbs.twimg.com/media/EV96epaXkAAfaPm.jpg", "http://pbs.twimg.com/media/EV96epaXkAAfaPm.jpg")</f>
        <v>http://pbs.twimg.com/media/EV96epaXkAAfaPm.jpg</v>
      </c>
      <c r="N145">
        <v>0.49390000000000001</v>
      </c>
      <c r="O145">
        <v>0</v>
      </c>
      <c r="P145">
        <v>0.89700000000000002</v>
      </c>
      <c r="Q145">
        <v>0.10299999999999999</v>
      </c>
    </row>
    <row r="146" spans="1:18" x14ac:dyDescent="0.2">
      <c r="A146" s="1" t="str">
        <f>HYPERLINK("http://www.twitter.com/Ugo_Roux/status/1251774211120644096", "1251774211120644096")</f>
        <v>1251774211120644096</v>
      </c>
      <c r="B146" t="s">
        <v>97</v>
      </c>
      <c r="C146" s="3">
        <v>43940.310219907413</v>
      </c>
      <c r="D146" s="3" t="s">
        <v>17</v>
      </c>
      <c r="E146">
        <v>1</v>
      </c>
      <c r="F146">
        <v>0</v>
      </c>
      <c r="I146" t="s">
        <v>113</v>
      </c>
      <c r="N146">
        <v>0</v>
      </c>
      <c r="O146">
        <v>0</v>
      </c>
      <c r="P146">
        <v>1</v>
      </c>
      <c r="Q146">
        <v>0</v>
      </c>
    </row>
    <row r="147" spans="1:18" x14ac:dyDescent="0.2">
      <c r="A147" s="1" t="str">
        <f>HYPERLINK("http://www.twitter.com/Ugo_Roux/status/1251550396667113472", "1251550396667113472")</f>
        <v>1251550396667113472</v>
      </c>
      <c r="B147" t="s">
        <v>206</v>
      </c>
      <c r="C147" s="3">
        <v>43939.692604166667</v>
      </c>
      <c r="D147" s="3" t="s">
        <v>41</v>
      </c>
      <c r="E147">
        <v>4</v>
      </c>
      <c r="F147">
        <v>2</v>
      </c>
      <c r="I147" t="s">
        <v>347</v>
      </c>
      <c r="J147" t="str">
        <f>HYPERLINK("http://pbs.twimg.com/media/EV5mWDRXsAAXnYS.jpg", "http://pbs.twimg.com/media/EV5mWDRXsAAXnYS.jpg")</f>
        <v>http://pbs.twimg.com/media/EV5mWDRXsAAXnYS.jpg</v>
      </c>
      <c r="K147" t="str">
        <f>HYPERLINK("http://pbs.twimg.com/media/EV5mZWRWAAAnA_z.jpg", "http://pbs.twimg.com/media/EV5mZWRWAAAnA_z.jpg")</f>
        <v>http://pbs.twimg.com/media/EV5mZWRWAAAnA_z.jpg</v>
      </c>
      <c r="N147">
        <v>0</v>
      </c>
      <c r="O147">
        <v>0</v>
      </c>
      <c r="P147">
        <v>1</v>
      </c>
      <c r="Q147">
        <v>0</v>
      </c>
    </row>
    <row r="148" spans="1:18" x14ac:dyDescent="0.2">
      <c r="A148" s="1" t="str">
        <f>HYPERLINK("http://www.twitter.com/Ugo_Roux/status/1251497851735113730", "1251497851735113730")</f>
        <v>1251497851735113730</v>
      </c>
      <c r="B148" t="s">
        <v>142</v>
      </c>
      <c r="C148" s="3">
        <v>43939.547615740739</v>
      </c>
      <c r="D148" s="3" t="s">
        <v>17</v>
      </c>
      <c r="E148">
        <v>2</v>
      </c>
      <c r="F148">
        <v>3</v>
      </c>
      <c r="I148" t="s">
        <v>364</v>
      </c>
      <c r="J148" t="str">
        <f>HYPERLINK("http://pbs.twimg.com/media/EV42p-iWkAAZiMp.jpg", "http://pbs.twimg.com/media/EV42p-iWkAAZiMp.jpg")</f>
        <v>http://pbs.twimg.com/media/EV42p-iWkAAZiMp.jpg</v>
      </c>
      <c r="N148">
        <v>0</v>
      </c>
      <c r="O148">
        <v>0</v>
      </c>
      <c r="P148">
        <v>1</v>
      </c>
      <c r="Q148">
        <v>0</v>
      </c>
    </row>
    <row r="149" spans="1:18" x14ac:dyDescent="0.2">
      <c r="A149" s="1" t="str">
        <f>HYPERLINK("http://www.twitter.com/Ugo_Roux/status/1251412950658822144", "1251412950658822144")</f>
        <v>1251412950658822144</v>
      </c>
      <c r="B149" t="s">
        <v>370</v>
      </c>
      <c r="C149" s="3">
        <v>43939.313333333332</v>
      </c>
      <c r="D149" s="3" t="s">
        <v>17</v>
      </c>
      <c r="E149">
        <v>0</v>
      </c>
      <c r="F149">
        <v>0</v>
      </c>
      <c r="I149" t="s">
        <v>391</v>
      </c>
      <c r="J149" t="str">
        <f>HYPERLINK("http://pbs.twimg.com/media/EV3pclzXYAEK0RK.jpg", "http://pbs.twimg.com/media/EV3pclzXYAEK0RK.jpg")</f>
        <v>http://pbs.twimg.com/media/EV3pclzXYAEK0RK.jpg</v>
      </c>
      <c r="N149">
        <v>0</v>
      </c>
      <c r="O149">
        <v>0</v>
      </c>
      <c r="P149">
        <v>1</v>
      </c>
      <c r="Q149">
        <v>0</v>
      </c>
    </row>
    <row r="150" spans="1:18" x14ac:dyDescent="0.2">
      <c r="A150" s="1" t="str">
        <f>HYPERLINK("http://www.twitter.com/Ugo_Roux/status/1251412510659489796", "1251412510659489796")</f>
        <v>1251412510659489796</v>
      </c>
      <c r="B150" t="s">
        <v>97</v>
      </c>
      <c r="C150" s="3">
        <v>43939.312118055554</v>
      </c>
      <c r="D150" s="3" t="s">
        <v>17</v>
      </c>
      <c r="E150">
        <v>1</v>
      </c>
      <c r="F150">
        <v>0</v>
      </c>
      <c r="I150" t="s">
        <v>114</v>
      </c>
      <c r="J150" t="str">
        <f>HYPERLINK("http://pbs.twimg.com/media/EV3pC-PXsAAPkLk.jpg", "http://pbs.twimg.com/media/EV3pC-PXsAAPkLk.jpg")</f>
        <v>http://pbs.twimg.com/media/EV3pC-PXsAAPkLk.jpg</v>
      </c>
      <c r="N150">
        <v>0</v>
      </c>
      <c r="O150">
        <v>0</v>
      </c>
      <c r="P150">
        <v>1</v>
      </c>
      <c r="Q150">
        <v>0</v>
      </c>
    </row>
    <row r="151" spans="1:18" x14ac:dyDescent="0.2">
      <c r="A151" s="1" t="str">
        <f>HYPERLINK("http://www.twitter.com/Ugo_Roux/status/1251399923616055302", "1251399923616055302")</f>
        <v>1251399923616055302</v>
      </c>
      <c r="B151" t="s">
        <v>142</v>
      </c>
      <c r="C151" s="3">
        <v>43939.277384259258</v>
      </c>
      <c r="D151" s="3" t="s">
        <v>17</v>
      </c>
      <c r="E151">
        <v>1</v>
      </c>
      <c r="F151">
        <v>3</v>
      </c>
      <c r="I151" t="s">
        <v>365</v>
      </c>
      <c r="N151">
        <v>0</v>
      </c>
      <c r="O151">
        <v>0</v>
      </c>
      <c r="P151">
        <v>1</v>
      </c>
      <c r="Q151">
        <v>0</v>
      </c>
    </row>
    <row r="152" spans="1:18" x14ac:dyDescent="0.2">
      <c r="A152" s="1" t="str">
        <f>HYPERLINK("http://www.twitter.com/Ugo_Roux/status/1251193958627147780", "1251193958627147780")</f>
        <v>1251193958627147780</v>
      </c>
      <c r="B152" t="s">
        <v>47</v>
      </c>
      <c r="C152" s="3">
        <v>43938.709027777782</v>
      </c>
      <c r="D152" s="3" t="s">
        <v>41</v>
      </c>
      <c r="E152">
        <v>3</v>
      </c>
      <c r="F152">
        <v>0</v>
      </c>
      <c r="I152" t="s">
        <v>64</v>
      </c>
      <c r="N152">
        <v>0</v>
      </c>
      <c r="O152">
        <v>0</v>
      </c>
      <c r="P152">
        <v>1</v>
      </c>
      <c r="Q152">
        <v>0</v>
      </c>
    </row>
    <row r="153" spans="1:18" x14ac:dyDescent="0.2">
      <c r="A153" s="1" t="str">
        <f>HYPERLINK("http://www.twitter.com/Ugo_Roux/status/1251181080054554626", "1251181080054554626")</f>
        <v>1251181080054554626</v>
      </c>
      <c r="B153" t="s">
        <v>206</v>
      </c>
      <c r="C153" s="3">
        <v>43938.673483796287</v>
      </c>
      <c r="D153" s="3" t="s">
        <v>17</v>
      </c>
      <c r="E153">
        <v>0</v>
      </c>
      <c r="F153">
        <v>0</v>
      </c>
      <c r="I153" t="s">
        <v>278</v>
      </c>
      <c r="N153">
        <v>0</v>
      </c>
      <c r="O153">
        <v>0</v>
      </c>
      <c r="P153">
        <v>1</v>
      </c>
      <c r="Q153">
        <v>0</v>
      </c>
    </row>
    <row r="154" spans="1:18" x14ac:dyDescent="0.2">
      <c r="A154" s="1" t="str">
        <f>HYPERLINK("http://www.twitter.com/Ugo_Roux/status/1251168315545808896", "1251168315545808896")</f>
        <v>1251168315545808896</v>
      </c>
      <c r="B154" t="s">
        <v>425</v>
      </c>
      <c r="C154" s="3">
        <v>43938.63826388889</v>
      </c>
      <c r="D154" s="3" t="s">
        <v>17</v>
      </c>
      <c r="E154">
        <v>0</v>
      </c>
      <c r="F154">
        <v>1</v>
      </c>
      <c r="I154" t="s">
        <v>453</v>
      </c>
      <c r="N154">
        <v>0</v>
      </c>
      <c r="O154">
        <v>0</v>
      </c>
      <c r="P154">
        <v>1</v>
      </c>
      <c r="Q154">
        <v>0</v>
      </c>
      <c r="R154">
        <f ca="1">RAND()</f>
        <v>0.98665159662724067</v>
      </c>
    </row>
    <row r="155" spans="1:18" x14ac:dyDescent="0.2">
      <c r="A155" s="1" t="str">
        <f>HYPERLINK("http://www.twitter.com/Ugo_Roux/status/1251136990080389122", "1251136990080389122")</f>
        <v>1251136990080389122</v>
      </c>
      <c r="B155" t="s">
        <v>47</v>
      </c>
      <c r="C155" s="3">
        <v>43938.551828703698</v>
      </c>
      <c r="D155" s="3" t="s">
        <v>17</v>
      </c>
      <c r="E155">
        <v>2</v>
      </c>
      <c r="F155">
        <v>1</v>
      </c>
      <c r="I155" t="s">
        <v>65</v>
      </c>
      <c r="N155">
        <v>0</v>
      </c>
      <c r="O155">
        <v>0</v>
      </c>
      <c r="P155">
        <v>1</v>
      </c>
      <c r="Q155">
        <v>0</v>
      </c>
    </row>
    <row r="156" spans="1:18" x14ac:dyDescent="0.2">
      <c r="A156" s="1" t="str">
        <f>HYPERLINK("http://www.twitter.com/Ugo_Roux/status/1251120102210142208", "1251120102210142208")</f>
        <v>1251120102210142208</v>
      </c>
      <c r="B156" t="s">
        <v>142</v>
      </c>
      <c r="C156" s="3">
        <v>43938.505219907413</v>
      </c>
      <c r="D156" s="3" t="s">
        <v>17</v>
      </c>
      <c r="E156">
        <v>2</v>
      </c>
      <c r="F156">
        <v>1</v>
      </c>
      <c r="I156" t="s">
        <v>195</v>
      </c>
      <c r="J156" t="str">
        <f>HYPERLINK("http://pbs.twimg.com/media/EVzfGQGXkAAyasj.jpg", "http://pbs.twimg.com/media/EVzfGQGXkAAyasj.jpg")</f>
        <v>http://pbs.twimg.com/media/EVzfGQGXkAAyasj.jpg</v>
      </c>
      <c r="N156">
        <v>0.57189999999999996</v>
      </c>
      <c r="O156">
        <v>0</v>
      </c>
      <c r="P156">
        <v>0.90200000000000002</v>
      </c>
      <c r="Q156">
        <v>9.8000000000000004E-2</v>
      </c>
    </row>
    <row r="157" spans="1:18" x14ac:dyDescent="0.2">
      <c r="A157" s="1" t="str">
        <f>HYPERLINK("http://www.twitter.com/Ugo_Roux/status/1251056665744506885", "1251056665744506885")</f>
        <v>1251056665744506885</v>
      </c>
      <c r="B157" t="s">
        <v>425</v>
      </c>
      <c r="C157" s="3">
        <v>43938.33017361111</v>
      </c>
      <c r="D157" s="3" t="s">
        <v>17</v>
      </c>
      <c r="E157">
        <v>1</v>
      </c>
      <c r="F157">
        <v>0</v>
      </c>
      <c r="I157" t="s">
        <v>446</v>
      </c>
      <c r="J157" t="str">
        <f>HYPERLINK("http://pbs.twimg.com/media/EVylQQbWsAAQv-r.jpg", "http://pbs.twimg.com/media/EVylQQbWsAAQv-r.jpg")</f>
        <v>http://pbs.twimg.com/media/EVylQQbWsAAQv-r.jpg</v>
      </c>
      <c r="N157">
        <v>0.36120000000000002</v>
      </c>
      <c r="O157">
        <v>0</v>
      </c>
      <c r="P157">
        <v>0.93300000000000005</v>
      </c>
      <c r="Q157">
        <v>6.7000000000000004E-2</v>
      </c>
      <c r="R157">
        <f ca="1">RAND()</f>
        <v>0.27908814680446081</v>
      </c>
    </row>
    <row r="158" spans="1:18" x14ac:dyDescent="0.2">
      <c r="A158" s="1" t="str">
        <f>HYPERLINK("http://www.twitter.com/Ugo_Roux/status/1251056465982488581", "1251056465982488581")</f>
        <v>1251056465982488581</v>
      </c>
      <c r="B158" t="s">
        <v>142</v>
      </c>
      <c r="C158" s="3">
        <v>43938.329618055563</v>
      </c>
      <c r="D158" s="3" t="s">
        <v>17</v>
      </c>
      <c r="E158">
        <v>1</v>
      </c>
      <c r="F158">
        <v>0</v>
      </c>
      <c r="I158" t="s">
        <v>159</v>
      </c>
      <c r="N158">
        <v>0</v>
      </c>
      <c r="O158">
        <v>0</v>
      </c>
      <c r="P158">
        <v>1</v>
      </c>
      <c r="Q158">
        <v>0</v>
      </c>
    </row>
    <row r="159" spans="1:18" x14ac:dyDescent="0.2">
      <c r="A159" s="1" t="str">
        <f>HYPERLINK("http://www.twitter.com/Ugo_Roux/status/1251053446649786369", "1251053446649786369")</f>
        <v>1251053446649786369</v>
      </c>
      <c r="B159" t="s">
        <v>370</v>
      </c>
      <c r="C159" s="3">
        <v>43938.321284722217</v>
      </c>
      <c r="D159" s="3" t="s">
        <v>17</v>
      </c>
      <c r="E159">
        <v>0</v>
      </c>
      <c r="F159">
        <v>0</v>
      </c>
      <c r="I159" t="s">
        <v>392</v>
      </c>
      <c r="J159" t="str">
        <f>HYPERLINK("http://pbs.twimg.com/media/EVyieuYWoAAU6EU.jpg", "http://pbs.twimg.com/media/EVyieuYWoAAU6EU.jpg")</f>
        <v>http://pbs.twimg.com/media/EVyieuYWoAAU6EU.jpg</v>
      </c>
      <c r="N159">
        <v>-7.7200000000000005E-2</v>
      </c>
      <c r="O159">
        <v>0.20599999999999999</v>
      </c>
      <c r="P159">
        <v>0.79400000000000004</v>
      </c>
      <c r="Q159">
        <v>0</v>
      </c>
    </row>
    <row r="160" spans="1:18" x14ac:dyDescent="0.2">
      <c r="A160" s="1" t="str">
        <f>HYPERLINK("http://www.twitter.com/Ugo_Roux/status/1251033002945191941", "1251033002945191941")</f>
        <v>1251033002945191941</v>
      </c>
      <c r="B160" t="s">
        <v>285</v>
      </c>
      <c r="C160" s="3">
        <v>43938.264872685177</v>
      </c>
      <c r="D160" s="3" t="s">
        <v>17</v>
      </c>
      <c r="E160">
        <v>3</v>
      </c>
      <c r="F160">
        <v>2</v>
      </c>
      <c r="I160" t="s">
        <v>304</v>
      </c>
      <c r="J160" t="str">
        <f>HYPERLINK("http://pbs.twimg.com/media/EVyO9TdXsAE275l.jpg", "http://pbs.twimg.com/media/EVyO9TdXsAE275l.jpg")</f>
        <v>http://pbs.twimg.com/media/EVyO9TdXsAE275l.jpg</v>
      </c>
      <c r="K160" t="str">
        <f>HYPERLINK("http://pbs.twimg.com/media/EVyPjjhWkAIr6H_.jpg", "http://pbs.twimg.com/media/EVyPjjhWkAIr6H_.jpg")</f>
        <v>http://pbs.twimg.com/media/EVyPjjhWkAIr6H_.jpg</v>
      </c>
      <c r="N160">
        <v>0</v>
      </c>
      <c r="O160">
        <v>0</v>
      </c>
      <c r="P160">
        <v>1</v>
      </c>
      <c r="Q160">
        <v>0</v>
      </c>
    </row>
    <row r="161" spans="1:18" x14ac:dyDescent="0.2">
      <c r="A161" s="1" t="str">
        <f>HYPERLINK("http://www.twitter.com/Ugo_Roux/status/1250828018693681158", "1250828018693681158")</f>
        <v>1250828018693681158</v>
      </c>
      <c r="B161" t="s">
        <v>206</v>
      </c>
      <c r="C161" s="3">
        <v>43937.699224537027</v>
      </c>
      <c r="D161" s="3" t="s">
        <v>17</v>
      </c>
      <c r="E161">
        <v>3</v>
      </c>
      <c r="F161">
        <v>0</v>
      </c>
      <c r="I161" t="s">
        <v>261</v>
      </c>
      <c r="J161" t="str">
        <f>HYPERLINK("http://pbs.twimg.com/media/EVvVY4UWsAIAto3.jpg", "http://pbs.twimg.com/media/EVvVY4UWsAIAto3.jpg")</f>
        <v>http://pbs.twimg.com/media/EVvVY4UWsAIAto3.jpg</v>
      </c>
      <c r="K161" t="str">
        <f>HYPERLINK("http://pbs.twimg.com/media/EVvVbA9XgAcpaB6.jpg", "http://pbs.twimg.com/media/EVvVbA9XgAcpaB6.jpg")</f>
        <v>http://pbs.twimg.com/media/EVvVbA9XgAcpaB6.jpg</v>
      </c>
      <c r="N161">
        <v>0</v>
      </c>
      <c r="O161">
        <v>0</v>
      </c>
      <c r="P161">
        <v>1</v>
      </c>
      <c r="Q161">
        <v>0</v>
      </c>
    </row>
    <row r="162" spans="1:18" x14ac:dyDescent="0.2">
      <c r="A162" s="1" t="str">
        <f>HYPERLINK("http://www.twitter.com/Ugo_Roux/status/1250796365573210119", "1250796365573210119")</f>
        <v>1250796365573210119</v>
      </c>
      <c r="B162" t="s">
        <v>130</v>
      </c>
      <c r="C162" s="3">
        <v>43937.611875000002</v>
      </c>
      <c r="D162" s="3" t="s">
        <v>17</v>
      </c>
      <c r="E162">
        <v>0</v>
      </c>
      <c r="F162">
        <v>0</v>
      </c>
      <c r="I162" t="s">
        <v>136</v>
      </c>
      <c r="J162" t="str">
        <f>HYPERLINK("http://pbs.twimg.com/media/EVu4lf2XQAILU6X.jpg", "http://pbs.twimg.com/media/EVu4lf2XQAILU6X.jpg")</f>
        <v>http://pbs.twimg.com/media/EVu4lf2XQAILU6X.jpg</v>
      </c>
      <c r="N162">
        <v>0</v>
      </c>
      <c r="O162">
        <v>0</v>
      </c>
      <c r="P162">
        <v>1</v>
      </c>
      <c r="Q162">
        <v>0</v>
      </c>
    </row>
    <row r="163" spans="1:18" x14ac:dyDescent="0.2">
      <c r="A163" s="1" t="str">
        <f>HYPERLINK("http://www.twitter.com/Ugo_Roux/status/1250785651273994241", "1250785651273994241")</f>
        <v>1250785651273994241</v>
      </c>
      <c r="B163" t="s">
        <v>425</v>
      </c>
      <c r="C163" s="3">
        <v>43937.582314814812</v>
      </c>
      <c r="D163" s="3" t="s">
        <v>17</v>
      </c>
      <c r="E163">
        <v>0</v>
      </c>
      <c r="F163">
        <v>1</v>
      </c>
      <c r="I163" t="s">
        <v>449</v>
      </c>
      <c r="J163" t="str">
        <f>HYPERLINK("http://pbs.twimg.com/media/EVuuiVUWoAIn3Gt.jpg", "http://pbs.twimg.com/media/EVuuiVUWoAIn3Gt.jpg")</f>
        <v>http://pbs.twimg.com/media/EVuuiVUWoAIn3Gt.jpg</v>
      </c>
      <c r="K163" t="str">
        <f>HYPERLINK("http://pbs.twimg.com/media/EVuuqiyWAAAu4ZI.jpg", "http://pbs.twimg.com/media/EVuuqiyWAAAu4ZI.jpg")</f>
        <v>http://pbs.twimg.com/media/EVuuqiyWAAAu4ZI.jpg</v>
      </c>
      <c r="L163" t="str">
        <f>HYPERLINK("http://pbs.twimg.com/media/EVuuuOHWAAAphnu.jpg", "http://pbs.twimg.com/media/EVuuuOHWAAAphnu.jpg")</f>
        <v>http://pbs.twimg.com/media/EVuuuOHWAAAphnu.jpg</v>
      </c>
      <c r="N163">
        <v>0</v>
      </c>
      <c r="O163">
        <v>0</v>
      </c>
      <c r="P163">
        <v>1</v>
      </c>
      <c r="Q163">
        <v>0</v>
      </c>
      <c r="R163">
        <f ca="1">RAND()</f>
        <v>0.3675906274366687</v>
      </c>
    </row>
    <row r="164" spans="1:18" x14ac:dyDescent="0.2">
      <c r="A164" s="1" t="str">
        <f>HYPERLINK("http://www.twitter.com/Ugo_Roux/status/1250760463270531073", "1250760463270531073")</f>
        <v>1250760463270531073</v>
      </c>
      <c r="B164" t="s">
        <v>142</v>
      </c>
      <c r="C164" s="3">
        <v>43937.512812499997</v>
      </c>
      <c r="D164" s="3" t="s">
        <v>41</v>
      </c>
      <c r="E164">
        <v>5</v>
      </c>
      <c r="F164">
        <v>1</v>
      </c>
      <c r="I164" t="s">
        <v>147</v>
      </c>
      <c r="J164" t="str">
        <f>HYPERLINK("http://pbs.twimg.com/media/EVuYAW7XkAAHt3k.jpg", "http://pbs.twimg.com/media/EVuYAW7XkAAHt3k.jpg")</f>
        <v>http://pbs.twimg.com/media/EVuYAW7XkAAHt3k.jpg</v>
      </c>
      <c r="N164">
        <v>0</v>
      </c>
      <c r="O164">
        <v>0</v>
      </c>
      <c r="P164">
        <v>1</v>
      </c>
      <c r="Q164">
        <v>0</v>
      </c>
    </row>
    <row r="165" spans="1:18" x14ac:dyDescent="0.2">
      <c r="A165" s="1" t="str">
        <f>HYPERLINK("http://www.twitter.com/Ugo_Roux/status/1250757780216176642", "1250757780216176642")</f>
        <v>1250757780216176642</v>
      </c>
      <c r="B165" t="s">
        <v>142</v>
      </c>
      <c r="C165" s="3">
        <v>43937.50540509259</v>
      </c>
      <c r="D165" s="3" t="s">
        <v>17</v>
      </c>
      <c r="E165">
        <v>1</v>
      </c>
      <c r="F165">
        <v>0</v>
      </c>
      <c r="I165" t="s">
        <v>366</v>
      </c>
      <c r="N165">
        <v>0.45879999999999999</v>
      </c>
      <c r="O165">
        <v>0</v>
      </c>
      <c r="P165">
        <v>0.81200000000000006</v>
      </c>
      <c r="Q165">
        <v>0.188</v>
      </c>
    </row>
    <row r="166" spans="1:18" x14ac:dyDescent="0.2">
      <c r="A166" s="1" t="str">
        <f>HYPERLINK("http://www.twitter.com/Ugo_Roux/status/1250751960648749056", "1250751960648749056")</f>
        <v>1250751960648749056</v>
      </c>
      <c r="B166" t="s">
        <v>47</v>
      </c>
      <c r="C166" s="3">
        <v>43937.489340277767</v>
      </c>
      <c r="D166" s="3" t="s">
        <v>17</v>
      </c>
      <c r="E166">
        <v>31</v>
      </c>
      <c r="F166">
        <v>13</v>
      </c>
      <c r="I166" t="s">
        <v>66</v>
      </c>
      <c r="J166" t="str">
        <f>HYPERLINK("http://pbs.twimg.com/media/EVuPil-XYAA88d9.png", "http://pbs.twimg.com/media/EVuPil-XYAA88d9.png")</f>
        <v>http://pbs.twimg.com/media/EVuPil-XYAA88d9.png</v>
      </c>
      <c r="N166">
        <v>0</v>
      </c>
      <c r="O166">
        <v>0</v>
      </c>
      <c r="P166">
        <v>1</v>
      </c>
      <c r="Q166">
        <v>0</v>
      </c>
    </row>
    <row r="167" spans="1:18" x14ac:dyDescent="0.2">
      <c r="A167" s="1" t="str">
        <f>HYPERLINK("http://www.twitter.com/Ugo_Roux/status/1250737722723049472", "1250737722723049472")</f>
        <v>1250737722723049472</v>
      </c>
      <c r="B167" t="s">
        <v>414</v>
      </c>
      <c r="C167" s="3">
        <v>43937.450057870366</v>
      </c>
      <c r="D167" s="3" t="s">
        <v>17</v>
      </c>
      <c r="E167">
        <v>0</v>
      </c>
      <c r="F167">
        <v>0</v>
      </c>
      <c r="I167" t="s">
        <v>421</v>
      </c>
      <c r="J167" t="str">
        <f>HYPERLINK("http://pbs.twimg.com/media/EVuDMOsXkAErvTZ.png", "http://pbs.twimg.com/media/EVuDMOsXkAErvTZ.png")</f>
        <v>http://pbs.twimg.com/media/EVuDMOsXkAErvTZ.png</v>
      </c>
      <c r="N167">
        <v>0</v>
      </c>
      <c r="O167">
        <v>0</v>
      </c>
      <c r="P167">
        <v>1</v>
      </c>
      <c r="Q167">
        <v>0</v>
      </c>
    </row>
    <row r="168" spans="1:18" x14ac:dyDescent="0.2">
      <c r="A168" s="1" t="str">
        <f>HYPERLINK("http://www.twitter.com/Ugo_Roux/status/1250727067974610944", "1250727067974610944")</f>
        <v>1250727067974610944</v>
      </c>
      <c r="B168" t="s">
        <v>206</v>
      </c>
      <c r="C168" s="3">
        <v>43937.420659722222</v>
      </c>
      <c r="D168" s="3" t="s">
        <v>17</v>
      </c>
      <c r="E168">
        <v>0</v>
      </c>
      <c r="F168">
        <v>0</v>
      </c>
      <c r="I168" t="s">
        <v>260</v>
      </c>
      <c r="N168">
        <v>0</v>
      </c>
      <c r="O168">
        <v>0</v>
      </c>
      <c r="P168">
        <v>1</v>
      </c>
      <c r="Q168">
        <v>0</v>
      </c>
    </row>
    <row r="169" spans="1:18" x14ac:dyDescent="0.2">
      <c r="A169" s="1" t="str">
        <f>HYPERLINK("http://www.twitter.com/Ugo_Roux/status/1250712750134878208", "1250712750134878208")</f>
        <v>1250712750134878208</v>
      </c>
      <c r="B169" t="s">
        <v>16</v>
      </c>
      <c r="C169" s="3">
        <v>43937.381145833337</v>
      </c>
      <c r="D169" s="3" t="s">
        <v>17</v>
      </c>
      <c r="E169">
        <v>1</v>
      </c>
      <c r="F169">
        <v>0</v>
      </c>
      <c r="I169" t="s">
        <v>35</v>
      </c>
      <c r="N169">
        <v>0</v>
      </c>
      <c r="O169">
        <v>0</v>
      </c>
      <c r="P169">
        <v>1</v>
      </c>
      <c r="Q169">
        <v>0</v>
      </c>
    </row>
    <row r="170" spans="1:18" x14ac:dyDescent="0.2">
      <c r="A170" s="1" t="str">
        <f>HYPERLINK("http://www.twitter.com/Ugo_Roux/status/1250705096016564225", "1250705096016564225")</f>
        <v>1250705096016564225</v>
      </c>
      <c r="B170" t="s">
        <v>16</v>
      </c>
      <c r="C170" s="3">
        <v>43937.360023148147</v>
      </c>
      <c r="D170" s="3" t="s">
        <v>17</v>
      </c>
      <c r="E170">
        <v>0</v>
      </c>
      <c r="F170">
        <v>0</v>
      </c>
      <c r="I170" t="s">
        <v>27</v>
      </c>
      <c r="N170">
        <v>0</v>
      </c>
      <c r="O170">
        <v>0</v>
      </c>
      <c r="P170">
        <v>1</v>
      </c>
      <c r="Q170">
        <v>0</v>
      </c>
    </row>
    <row r="171" spans="1:18" x14ac:dyDescent="0.2">
      <c r="A171" s="1" t="str">
        <f>HYPERLINK("http://www.twitter.com/Ugo_Roux/status/1250701471294935041", "1250701471294935041")</f>
        <v>1250701471294935041</v>
      </c>
      <c r="B171" t="s">
        <v>47</v>
      </c>
      <c r="C171" s="3">
        <v>43937.350023148138</v>
      </c>
      <c r="D171" s="3" t="s">
        <v>41</v>
      </c>
      <c r="E171">
        <v>1</v>
      </c>
      <c r="F171">
        <v>0</v>
      </c>
      <c r="I171" t="s">
        <v>67</v>
      </c>
      <c r="N171">
        <v>0</v>
      </c>
      <c r="O171">
        <v>0</v>
      </c>
      <c r="P171">
        <v>1</v>
      </c>
      <c r="Q171">
        <v>0</v>
      </c>
    </row>
    <row r="172" spans="1:18" x14ac:dyDescent="0.2">
      <c r="A172" s="1" t="str">
        <f>HYPERLINK("http://www.twitter.com/Ugo_Roux/status/1250697034983768066", "1250697034983768066")</f>
        <v>1250697034983768066</v>
      </c>
      <c r="B172" t="s">
        <v>47</v>
      </c>
      <c r="C172" s="3">
        <v>43937.337777777779</v>
      </c>
      <c r="D172" s="3" t="s">
        <v>17</v>
      </c>
      <c r="E172">
        <v>2</v>
      </c>
      <c r="F172">
        <v>0</v>
      </c>
      <c r="I172" t="s">
        <v>68</v>
      </c>
      <c r="N172">
        <v>0</v>
      </c>
      <c r="O172">
        <v>0</v>
      </c>
      <c r="P172">
        <v>1</v>
      </c>
      <c r="Q172">
        <v>0</v>
      </c>
    </row>
    <row r="173" spans="1:18" x14ac:dyDescent="0.2">
      <c r="A173" s="1" t="str">
        <f>HYPERLINK("http://www.twitter.com/Ugo_Roux/status/1250695251058200581", "1250695251058200581")</f>
        <v>1250695251058200581</v>
      </c>
      <c r="B173" t="s">
        <v>47</v>
      </c>
      <c r="C173" s="3">
        <v>43937.332858796297</v>
      </c>
      <c r="D173" s="3" t="s">
        <v>17</v>
      </c>
      <c r="E173">
        <v>3</v>
      </c>
      <c r="F173">
        <v>0</v>
      </c>
      <c r="I173" t="s">
        <v>69</v>
      </c>
      <c r="N173">
        <v>0</v>
      </c>
      <c r="O173">
        <v>0</v>
      </c>
      <c r="P173">
        <v>1</v>
      </c>
      <c r="Q173">
        <v>0</v>
      </c>
    </row>
    <row r="174" spans="1:18" x14ac:dyDescent="0.2">
      <c r="A174" s="1" t="str">
        <f>HYPERLINK("http://www.twitter.com/Ugo_Roux/status/1250689046763929600", "1250689046763929600")</f>
        <v>1250689046763929600</v>
      </c>
      <c r="B174" t="s">
        <v>16</v>
      </c>
      <c r="C174" s="3">
        <v>43937.315740740742</v>
      </c>
      <c r="D174" s="3" t="s">
        <v>17</v>
      </c>
      <c r="E174">
        <v>5</v>
      </c>
      <c r="F174">
        <v>0</v>
      </c>
      <c r="I174" t="s">
        <v>32</v>
      </c>
      <c r="J174" t="str">
        <f>HYPERLINK("http://pbs.twimg.com/media/EVtW99OWkAEY61J.jpg", "http://pbs.twimg.com/media/EVtW99OWkAEY61J.jpg")</f>
        <v>http://pbs.twimg.com/media/EVtW99OWkAEY61J.jpg</v>
      </c>
      <c r="N174">
        <v>0</v>
      </c>
      <c r="O174">
        <v>0</v>
      </c>
      <c r="P174">
        <v>1</v>
      </c>
      <c r="Q174">
        <v>0</v>
      </c>
    </row>
    <row r="175" spans="1:18" x14ac:dyDescent="0.2">
      <c r="A175" s="1" t="str">
        <f>HYPERLINK("http://www.twitter.com/Ugo_Roux/status/1250688804278751233", "1250688804278751233")</f>
        <v>1250688804278751233</v>
      </c>
      <c r="B175" t="s">
        <v>97</v>
      </c>
      <c r="C175" s="3">
        <v>43937.315069444441</v>
      </c>
      <c r="D175" s="3" t="s">
        <v>17</v>
      </c>
      <c r="E175">
        <v>1</v>
      </c>
      <c r="F175">
        <v>0</v>
      </c>
      <c r="I175" t="s">
        <v>115</v>
      </c>
      <c r="J175" t="str">
        <f>HYPERLINK("http://pbs.twimg.com/media/EVtW1trX0AAVLEL.jpg", "http://pbs.twimg.com/media/EVtW1trX0AAVLEL.jpg")</f>
        <v>http://pbs.twimg.com/media/EVtW1trX0AAVLEL.jpg</v>
      </c>
      <c r="N175">
        <v>0</v>
      </c>
      <c r="O175">
        <v>0</v>
      </c>
      <c r="P175">
        <v>1</v>
      </c>
      <c r="Q175">
        <v>0</v>
      </c>
    </row>
    <row r="176" spans="1:18" x14ac:dyDescent="0.2">
      <c r="A176" s="1" t="str">
        <f>HYPERLINK("http://www.twitter.com/Ugo_Roux/status/1250684169551831041", "1250684169551831041")</f>
        <v>1250684169551831041</v>
      </c>
      <c r="B176" t="s">
        <v>16</v>
      </c>
      <c r="C176" s="3">
        <v>43937.30228009259</v>
      </c>
      <c r="D176" s="3" t="s">
        <v>17</v>
      </c>
      <c r="E176">
        <v>1</v>
      </c>
      <c r="F176">
        <v>0</v>
      </c>
      <c r="I176" t="s">
        <v>43</v>
      </c>
      <c r="N176">
        <v>0</v>
      </c>
      <c r="O176">
        <v>0</v>
      </c>
      <c r="P176">
        <v>1</v>
      </c>
      <c r="Q176">
        <v>0</v>
      </c>
    </row>
    <row r="177" spans="1:18" x14ac:dyDescent="0.2">
      <c r="A177" s="1" t="str">
        <f>HYPERLINK("http://www.twitter.com/Ugo_Roux/status/1250663175458078723", "1250663175458078723")</f>
        <v>1250663175458078723</v>
      </c>
      <c r="B177" t="s">
        <v>285</v>
      </c>
      <c r="C177" s="3">
        <v>43937.244340277779</v>
      </c>
      <c r="D177" s="3" t="s">
        <v>17</v>
      </c>
      <c r="E177">
        <v>0</v>
      </c>
      <c r="F177">
        <v>0</v>
      </c>
      <c r="I177" t="s">
        <v>305</v>
      </c>
      <c r="J177" t="str">
        <f>HYPERLINK("http://pbs.twimg.com/media/EVs-GyvXgAAiP6U.jpg", "http://pbs.twimg.com/media/EVs-GyvXgAAiP6U.jpg")</f>
        <v>http://pbs.twimg.com/media/EVs-GyvXgAAiP6U.jpg</v>
      </c>
      <c r="N177">
        <v>0</v>
      </c>
      <c r="O177">
        <v>0</v>
      </c>
      <c r="P177">
        <v>1</v>
      </c>
      <c r="Q177">
        <v>0</v>
      </c>
    </row>
    <row r="178" spans="1:18" x14ac:dyDescent="0.2">
      <c r="A178" s="1" t="str">
        <f>HYPERLINK("http://www.twitter.com/Ugo_Roux/status/1250460767553544193", "1250460767553544193")</f>
        <v>1250460767553544193</v>
      </c>
      <c r="B178" t="s">
        <v>206</v>
      </c>
      <c r="C178" s="3">
        <v>43936.685810185183</v>
      </c>
      <c r="D178" s="3" t="s">
        <v>17</v>
      </c>
      <c r="E178">
        <v>0</v>
      </c>
      <c r="F178">
        <v>0</v>
      </c>
      <c r="I178" t="s">
        <v>250</v>
      </c>
      <c r="J178" t="str">
        <f>HYPERLINK("http://pbs.twimg.com/media/EVqHbnuXYAEcBk7.jpg", "http://pbs.twimg.com/media/EVqHbnuXYAEcBk7.jpg")</f>
        <v>http://pbs.twimg.com/media/EVqHbnuXYAEcBk7.jpg</v>
      </c>
      <c r="N178">
        <v>0</v>
      </c>
      <c r="O178">
        <v>0</v>
      </c>
      <c r="P178">
        <v>1</v>
      </c>
      <c r="Q178">
        <v>0</v>
      </c>
    </row>
    <row r="179" spans="1:18" x14ac:dyDescent="0.2">
      <c r="A179" s="1" t="str">
        <f>HYPERLINK("http://www.twitter.com/Ugo_Roux/status/1250378309508235264", "1250378309508235264")</f>
        <v>1250378309508235264</v>
      </c>
      <c r="B179" t="s">
        <v>47</v>
      </c>
      <c r="C179" s="3">
        <v>43936.45826388889</v>
      </c>
      <c r="D179" s="3" t="s">
        <v>17</v>
      </c>
      <c r="E179">
        <v>3</v>
      </c>
      <c r="F179">
        <v>0</v>
      </c>
      <c r="I179" t="s">
        <v>70</v>
      </c>
      <c r="N179">
        <v>0</v>
      </c>
      <c r="O179">
        <v>0</v>
      </c>
      <c r="P179">
        <v>1</v>
      </c>
      <c r="Q179">
        <v>0</v>
      </c>
    </row>
    <row r="180" spans="1:18" x14ac:dyDescent="0.2">
      <c r="A180" s="1" t="str">
        <f>HYPERLINK("http://www.twitter.com/Ugo_Roux/status/1250377146595508232", "1250377146595508232")</f>
        <v>1250377146595508232</v>
      </c>
      <c r="B180" t="s">
        <v>142</v>
      </c>
      <c r="C180" s="3">
        <v>43936.455057870371</v>
      </c>
      <c r="D180" s="3" t="s">
        <v>17</v>
      </c>
      <c r="E180">
        <v>6</v>
      </c>
      <c r="F180">
        <v>4</v>
      </c>
      <c r="I180" t="s">
        <v>203</v>
      </c>
      <c r="J180" t="str">
        <f>HYPERLINK("http://pbs.twimg.com/media/EVo7Ye5XYAIV3js.jpg", "http://pbs.twimg.com/media/EVo7Ye5XYAIV3js.jpg")</f>
        <v>http://pbs.twimg.com/media/EVo7Ye5XYAIV3js.jpg</v>
      </c>
      <c r="N180">
        <v>0</v>
      </c>
      <c r="O180">
        <v>0</v>
      </c>
      <c r="P180">
        <v>1</v>
      </c>
      <c r="Q180">
        <v>0</v>
      </c>
    </row>
    <row r="181" spans="1:18" x14ac:dyDescent="0.2">
      <c r="A181" s="1" t="str">
        <f>HYPERLINK("http://www.twitter.com/Ugo_Roux/status/1250345065332887556", "1250345065332887556")</f>
        <v>1250345065332887556</v>
      </c>
      <c r="B181" t="s">
        <v>47</v>
      </c>
      <c r="C181" s="3">
        <v>43936.366527777784</v>
      </c>
      <c r="D181" s="3" t="s">
        <v>28</v>
      </c>
      <c r="E181">
        <v>4</v>
      </c>
      <c r="F181">
        <v>1</v>
      </c>
      <c r="I181" t="s">
        <v>71</v>
      </c>
      <c r="N181">
        <v>0</v>
      </c>
      <c r="O181">
        <v>0</v>
      </c>
      <c r="P181">
        <v>1</v>
      </c>
      <c r="Q181">
        <v>0</v>
      </c>
    </row>
    <row r="182" spans="1:18" x14ac:dyDescent="0.2">
      <c r="A182" s="1" t="str">
        <f>HYPERLINK("http://www.twitter.com/Ugo_Roux/status/1250318775963942915", "1250318775963942915")</f>
        <v>1250318775963942915</v>
      </c>
      <c r="B182" t="s">
        <v>370</v>
      </c>
      <c r="C182" s="3">
        <v>43936.293981481482</v>
      </c>
      <c r="D182" s="3" t="s">
        <v>17</v>
      </c>
      <c r="E182">
        <v>1</v>
      </c>
      <c r="F182">
        <v>0</v>
      </c>
      <c r="I182" t="s">
        <v>393</v>
      </c>
      <c r="J182" t="str">
        <f>HYPERLINK("http://pbs.twimg.com/media/EVoGTOOU0AQ4M3b.jpg", "http://pbs.twimg.com/media/EVoGTOOU0AQ4M3b.jpg")</f>
        <v>http://pbs.twimg.com/media/EVoGTOOU0AQ4M3b.jpg</v>
      </c>
      <c r="N182">
        <v>0</v>
      </c>
      <c r="O182">
        <v>0</v>
      </c>
      <c r="P182">
        <v>1</v>
      </c>
      <c r="Q182">
        <v>0</v>
      </c>
    </row>
    <row r="183" spans="1:18" x14ac:dyDescent="0.2">
      <c r="A183" s="1" t="str">
        <f>HYPERLINK("http://www.twitter.com/Ugo_Roux/status/1250297941635371014", "1250297941635371014")</f>
        <v>1250297941635371014</v>
      </c>
      <c r="B183" t="s">
        <v>285</v>
      </c>
      <c r="C183" s="3">
        <v>43936.236493055563</v>
      </c>
      <c r="D183" s="3" t="s">
        <v>17</v>
      </c>
      <c r="E183">
        <v>0</v>
      </c>
      <c r="F183">
        <v>0</v>
      </c>
      <c r="I183" t="s">
        <v>306</v>
      </c>
      <c r="J183" t="str">
        <f>HYPERLINK("http://pbs.twimg.com/media/EVnysA-U4AAAYu8.jpg", "http://pbs.twimg.com/media/EVnysA-U4AAAYu8.jpg")</f>
        <v>http://pbs.twimg.com/media/EVnysA-U4AAAYu8.jpg</v>
      </c>
      <c r="K183" t="str">
        <f>HYPERLINK("http://pbs.twimg.com/media/EVnzUIeUUAAUEBR.jpg", "http://pbs.twimg.com/media/EVnzUIeUUAAUEBR.jpg")</f>
        <v>http://pbs.twimg.com/media/EVnzUIeUUAAUEBR.jpg</v>
      </c>
      <c r="N183">
        <v>0</v>
      </c>
      <c r="O183">
        <v>0</v>
      </c>
      <c r="P183">
        <v>1</v>
      </c>
      <c r="Q183">
        <v>0</v>
      </c>
    </row>
    <row r="184" spans="1:18" x14ac:dyDescent="0.2">
      <c r="A184" s="1" t="str">
        <f>HYPERLINK("http://www.twitter.com/Ugo_Roux/status/1250148129384673286", "1250148129384673286")</f>
        <v>1250148129384673286</v>
      </c>
      <c r="B184" t="s">
        <v>370</v>
      </c>
      <c r="C184" s="3">
        <v>43935.82309027778</v>
      </c>
      <c r="D184" s="3" t="s">
        <v>17</v>
      </c>
      <c r="E184">
        <v>1</v>
      </c>
      <c r="F184">
        <v>0</v>
      </c>
      <c r="I184" t="s">
        <v>394</v>
      </c>
      <c r="J184" t="str">
        <f>HYPERLINK("http://pbs.twimg.com/media/EVlrGToWoAA9d1N.jpg", "http://pbs.twimg.com/media/EVlrGToWoAA9d1N.jpg")</f>
        <v>http://pbs.twimg.com/media/EVlrGToWoAA9d1N.jpg</v>
      </c>
      <c r="N184">
        <v>0</v>
      </c>
      <c r="O184">
        <v>0</v>
      </c>
      <c r="P184">
        <v>1</v>
      </c>
      <c r="Q184">
        <v>0</v>
      </c>
    </row>
    <row r="185" spans="1:18" x14ac:dyDescent="0.2">
      <c r="A185" s="1" t="str">
        <f>HYPERLINK("http://www.twitter.com/Ugo_Roux/status/1250090357116846080", "1250090357116846080")</f>
        <v>1250090357116846080</v>
      </c>
      <c r="B185" t="s">
        <v>425</v>
      </c>
      <c r="C185" s="3">
        <v>43935.663668981477</v>
      </c>
      <c r="D185" s="3" t="s">
        <v>17</v>
      </c>
      <c r="E185">
        <v>0</v>
      </c>
      <c r="F185">
        <v>0</v>
      </c>
      <c r="I185" t="s">
        <v>450</v>
      </c>
      <c r="J185" t="str">
        <f>HYPERLINK("http://pbs.twimg.com/media/EVk1n0SXYAMCMK2.jpg", "http://pbs.twimg.com/media/EVk1n0SXYAMCMK2.jpg")</f>
        <v>http://pbs.twimg.com/media/EVk1n0SXYAMCMK2.jpg</v>
      </c>
      <c r="N185">
        <v>0</v>
      </c>
      <c r="O185">
        <v>0</v>
      </c>
      <c r="P185">
        <v>1</v>
      </c>
      <c r="Q185">
        <v>0</v>
      </c>
      <c r="R185">
        <f ca="1">RAND()</f>
        <v>0.59561239721854364</v>
      </c>
    </row>
    <row r="186" spans="1:18" x14ac:dyDescent="0.2">
      <c r="A186" s="1" t="str">
        <f>HYPERLINK("http://www.twitter.com/Ugo_Roux/status/1250085435210182656", "1250085435210182656")</f>
        <v>1250085435210182656</v>
      </c>
      <c r="B186" t="s">
        <v>206</v>
      </c>
      <c r="C186" s="3">
        <v>43935.650081018517</v>
      </c>
      <c r="D186" s="3" t="s">
        <v>17</v>
      </c>
      <c r="E186">
        <v>3</v>
      </c>
      <c r="F186">
        <v>0</v>
      </c>
      <c r="I186" t="s">
        <v>283</v>
      </c>
      <c r="N186">
        <v>0</v>
      </c>
      <c r="O186">
        <v>0</v>
      </c>
      <c r="P186">
        <v>1</v>
      </c>
      <c r="Q186">
        <v>0</v>
      </c>
    </row>
    <row r="187" spans="1:18" x14ac:dyDescent="0.2">
      <c r="A187" s="1" t="str">
        <f>HYPERLINK("http://www.twitter.com/Ugo_Roux/status/1250082589416841223", "1250082589416841223")</f>
        <v>1250082589416841223</v>
      </c>
      <c r="B187" t="s">
        <v>206</v>
      </c>
      <c r="C187" s="3">
        <v>43935.642233796287</v>
      </c>
      <c r="D187" s="3" t="s">
        <v>41</v>
      </c>
      <c r="E187">
        <v>0</v>
      </c>
      <c r="F187">
        <v>0</v>
      </c>
      <c r="I187" t="s">
        <v>213</v>
      </c>
      <c r="J187" t="str">
        <f>HYPERLINK("http://pbs.twimg.com/media/EVkvXsQXQAQduIW.jpg", "http://pbs.twimg.com/media/EVkvXsQXQAQduIW.jpg")</f>
        <v>http://pbs.twimg.com/media/EVkvXsQXQAQduIW.jpg</v>
      </c>
      <c r="K187" t="str">
        <f>HYPERLINK("http://pbs.twimg.com/media/EVkvc-fXQAA7OCV.jpg", "http://pbs.twimg.com/media/EVkvc-fXQAA7OCV.jpg")</f>
        <v>http://pbs.twimg.com/media/EVkvc-fXQAA7OCV.jpg</v>
      </c>
      <c r="N187">
        <v>0</v>
      </c>
      <c r="O187">
        <v>0</v>
      </c>
      <c r="P187">
        <v>1</v>
      </c>
      <c r="Q187">
        <v>0</v>
      </c>
    </row>
    <row r="188" spans="1:18" x14ac:dyDescent="0.2">
      <c r="A188" s="1" t="str">
        <f>HYPERLINK("http://www.twitter.com/Ugo_Roux/status/1250064631382577155", "1250064631382577155")</f>
        <v>1250064631382577155</v>
      </c>
      <c r="B188" t="s">
        <v>16</v>
      </c>
      <c r="C188" s="3">
        <v>43935.592673611107</v>
      </c>
      <c r="D188" s="3" t="s">
        <v>17</v>
      </c>
      <c r="E188">
        <v>3</v>
      </c>
      <c r="F188">
        <v>0</v>
      </c>
      <c r="I188" t="s">
        <v>39</v>
      </c>
      <c r="N188">
        <v>0</v>
      </c>
      <c r="O188">
        <v>0</v>
      </c>
      <c r="P188">
        <v>1</v>
      </c>
      <c r="Q188">
        <v>0</v>
      </c>
    </row>
    <row r="189" spans="1:18" x14ac:dyDescent="0.2">
      <c r="A189" s="1" t="str">
        <f>HYPERLINK("http://www.twitter.com/Ugo_Roux/status/1250032648665391106", "1250032648665391106")</f>
        <v>1250032648665391106</v>
      </c>
      <c r="B189" t="s">
        <v>142</v>
      </c>
      <c r="C189" s="3">
        <v>43935.504421296297</v>
      </c>
      <c r="D189" s="3" t="s">
        <v>41</v>
      </c>
      <c r="E189">
        <v>6</v>
      </c>
      <c r="F189">
        <v>2</v>
      </c>
      <c r="I189" t="s">
        <v>146</v>
      </c>
      <c r="J189" t="str">
        <f>HYPERLINK("http://pbs.twimg.com/media/EVkCEK7XsAA3kMI.jpg", "http://pbs.twimg.com/media/EVkCEK7XsAA3kMI.jpg")</f>
        <v>http://pbs.twimg.com/media/EVkCEK7XsAA3kMI.jpg</v>
      </c>
      <c r="N189">
        <v>0</v>
      </c>
      <c r="O189">
        <v>0</v>
      </c>
      <c r="P189">
        <v>1</v>
      </c>
      <c r="Q189">
        <v>0</v>
      </c>
    </row>
    <row r="190" spans="1:18" x14ac:dyDescent="0.2">
      <c r="A190" s="1" t="str">
        <f>HYPERLINK("http://www.twitter.com/Ugo_Roux/status/1250016938538958848", "1250016938538958848")</f>
        <v>1250016938538958848</v>
      </c>
      <c r="B190" t="s">
        <v>425</v>
      </c>
      <c r="C190" s="3">
        <v>43935.461064814823</v>
      </c>
      <c r="D190" s="3" t="s">
        <v>24</v>
      </c>
      <c r="E190">
        <v>1</v>
      </c>
      <c r="F190">
        <v>0</v>
      </c>
      <c r="I190" t="s">
        <v>428</v>
      </c>
      <c r="N190">
        <v>0</v>
      </c>
      <c r="O190">
        <v>0</v>
      </c>
      <c r="P190">
        <v>1</v>
      </c>
      <c r="Q190">
        <v>0</v>
      </c>
      <c r="R190">
        <f ca="1">RAND()</f>
        <v>0.18819371427710274</v>
      </c>
    </row>
    <row r="191" spans="1:18" x14ac:dyDescent="0.2">
      <c r="A191" s="1" t="str">
        <f>HYPERLINK("http://www.twitter.com/Ugo_Roux/status/1249952090857910273", "1249952090857910273")</f>
        <v>1249952090857910273</v>
      </c>
      <c r="B191" t="s">
        <v>97</v>
      </c>
      <c r="C191" s="3">
        <v>43935.282129629632</v>
      </c>
      <c r="D191" s="3" t="s">
        <v>17</v>
      </c>
      <c r="E191">
        <v>0</v>
      </c>
      <c r="F191">
        <v>0</v>
      </c>
      <c r="I191" t="s">
        <v>116</v>
      </c>
      <c r="N191">
        <v>0</v>
      </c>
      <c r="O191">
        <v>0</v>
      </c>
      <c r="P191">
        <v>1</v>
      </c>
      <c r="Q191">
        <v>0</v>
      </c>
    </row>
    <row r="192" spans="1:18" x14ac:dyDescent="0.2">
      <c r="A192" s="1" t="str">
        <f>HYPERLINK("http://www.twitter.com/Ugo_Roux/status/1249933264078372864", "1249933264078372864")</f>
        <v>1249933264078372864</v>
      </c>
      <c r="B192" t="s">
        <v>285</v>
      </c>
      <c r="C192" s="3">
        <v>43935.230173611111</v>
      </c>
      <c r="D192" s="3" t="s">
        <v>17</v>
      </c>
      <c r="E192">
        <v>4</v>
      </c>
      <c r="F192">
        <v>1</v>
      </c>
      <c r="I192" t="s">
        <v>307</v>
      </c>
      <c r="J192" t="str">
        <f>HYPERLINK("http://pbs.twimg.com/media/EVinp6BXgAIVBNN.jpg", "http://pbs.twimg.com/media/EVinp6BXgAIVBNN.jpg")</f>
        <v>http://pbs.twimg.com/media/EVinp6BXgAIVBNN.jpg</v>
      </c>
      <c r="N192">
        <v>0</v>
      </c>
      <c r="O192">
        <v>0</v>
      </c>
      <c r="P192">
        <v>1</v>
      </c>
      <c r="Q192">
        <v>0</v>
      </c>
    </row>
    <row r="193" spans="1:18" x14ac:dyDescent="0.2">
      <c r="A193" s="1" t="str">
        <f>HYPERLINK("http://www.twitter.com/Ugo_Roux/status/1249878826718461953", "1249878826718461953")</f>
        <v>1249878826718461953</v>
      </c>
      <c r="B193" t="s">
        <v>414</v>
      </c>
      <c r="C193" s="3">
        <v>43935.079953703702</v>
      </c>
      <c r="D193" s="3" t="s">
        <v>17</v>
      </c>
      <c r="E193">
        <v>0</v>
      </c>
      <c r="F193">
        <v>0</v>
      </c>
      <c r="I193" t="s">
        <v>422</v>
      </c>
      <c r="J193" t="str">
        <f>HYPERLINK("http://pbs.twimg.com/media/EVh2ARjX0AAYvur.jpg", "http://pbs.twimg.com/media/EVh2ARjX0AAYvur.jpg")</f>
        <v>http://pbs.twimg.com/media/EVh2ARjX0AAYvur.jpg</v>
      </c>
      <c r="N193">
        <v>0</v>
      </c>
      <c r="O193">
        <v>0</v>
      </c>
      <c r="P193">
        <v>1</v>
      </c>
      <c r="Q193">
        <v>0</v>
      </c>
    </row>
    <row r="194" spans="1:18" x14ac:dyDescent="0.2">
      <c r="A194" s="1" t="str">
        <f>HYPERLINK("http://www.twitter.com/Ugo_Roux/status/1249729159783428101", "1249729159783428101")</f>
        <v>1249729159783428101</v>
      </c>
      <c r="B194" t="s">
        <v>206</v>
      </c>
      <c r="C194" s="3">
        <v>43934.666956018518</v>
      </c>
      <c r="D194" s="3" t="s">
        <v>17</v>
      </c>
      <c r="E194">
        <v>2</v>
      </c>
      <c r="F194">
        <v>1</v>
      </c>
      <c r="I194" t="s">
        <v>275</v>
      </c>
      <c r="J194" t="str">
        <f>HYPERLINK("http://pbs.twimg.com/media/EVfsYsrXQAQX-vW.jpg", "http://pbs.twimg.com/media/EVfsYsrXQAQX-vW.jpg")</f>
        <v>http://pbs.twimg.com/media/EVfsYsrXQAQX-vW.jpg</v>
      </c>
      <c r="N194">
        <v>0</v>
      </c>
      <c r="O194">
        <v>0</v>
      </c>
      <c r="P194">
        <v>1</v>
      </c>
      <c r="Q194">
        <v>0</v>
      </c>
    </row>
    <row r="195" spans="1:18" x14ac:dyDescent="0.2">
      <c r="A195" s="1" t="str">
        <f>HYPERLINK("http://www.twitter.com/Ugo_Roux/status/1249701341162766336", "1249701341162766336")</f>
        <v>1249701341162766336</v>
      </c>
      <c r="B195" t="s">
        <v>425</v>
      </c>
      <c r="C195" s="3">
        <v>43934.590185185189</v>
      </c>
      <c r="D195" s="3" t="s">
        <v>17</v>
      </c>
      <c r="E195">
        <v>1</v>
      </c>
      <c r="F195">
        <v>0</v>
      </c>
      <c r="I195" t="s">
        <v>455</v>
      </c>
      <c r="J195" t="str">
        <f>HYPERLINK("http://pbs.twimg.com/media/EVfTfM7XkAEAjY5.jpg", "http://pbs.twimg.com/media/EVfTfM7XkAEAjY5.jpg")</f>
        <v>http://pbs.twimg.com/media/EVfTfM7XkAEAjY5.jpg</v>
      </c>
      <c r="N195">
        <v>0</v>
      </c>
      <c r="O195">
        <v>0</v>
      </c>
      <c r="P195">
        <v>1</v>
      </c>
      <c r="Q195">
        <v>0</v>
      </c>
      <c r="R195">
        <f ca="1">RAND()</f>
        <v>0.70503260195498363</v>
      </c>
    </row>
    <row r="196" spans="1:18" x14ac:dyDescent="0.2">
      <c r="A196" s="1" t="str">
        <f>HYPERLINK("http://www.twitter.com/Ugo_Roux/status/1249680516137267202", "1249680516137267202")</f>
        <v>1249680516137267202</v>
      </c>
      <c r="B196" t="s">
        <v>142</v>
      </c>
      <c r="C196" s="3">
        <v>43934.532719907409</v>
      </c>
      <c r="D196" s="3" t="s">
        <v>17</v>
      </c>
      <c r="E196">
        <v>3</v>
      </c>
      <c r="F196">
        <v>3</v>
      </c>
      <c r="I196" t="s">
        <v>196</v>
      </c>
      <c r="J196" t="str">
        <f>HYPERLINK("http://pbs.twimg.com/media/EVfBy_VXsAIiAU2.jpg", "http://pbs.twimg.com/media/EVfBy_VXsAIiAU2.jpg")</f>
        <v>http://pbs.twimg.com/media/EVfBy_VXsAIiAU2.jpg</v>
      </c>
      <c r="N196">
        <v>0</v>
      </c>
      <c r="O196">
        <v>0</v>
      </c>
      <c r="P196">
        <v>1</v>
      </c>
      <c r="Q196">
        <v>0</v>
      </c>
    </row>
    <row r="197" spans="1:18" x14ac:dyDescent="0.2">
      <c r="A197" s="1" t="str">
        <f>HYPERLINK("http://www.twitter.com/Ugo_Roux/status/1249367327692521472", "1249367327692521472")</f>
        <v>1249367327692521472</v>
      </c>
      <c r="B197" t="s">
        <v>97</v>
      </c>
      <c r="C197" s="3">
        <v>43933.668483796297</v>
      </c>
      <c r="D197" s="3" t="s">
        <v>17</v>
      </c>
      <c r="E197">
        <v>2</v>
      </c>
      <c r="F197">
        <v>0</v>
      </c>
      <c r="I197" t="s">
        <v>117</v>
      </c>
      <c r="J197" t="str">
        <f>HYPERLINK("http://pbs.twimg.com/media/EVak9qpX0AIRVid.jpg", "http://pbs.twimg.com/media/EVak9qpX0AIRVid.jpg")</f>
        <v>http://pbs.twimg.com/media/EVak9qpX0AIRVid.jpg</v>
      </c>
      <c r="N197">
        <v>0</v>
      </c>
      <c r="O197">
        <v>0</v>
      </c>
      <c r="P197">
        <v>1</v>
      </c>
      <c r="Q197">
        <v>0</v>
      </c>
    </row>
    <row r="198" spans="1:18" x14ac:dyDescent="0.2">
      <c r="A198" s="1" t="str">
        <f>HYPERLINK("http://www.twitter.com/Ugo_Roux/status/1249317209614307329", "1249317209614307329")</f>
        <v>1249317209614307329</v>
      </c>
      <c r="B198" t="s">
        <v>142</v>
      </c>
      <c r="C198" s="3">
        <v>43933.530185185176</v>
      </c>
      <c r="D198" s="3" t="s">
        <v>41</v>
      </c>
      <c r="E198">
        <v>1</v>
      </c>
      <c r="F198">
        <v>1</v>
      </c>
      <c r="I198" t="s">
        <v>148</v>
      </c>
      <c r="J198" t="str">
        <f>HYPERLINK("http://pbs.twimg.com/media/EVZ3WF1WkAEGZDO.jpg", "http://pbs.twimg.com/media/EVZ3WF1WkAEGZDO.jpg")</f>
        <v>http://pbs.twimg.com/media/EVZ3WF1WkAEGZDO.jpg</v>
      </c>
      <c r="N198">
        <v>0</v>
      </c>
      <c r="O198">
        <v>0</v>
      </c>
      <c r="P198">
        <v>1</v>
      </c>
      <c r="Q198">
        <v>0</v>
      </c>
    </row>
    <row r="199" spans="1:18" x14ac:dyDescent="0.2">
      <c r="A199" s="1" t="str">
        <f>HYPERLINK("http://www.twitter.com/Ugo_Roux/status/1249290232052277251", "1249290232052277251")</f>
        <v>1249290232052277251</v>
      </c>
      <c r="B199" t="s">
        <v>206</v>
      </c>
      <c r="C199" s="3">
        <v>43933.455740740741</v>
      </c>
      <c r="D199" s="3" t="s">
        <v>41</v>
      </c>
      <c r="E199">
        <v>6</v>
      </c>
      <c r="F199">
        <v>1</v>
      </c>
      <c r="I199" t="s">
        <v>231</v>
      </c>
      <c r="J199" t="str">
        <f>HYPERLINK("http://pbs.twimg.com/media/EVZezkzWkAAdvdf.jpg", "http://pbs.twimg.com/media/EVZezkzWkAAdvdf.jpg")</f>
        <v>http://pbs.twimg.com/media/EVZezkzWkAAdvdf.jpg</v>
      </c>
      <c r="K199" t="str">
        <f>HYPERLINK("http://pbs.twimg.com/media/EVZe0jvX0AAq3-1.jpg", "http://pbs.twimg.com/media/EVZe0jvX0AAq3-1.jpg")</f>
        <v>http://pbs.twimg.com/media/EVZe0jvX0AAq3-1.jpg</v>
      </c>
      <c r="L199" t="str">
        <f>HYPERLINK("http://pbs.twimg.com/media/EVZe1U9WkAUNBgO.jpg", "http://pbs.twimg.com/media/EVZe1U9WkAUNBgO.jpg")</f>
        <v>http://pbs.twimg.com/media/EVZe1U9WkAUNBgO.jpg</v>
      </c>
      <c r="N199">
        <v>0</v>
      </c>
      <c r="O199">
        <v>0</v>
      </c>
      <c r="P199">
        <v>1</v>
      </c>
      <c r="Q199">
        <v>0</v>
      </c>
    </row>
    <row r="200" spans="1:18" x14ac:dyDescent="0.2">
      <c r="A200" s="1" t="str">
        <f>HYPERLINK("http://www.twitter.com/Ugo_Roux/status/1249029680394616834", "1249029680394616834")</f>
        <v>1249029680394616834</v>
      </c>
      <c r="B200" t="s">
        <v>414</v>
      </c>
      <c r="C200" s="3">
        <v>43932.736759259264</v>
      </c>
      <c r="D200" s="3" t="s">
        <v>28</v>
      </c>
      <c r="E200">
        <v>1</v>
      </c>
      <c r="F200">
        <v>0</v>
      </c>
      <c r="I200" t="s">
        <v>416</v>
      </c>
      <c r="J200" t="str">
        <f>HYPERLINK("http://pbs.twimg.com/media/EVVx3ctWAAAvhUs.jpg", "http://pbs.twimg.com/media/EVVx3ctWAAAvhUs.jpg")</f>
        <v>http://pbs.twimg.com/media/EVVx3ctWAAAvhUs.jpg</v>
      </c>
      <c r="N200">
        <v>0</v>
      </c>
      <c r="O200">
        <v>0</v>
      </c>
      <c r="P200">
        <v>1</v>
      </c>
      <c r="Q200">
        <v>0</v>
      </c>
    </row>
    <row r="201" spans="1:18" x14ac:dyDescent="0.2">
      <c r="A201" s="1" t="str">
        <f>HYPERLINK("http://www.twitter.com/Ugo_Roux/status/1249006204610924544", "1249006204610924544")</f>
        <v>1249006204610924544</v>
      </c>
      <c r="B201" t="s">
        <v>206</v>
      </c>
      <c r="C201" s="3">
        <v>43932.671979166669</v>
      </c>
      <c r="D201" s="3" t="s">
        <v>41</v>
      </c>
      <c r="E201">
        <v>5</v>
      </c>
      <c r="F201">
        <v>0</v>
      </c>
      <c r="I201" t="s">
        <v>223</v>
      </c>
      <c r="J201" t="str">
        <f>HYPERLINK("http://pbs.twimg.com/media/EVVcexOXQAIgEGl.jpg", "http://pbs.twimg.com/media/EVVcexOXQAIgEGl.jpg")</f>
        <v>http://pbs.twimg.com/media/EVVcexOXQAIgEGl.jpg</v>
      </c>
      <c r="N201">
        <v>0.61029999999999995</v>
      </c>
      <c r="O201">
        <v>0</v>
      </c>
      <c r="P201">
        <v>0.86299999999999999</v>
      </c>
      <c r="Q201">
        <v>0.13700000000000001</v>
      </c>
    </row>
    <row r="202" spans="1:18" x14ac:dyDescent="0.2">
      <c r="A202" s="1" t="str">
        <f>HYPERLINK("http://www.twitter.com/Ugo_Roux/status/1248934671259512832", "1248934671259512832")</f>
        <v>1248934671259512832</v>
      </c>
      <c r="B202" t="s">
        <v>142</v>
      </c>
      <c r="C202" s="3">
        <v>43932.474583333344</v>
      </c>
      <c r="D202" s="3" t="s">
        <v>41</v>
      </c>
      <c r="E202">
        <v>3</v>
      </c>
      <c r="F202">
        <v>2</v>
      </c>
      <c r="I202" t="s">
        <v>149</v>
      </c>
      <c r="N202">
        <v>0</v>
      </c>
      <c r="O202">
        <v>0</v>
      </c>
      <c r="P202">
        <v>1</v>
      </c>
      <c r="Q202">
        <v>0</v>
      </c>
    </row>
    <row r="203" spans="1:18" x14ac:dyDescent="0.2">
      <c r="A203" s="1" t="str">
        <f>HYPERLINK("http://www.twitter.com/Ugo_Roux/status/1248904405782540288", "1248904405782540288")</f>
        <v>1248904405782540288</v>
      </c>
      <c r="B203" t="s">
        <v>425</v>
      </c>
      <c r="C203" s="3">
        <v>43932.391064814823</v>
      </c>
      <c r="D203" s="3" t="s">
        <v>17</v>
      </c>
      <c r="E203">
        <v>1</v>
      </c>
      <c r="F203">
        <v>0</v>
      </c>
      <c r="I203" t="s">
        <v>432</v>
      </c>
      <c r="J203" t="str">
        <f>HYPERLINK("http://pbs.twimg.com/media/EVT-wzGXgAAizDT.jpg", "http://pbs.twimg.com/media/EVT-wzGXgAAizDT.jpg")</f>
        <v>http://pbs.twimg.com/media/EVT-wzGXgAAizDT.jpg</v>
      </c>
      <c r="K203" t="str">
        <f>HYPERLINK("http://pbs.twimg.com/media/EVT_1AjXsAAdMGt.jpg", "http://pbs.twimg.com/media/EVT_1AjXsAAdMGt.jpg")</f>
        <v>http://pbs.twimg.com/media/EVT_1AjXsAAdMGt.jpg</v>
      </c>
      <c r="N203">
        <v>0</v>
      </c>
      <c r="O203">
        <v>0</v>
      </c>
      <c r="P203">
        <v>1</v>
      </c>
      <c r="Q203">
        <v>0</v>
      </c>
      <c r="R203">
        <f ca="1">RAND()</f>
        <v>0.90520825763222224</v>
      </c>
    </row>
    <row r="204" spans="1:18" x14ac:dyDescent="0.2">
      <c r="A204" s="1" t="str">
        <f>HYPERLINK("http://www.twitter.com/Ugo_Roux/status/1248896020307750913", "1248896020307750913")</f>
        <v>1248896020307750913</v>
      </c>
      <c r="B204" t="s">
        <v>370</v>
      </c>
      <c r="C204" s="3">
        <v>43932.367928240739</v>
      </c>
      <c r="D204" s="3" t="s">
        <v>17</v>
      </c>
      <c r="E204">
        <v>0</v>
      </c>
      <c r="F204">
        <v>0</v>
      </c>
      <c r="I204" t="s">
        <v>395</v>
      </c>
      <c r="J204" t="str">
        <f>HYPERLINK("http://pbs.twimg.com/media/EVT4T-VWkAAwrz4.jpg", "http://pbs.twimg.com/media/EVT4T-VWkAAwrz4.jpg")</f>
        <v>http://pbs.twimg.com/media/EVT4T-VWkAAwrz4.jpg</v>
      </c>
      <c r="N204">
        <v>0</v>
      </c>
      <c r="O204">
        <v>0</v>
      </c>
      <c r="P204">
        <v>1</v>
      </c>
      <c r="Q204">
        <v>0</v>
      </c>
    </row>
    <row r="205" spans="1:18" x14ac:dyDescent="0.2">
      <c r="A205" s="1" t="str">
        <f>HYPERLINK("http://www.twitter.com/Ugo_Roux/status/1248876860852916225", "1248876860852916225")</f>
        <v>1248876860852916225</v>
      </c>
      <c r="B205" t="s">
        <v>414</v>
      </c>
      <c r="C205" s="3">
        <v>43932.315057870372</v>
      </c>
      <c r="D205" s="3" t="s">
        <v>28</v>
      </c>
      <c r="E205">
        <v>0</v>
      </c>
      <c r="F205">
        <v>0</v>
      </c>
      <c r="I205" t="s">
        <v>417</v>
      </c>
      <c r="J205" t="str">
        <f>HYPERLINK("http://pbs.twimg.com/media/EVTmU3gWkAAnqXU.jpg", "http://pbs.twimg.com/media/EVTmU3gWkAAnqXU.jpg")</f>
        <v>http://pbs.twimg.com/media/EVTmU3gWkAAnqXU.jpg</v>
      </c>
      <c r="N205">
        <v>0</v>
      </c>
      <c r="O205">
        <v>0</v>
      </c>
      <c r="P205">
        <v>1</v>
      </c>
      <c r="Q205">
        <v>0</v>
      </c>
    </row>
    <row r="206" spans="1:18" x14ac:dyDescent="0.2">
      <c r="A206" s="1" t="str">
        <f>HYPERLINK("http://www.twitter.com/Ugo_Roux/status/1248663263455436800", "1248663263455436800")</f>
        <v>1248663263455436800</v>
      </c>
      <c r="B206" t="s">
        <v>47</v>
      </c>
      <c r="C206" s="3">
        <v>43931.725636574083</v>
      </c>
      <c r="D206" s="3" t="s">
        <v>17</v>
      </c>
      <c r="E206">
        <v>7</v>
      </c>
      <c r="F206">
        <v>7</v>
      </c>
      <c r="I206" t="s">
        <v>72</v>
      </c>
      <c r="N206">
        <v>0</v>
      </c>
      <c r="O206">
        <v>0</v>
      </c>
      <c r="P206">
        <v>1</v>
      </c>
      <c r="Q206">
        <v>0</v>
      </c>
    </row>
    <row r="207" spans="1:18" x14ac:dyDescent="0.2">
      <c r="A207" s="1" t="str">
        <f>HYPERLINK("http://www.twitter.com/Ugo_Roux/status/1248642363192487937", "1248642363192487937")</f>
        <v>1248642363192487937</v>
      </c>
      <c r="B207" t="s">
        <v>206</v>
      </c>
      <c r="C207" s="3">
        <v>43931.667962962973</v>
      </c>
      <c r="D207" s="3" t="s">
        <v>17</v>
      </c>
      <c r="E207">
        <v>4</v>
      </c>
      <c r="F207">
        <v>2</v>
      </c>
      <c r="I207" t="s">
        <v>282</v>
      </c>
      <c r="J207" t="str">
        <f>HYPERLINK("http://pbs.twimg.com/media/EVQQZqzWAAIP2lr.jpg", "http://pbs.twimg.com/media/EVQQZqzWAAIP2lr.jpg")</f>
        <v>http://pbs.twimg.com/media/EVQQZqzWAAIP2lr.jpg</v>
      </c>
      <c r="N207">
        <v>0</v>
      </c>
      <c r="O207">
        <v>0</v>
      </c>
      <c r="P207">
        <v>1</v>
      </c>
      <c r="Q207">
        <v>0</v>
      </c>
    </row>
    <row r="208" spans="1:18" x14ac:dyDescent="0.2">
      <c r="A208" s="1" t="str">
        <f>HYPERLINK("http://www.twitter.com/Ugo_Roux/status/1248611486223585281", "1248611486223585281")</f>
        <v>1248611486223585281</v>
      </c>
      <c r="B208" t="s">
        <v>142</v>
      </c>
      <c r="C208" s="3">
        <v>43931.582766203697</v>
      </c>
      <c r="D208" s="3" t="s">
        <v>17</v>
      </c>
      <c r="E208">
        <v>1</v>
      </c>
      <c r="F208">
        <v>2</v>
      </c>
      <c r="I208" t="s">
        <v>171</v>
      </c>
      <c r="J208" t="str">
        <f>HYPERLINK("http://pbs.twimg.com/media/EVP1g8wUUAU79z0.jpg", "http://pbs.twimg.com/media/EVP1g8wUUAU79z0.jpg")</f>
        <v>http://pbs.twimg.com/media/EVP1g8wUUAU79z0.jpg</v>
      </c>
      <c r="N208">
        <v>0</v>
      </c>
      <c r="O208">
        <v>0</v>
      </c>
      <c r="P208">
        <v>1</v>
      </c>
      <c r="Q208">
        <v>0</v>
      </c>
    </row>
    <row r="209" spans="1:18" x14ac:dyDescent="0.2">
      <c r="A209" s="1" t="str">
        <f>HYPERLINK("http://www.twitter.com/Ugo_Roux/status/1248494050379886595", "1248494050379886595")</f>
        <v>1248494050379886595</v>
      </c>
      <c r="B209" t="s">
        <v>285</v>
      </c>
      <c r="C209" s="3">
        <v>43931.258703703701</v>
      </c>
      <c r="D209" s="3" t="s">
        <v>17</v>
      </c>
      <c r="E209">
        <v>0</v>
      </c>
      <c r="F209">
        <v>0</v>
      </c>
      <c r="I209" t="s">
        <v>308</v>
      </c>
      <c r="J209" t="str">
        <f>HYPERLINK("http://pbs.twimg.com/media/EVOKszVU4AQ88tL.jpg", "http://pbs.twimg.com/media/EVOKszVU4AQ88tL.jpg")</f>
        <v>http://pbs.twimg.com/media/EVOKszVU4AQ88tL.jpg</v>
      </c>
      <c r="N209">
        <v>0</v>
      </c>
      <c r="O209">
        <v>0</v>
      </c>
      <c r="P209">
        <v>1</v>
      </c>
      <c r="Q209">
        <v>0</v>
      </c>
    </row>
    <row r="210" spans="1:18" x14ac:dyDescent="0.2">
      <c r="A210" s="1" t="str">
        <f>HYPERLINK("http://www.twitter.com/Ugo_Roux/status/1248287749230055424", "1248287749230055424")</f>
        <v>1248287749230055424</v>
      </c>
      <c r="B210" t="s">
        <v>206</v>
      </c>
      <c r="C210" s="3">
        <v>43930.689421296287</v>
      </c>
      <c r="D210" s="3" t="s">
        <v>41</v>
      </c>
      <c r="E210">
        <v>1</v>
      </c>
      <c r="F210">
        <v>1</v>
      </c>
      <c r="I210" t="s">
        <v>225</v>
      </c>
      <c r="J210" t="str">
        <f>HYPERLINK("http://pbs.twimg.com/media/EVLPAbtUMAATHpW.jpg", "http://pbs.twimg.com/media/EVLPAbtUMAATHpW.jpg")</f>
        <v>http://pbs.twimg.com/media/EVLPAbtUMAATHpW.jpg</v>
      </c>
      <c r="K210" t="str">
        <f>HYPERLINK("http://pbs.twimg.com/media/EVLPDXMUMAAPLOa.jpg", "http://pbs.twimg.com/media/EVLPDXMUMAAPLOa.jpg")</f>
        <v>http://pbs.twimg.com/media/EVLPDXMUMAAPLOa.jpg</v>
      </c>
      <c r="N210">
        <v>-0.26950000000000002</v>
      </c>
      <c r="O210">
        <v>7.3999999999999996E-2</v>
      </c>
      <c r="P210">
        <v>0.92600000000000005</v>
      </c>
      <c r="Q210">
        <v>0</v>
      </c>
    </row>
    <row r="211" spans="1:18" x14ac:dyDescent="0.2">
      <c r="A211" s="1" t="str">
        <f>HYPERLINK("http://www.twitter.com/Ugo_Roux/status/1248252790327201794", "1248252790327201794")</f>
        <v>1248252790327201794</v>
      </c>
      <c r="B211" t="s">
        <v>425</v>
      </c>
      <c r="C211" s="3">
        <v>43930.592951388891</v>
      </c>
      <c r="D211" s="3" t="s">
        <v>17</v>
      </c>
      <c r="E211">
        <v>0</v>
      </c>
      <c r="F211">
        <v>0</v>
      </c>
      <c r="I211" t="s">
        <v>445</v>
      </c>
      <c r="J211" t="str">
        <f>HYPERLINK("http://pbs.twimg.com/media/EVKu3DxUcAECO8g.jpg", "http://pbs.twimg.com/media/EVKu3DxUcAECO8g.jpg")</f>
        <v>http://pbs.twimg.com/media/EVKu3DxUcAECO8g.jpg</v>
      </c>
      <c r="N211">
        <v>0</v>
      </c>
      <c r="O211">
        <v>0</v>
      </c>
      <c r="P211">
        <v>1</v>
      </c>
      <c r="Q211">
        <v>0</v>
      </c>
      <c r="R211">
        <f ca="1">RAND()</f>
        <v>0.67427375149185553</v>
      </c>
    </row>
    <row r="212" spans="1:18" x14ac:dyDescent="0.2">
      <c r="A212" s="1" t="str">
        <f>HYPERLINK("http://www.twitter.com/Ugo_Roux/status/1248211776652574721", "1248211776652574721")</f>
        <v>1248211776652574721</v>
      </c>
      <c r="B212" t="s">
        <v>142</v>
      </c>
      <c r="C212" s="3">
        <v>43930.479768518519</v>
      </c>
      <c r="D212" s="3" t="s">
        <v>17</v>
      </c>
      <c r="E212">
        <v>1</v>
      </c>
      <c r="F212">
        <v>2</v>
      </c>
      <c r="I212" t="s">
        <v>155</v>
      </c>
      <c r="J212" t="str">
        <f>HYPERLINK("http://pbs.twimg.com/media/EVKJ_Y0UYAE4xve.jpg", "http://pbs.twimg.com/media/EVKJ_Y0UYAE4xve.jpg")</f>
        <v>http://pbs.twimg.com/media/EVKJ_Y0UYAE4xve.jpg</v>
      </c>
      <c r="N212">
        <v>0.57069999999999999</v>
      </c>
      <c r="O212">
        <v>0</v>
      </c>
      <c r="P212">
        <v>0.84399999999999997</v>
      </c>
      <c r="Q212">
        <v>0.156</v>
      </c>
    </row>
    <row r="213" spans="1:18" x14ac:dyDescent="0.2">
      <c r="A213" s="1" t="str">
        <f>HYPERLINK("http://www.twitter.com/Ugo_Roux/status/1248210623055515648", "1248210623055515648")</f>
        <v>1248210623055515648</v>
      </c>
      <c r="B213" t="s">
        <v>206</v>
      </c>
      <c r="C213" s="3">
        <v>43930.476585648154</v>
      </c>
      <c r="D213" s="3" t="s">
        <v>41</v>
      </c>
      <c r="E213">
        <v>1</v>
      </c>
      <c r="F213">
        <v>0</v>
      </c>
      <c r="I213" t="s">
        <v>220</v>
      </c>
      <c r="N213">
        <v>0</v>
      </c>
      <c r="O213">
        <v>0</v>
      </c>
      <c r="P213">
        <v>1</v>
      </c>
      <c r="Q213">
        <v>0</v>
      </c>
    </row>
    <row r="214" spans="1:18" x14ac:dyDescent="0.2">
      <c r="A214" s="1" t="str">
        <f>HYPERLINK("http://www.twitter.com/Ugo_Roux/status/1248170006841643008", "1248170006841643008")</f>
        <v>1248170006841643008</v>
      </c>
      <c r="B214" t="s">
        <v>47</v>
      </c>
      <c r="C214" s="3">
        <v>43930.36451388889</v>
      </c>
      <c r="D214" s="3" t="s">
        <v>17</v>
      </c>
      <c r="E214">
        <v>3</v>
      </c>
      <c r="F214">
        <v>0</v>
      </c>
      <c r="I214" t="s">
        <v>73</v>
      </c>
      <c r="N214">
        <v>0</v>
      </c>
      <c r="O214">
        <v>0</v>
      </c>
      <c r="P214">
        <v>1</v>
      </c>
      <c r="Q214">
        <v>0</v>
      </c>
    </row>
    <row r="215" spans="1:18" x14ac:dyDescent="0.2">
      <c r="A215" s="1" t="str">
        <f>HYPERLINK("http://www.twitter.com/Ugo_Roux/status/1248134940023296001", "1248134940023296001")</f>
        <v>1248134940023296001</v>
      </c>
      <c r="B215" t="s">
        <v>47</v>
      </c>
      <c r="C215" s="3">
        <v>43930.267743055563</v>
      </c>
      <c r="D215" s="3" t="s">
        <v>17</v>
      </c>
      <c r="E215">
        <v>4</v>
      </c>
      <c r="F215">
        <v>0</v>
      </c>
      <c r="I215" t="s">
        <v>74</v>
      </c>
      <c r="N215">
        <v>0</v>
      </c>
      <c r="O215">
        <v>0</v>
      </c>
      <c r="P215">
        <v>1</v>
      </c>
      <c r="Q215">
        <v>0</v>
      </c>
    </row>
    <row r="216" spans="1:18" x14ac:dyDescent="0.2">
      <c r="A216" s="1" t="str">
        <f>HYPERLINK("http://www.twitter.com/Ugo_Roux/status/1248127004966338563", "1248127004966338563")</f>
        <v>1248127004966338563</v>
      </c>
      <c r="B216" t="s">
        <v>285</v>
      </c>
      <c r="C216" s="3">
        <v>43930.245844907397</v>
      </c>
      <c r="D216" s="3" t="s">
        <v>17</v>
      </c>
      <c r="E216">
        <v>0</v>
      </c>
      <c r="F216">
        <v>0</v>
      </c>
      <c r="I216" t="s">
        <v>309</v>
      </c>
      <c r="J216" t="str">
        <f>HYPERLINK("http://pbs.twimg.com/media/EVI82IKU4AElwzf.jpg", "http://pbs.twimg.com/media/EVI82IKU4AElwzf.jpg")</f>
        <v>http://pbs.twimg.com/media/EVI82IKU4AElwzf.jpg</v>
      </c>
      <c r="K216" t="str">
        <f>HYPERLINK("http://pbs.twimg.com/media/EVI82sRU4AAvf7V.jpg", "http://pbs.twimg.com/media/EVI82sRU4AAvf7V.jpg")</f>
        <v>http://pbs.twimg.com/media/EVI82sRU4AAvf7V.jpg</v>
      </c>
      <c r="N216">
        <v>0</v>
      </c>
      <c r="O216">
        <v>0</v>
      </c>
      <c r="P216">
        <v>1</v>
      </c>
      <c r="Q216">
        <v>0</v>
      </c>
    </row>
    <row r="217" spans="1:18" x14ac:dyDescent="0.2">
      <c r="A217" s="1" t="str">
        <f>HYPERLINK("http://www.twitter.com/Ugo_Roux/status/1247919494691008514", "1247919494691008514")</f>
        <v>1247919494691008514</v>
      </c>
      <c r="B217" t="s">
        <v>206</v>
      </c>
      <c r="C217" s="3">
        <v>43929.673229166663</v>
      </c>
      <c r="D217" s="3" t="s">
        <v>17</v>
      </c>
      <c r="E217">
        <v>4</v>
      </c>
      <c r="F217">
        <v>0</v>
      </c>
      <c r="I217" t="s">
        <v>255</v>
      </c>
      <c r="J217" t="str">
        <f>HYPERLINK("http://pbs.twimg.com/media/EVF9oI-XgAIq-jM.jpg", "http://pbs.twimg.com/media/EVF9oI-XgAIq-jM.jpg")</f>
        <v>http://pbs.twimg.com/media/EVF9oI-XgAIq-jM.jpg</v>
      </c>
      <c r="N217">
        <v>0</v>
      </c>
      <c r="O217">
        <v>0</v>
      </c>
      <c r="P217">
        <v>1</v>
      </c>
      <c r="Q217">
        <v>0</v>
      </c>
    </row>
    <row r="218" spans="1:18" x14ac:dyDescent="0.2">
      <c r="A218" s="1" t="str">
        <f>HYPERLINK("http://www.twitter.com/Ugo_Roux/status/1247896064406913031", "1247896064406913031")</f>
        <v>1247896064406913031</v>
      </c>
      <c r="B218" t="s">
        <v>370</v>
      </c>
      <c r="C218" s="3">
        <v>43929.608576388891</v>
      </c>
      <c r="D218" s="3" t="s">
        <v>17</v>
      </c>
      <c r="E218">
        <v>0</v>
      </c>
      <c r="F218">
        <v>0</v>
      </c>
      <c r="I218" t="s">
        <v>396</v>
      </c>
      <c r="J218" t="str">
        <f>HYPERLINK("http://pbs.twimg.com/media/EVFq20fUYAEHaXk.jpg", "http://pbs.twimg.com/media/EVFq20fUYAEHaXk.jpg")</f>
        <v>http://pbs.twimg.com/media/EVFq20fUYAEHaXk.jpg</v>
      </c>
      <c r="N218">
        <v>0</v>
      </c>
      <c r="O218">
        <v>0</v>
      </c>
      <c r="P218">
        <v>1</v>
      </c>
      <c r="Q218">
        <v>0</v>
      </c>
    </row>
    <row r="219" spans="1:18" x14ac:dyDescent="0.2">
      <c r="A219" s="1" t="str">
        <f>HYPERLINK("http://www.twitter.com/Ugo_Roux/status/1247869027814387713", "1247869027814387713")</f>
        <v>1247869027814387713</v>
      </c>
      <c r="B219" t="s">
        <v>130</v>
      </c>
      <c r="C219" s="3">
        <v>43929.53396990741</v>
      </c>
      <c r="D219" s="3" t="s">
        <v>17</v>
      </c>
      <c r="E219">
        <v>0</v>
      </c>
      <c r="F219">
        <v>0</v>
      </c>
      <c r="I219" t="s">
        <v>137</v>
      </c>
      <c r="J219" t="str">
        <f>HYPERLINK("http://pbs.twimg.com/media/EVFSHSxX0AESZW1.png", "http://pbs.twimg.com/media/EVFSHSxX0AESZW1.png")</f>
        <v>http://pbs.twimg.com/media/EVFSHSxX0AESZW1.png</v>
      </c>
      <c r="N219">
        <v>0</v>
      </c>
      <c r="O219">
        <v>0</v>
      </c>
      <c r="P219">
        <v>1</v>
      </c>
      <c r="Q219">
        <v>0</v>
      </c>
    </row>
    <row r="220" spans="1:18" x14ac:dyDescent="0.2">
      <c r="A220" s="1" t="str">
        <f>HYPERLINK("http://www.twitter.com/Ugo_Roux/status/1247868968674738176", "1247868968674738176")</f>
        <v>1247868968674738176</v>
      </c>
      <c r="B220" t="s">
        <v>47</v>
      </c>
      <c r="C220" s="3">
        <v>43929.533807870372</v>
      </c>
      <c r="D220" s="3" t="s">
        <v>17</v>
      </c>
      <c r="E220">
        <v>6</v>
      </c>
      <c r="F220">
        <v>2</v>
      </c>
      <c r="I220" t="s">
        <v>75</v>
      </c>
      <c r="N220">
        <v>0</v>
      </c>
      <c r="O220">
        <v>0</v>
      </c>
      <c r="P220">
        <v>1</v>
      </c>
      <c r="Q220">
        <v>0</v>
      </c>
    </row>
    <row r="221" spans="1:18" x14ac:dyDescent="0.2">
      <c r="A221" s="1" t="str">
        <f>HYPERLINK("http://www.twitter.com/Ugo_Roux/status/1247851841116942337", "1247851841116942337")</f>
        <v>1247851841116942337</v>
      </c>
      <c r="B221" t="s">
        <v>142</v>
      </c>
      <c r="C221" s="3">
        <v>43929.486539351848</v>
      </c>
      <c r="D221" s="3" t="s">
        <v>17</v>
      </c>
      <c r="E221">
        <v>0</v>
      </c>
      <c r="F221">
        <v>1</v>
      </c>
      <c r="I221" t="s">
        <v>170</v>
      </c>
      <c r="J221" t="str">
        <f>HYPERLINK("http://pbs.twimg.com/media/EVFCnj-X0AIkRn0.jpg", "http://pbs.twimg.com/media/EVFCnj-X0AIkRn0.jpg")</f>
        <v>http://pbs.twimg.com/media/EVFCnj-X0AIkRn0.jpg</v>
      </c>
      <c r="N221">
        <v>0</v>
      </c>
      <c r="O221">
        <v>0</v>
      </c>
      <c r="P221">
        <v>1</v>
      </c>
      <c r="Q221">
        <v>0</v>
      </c>
    </row>
    <row r="222" spans="1:18" x14ac:dyDescent="0.2">
      <c r="A222" s="1" t="str">
        <f>HYPERLINK("http://www.twitter.com/Ugo_Roux/status/1247824577721483264", "1247824577721483264")</f>
        <v>1247824577721483264</v>
      </c>
      <c r="B222" t="s">
        <v>47</v>
      </c>
      <c r="C222" s="3">
        <v>43929.411307870367</v>
      </c>
      <c r="D222" s="3" t="s">
        <v>28</v>
      </c>
      <c r="E222">
        <v>0</v>
      </c>
      <c r="F222">
        <v>1</v>
      </c>
      <c r="I222" t="s">
        <v>76</v>
      </c>
      <c r="N222">
        <v>0</v>
      </c>
      <c r="O222">
        <v>0</v>
      </c>
      <c r="P222">
        <v>1</v>
      </c>
      <c r="Q222">
        <v>0</v>
      </c>
    </row>
    <row r="223" spans="1:18" x14ac:dyDescent="0.2">
      <c r="A223" s="1" t="str">
        <f>HYPERLINK("http://www.twitter.com/Ugo_Roux/status/1247782002398334979", "1247782002398334979")</f>
        <v>1247782002398334979</v>
      </c>
      <c r="B223" t="s">
        <v>370</v>
      </c>
      <c r="C223" s="3">
        <v>43929.293819444443</v>
      </c>
      <c r="D223" s="3" t="s">
        <v>17</v>
      </c>
      <c r="E223">
        <v>2</v>
      </c>
      <c r="F223">
        <v>0</v>
      </c>
      <c r="I223" t="s">
        <v>397</v>
      </c>
      <c r="J223" t="str">
        <f>HYPERLINK("http://pbs.twimg.com/media/EVEDHmcU8AIlPeP.jpg", "http://pbs.twimg.com/media/EVEDHmcU8AIlPeP.jpg")</f>
        <v>http://pbs.twimg.com/media/EVEDHmcU8AIlPeP.jpg</v>
      </c>
      <c r="N223">
        <v>0</v>
      </c>
      <c r="O223">
        <v>0</v>
      </c>
      <c r="P223">
        <v>1</v>
      </c>
      <c r="Q223">
        <v>0</v>
      </c>
    </row>
    <row r="224" spans="1:18" x14ac:dyDescent="0.2">
      <c r="A224" s="1" t="str">
        <f>HYPERLINK("http://www.twitter.com/Ugo_Roux/status/1247781419096485888", "1247781419096485888")</f>
        <v>1247781419096485888</v>
      </c>
      <c r="B224" t="s">
        <v>97</v>
      </c>
      <c r="C224" s="3">
        <v>43929.292210648149</v>
      </c>
      <c r="D224" s="3" t="s">
        <v>17</v>
      </c>
      <c r="E224">
        <v>1</v>
      </c>
      <c r="F224">
        <v>0</v>
      </c>
      <c r="I224" t="s">
        <v>118</v>
      </c>
      <c r="J224" t="str">
        <f>HYPERLINK("http://pbs.twimg.com/media/EVEClnsUcAAbBSh.jpg", "http://pbs.twimg.com/media/EVEClnsUcAAbBSh.jpg")</f>
        <v>http://pbs.twimg.com/media/EVEClnsUcAAbBSh.jpg</v>
      </c>
      <c r="N224">
        <v>0</v>
      </c>
      <c r="O224">
        <v>0</v>
      </c>
      <c r="P224">
        <v>1</v>
      </c>
      <c r="Q224">
        <v>0</v>
      </c>
    </row>
    <row r="225" spans="1:18" x14ac:dyDescent="0.2">
      <c r="A225" s="1" t="str">
        <f>HYPERLINK("http://www.twitter.com/Ugo_Roux/status/1247778149296795650", "1247778149296795650")</f>
        <v>1247778149296795650</v>
      </c>
      <c r="B225" t="s">
        <v>285</v>
      </c>
      <c r="C225" s="3">
        <v>43929.283194444448</v>
      </c>
      <c r="D225" s="3" t="s">
        <v>17</v>
      </c>
      <c r="E225">
        <v>1</v>
      </c>
      <c r="F225">
        <v>1</v>
      </c>
      <c r="I225" t="s">
        <v>310</v>
      </c>
      <c r="J225" t="str">
        <f>HYPERLINK("http://pbs.twimg.com/media/EVD-x4QUwAEEjFm.jpg", "http://pbs.twimg.com/media/EVD-x4QUwAEEjFm.jpg")</f>
        <v>http://pbs.twimg.com/media/EVD-x4QUwAEEjFm.jpg</v>
      </c>
      <c r="K225" t="str">
        <f>HYPERLINK("http://pbs.twimg.com/media/EVD_kkxU0AAWxYG.jpg", "http://pbs.twimg.com/media/EVD_kkxU0AAWxYG.jpg")</f>
        <v>http://pbs.twimg.com/media/EVD_kkxU0AAWxYG.jpg</v>
      </c>
      <c r="N225">
        <v>0</v>
      </c>
      <c r="O225">
        <v>0</v>
      </c>
      <c r="P225">
        <v>1</v>
      </c>
      <c r="Q225">
        <v>0</v>
      </c>
    </row>
    <row r="226" spans="1:18" x14ac:dyDescent="0.2">
      <c r="A226" s="1" t="str">
        <f>HYPERLINK("http://www.twitter.com/Ugo_Roux/status/1247772675725905921", "1247772675725905921")</f>
        <v>1247772675725905921</v>
      </c>
      <c r="B226" t="s">
        <v>206</v>
      </c>
      <c r="C226" s="3">
        <v>43929.268090277779</v>
      </c>
      <c r="D226" s="3" t="s">
        <v>28</v>
      </c>
      <c r="E226">
        <v>0</v>
      </c>
      <c r="F226">
        <v>1</v>
      </c>
      <c r="I226" t="s">
        <v>238</v>
      </c>
      <c r="J226" t="str">
        <f>HYPERLINK("http://pbs.twimg.com/media/EVD6nsBUYAE5Zro.jpg", "http://pbs.twimg.com/media/EVD6nsBUYAE5Zro.jpg")</f>
        <v>http://pbs.twimg.com/media/EVD6nsBUYAE5Zro.jpg</v>
      </c>
      <c r="N226">
        <v>0.44040000000000001</v>
      </c>
      <c r="O226">
        <v>0</v>
      </c>
      <c r="P226">
        <v>0.92500000000000004</v>
      </c>
      <c r="Q226">
        <v>7.4999999999999997E-2</v>
      </c>
    </row>
    <row r="227" spans="1:18" x14ac:dyDescent="0.2">
      <c r="A227" s="1" t="str">
        <f>HYPERLINK("http://www.twitter.com/Ugo_Roux/status/1247584460662546432", "1247584460662546432")</f>
        <v>1247584460662546432</v>
      </c>
      <c r="B227" t="s">
        <v>206</v>
      </c>
      <c r="C227" s="3">
        <v>43928.748715277783</v>
      </c>
      <c r="D227" s="3" t="s">
        <v>17</v>
      </c>
      <c r="E227">
        <v>0</v>
      </c>
      <c r="F227">
        <v>0</v>
      </c>
      <c r="I227" t="s">
        <v>263</v>
      </c>
      <c r="N227">
        <v>0</v>
      </c>
      <c r="O227">
        <v>0</v>
      </c>
      <c r="P227">
        <v>1</v>
      </c>
      <c r="Q227">
        <v>0</v>
      </c>
    </row>
    <row r="228" spans="1:18" x14ac:dyDescent="0.2">
      <c r="A228" s="1" t="str">
        <f>HYPERLINK("http://www.twitter.com/Ugo_Roux/status/1247549950659104769", "1247549950659104769")</f>
        <v>1247549950659104769</v>
      </c>
      <c r="B228" t="s">
        <v>206</v>
      </c>
      <c r="C228" s="3">
        <v>43928.653483796297</v>
      </c>
      <c r="D228" s="3" t="s">
        <v>41</v>
      </c>
      <c r="E228">
        <v>22</v>
      </c>
      <c r="F228">
        <v>5</v>
      </c>
      <c r="I228" t="s">
        <v>210</v>
      </c>
      <c r="J228" t="str">
        <f>HYPERLINK("http://pbs.twimg.com/media/EVAwDDSX0AInGKw.jpg", "http://pbs.twimg.com/media/EVAwDDSX0AInGKw.jpg")</f>
        <v>http://pbs.twimg.com/media/EVAwDDSX0AInGKw.jpg</v>
      </c>
      <c r="N228">
        <v>0</v>
      </c>
      <c r="O228">
        <v>0</v>
      </c>
      <c r="P228">
        <v>1</v>
      </c>
      <c r="Q228">
        <v>0</v>
      </c>
    </row>
    <row r="229" spans="1:18" x14ac:dyDescent="0.2">
      <c r="A229" s="1" t="str">
        <f>HYPERLINK("http://www.twitter.com/Ugo_Roux/status/1247545638327209986", "1247545638327209986")</f>
        <v>1247545638327209986</v>
      </c>
      <c r="B229" t="s">
        <v>47</v>
      </c>
      <c r="C229" s="3">
        <v>43928.641585648147</v>
      </c>
      <c r="D229" s="3" t="s">
        <v>17</v>
      </c>
      <c r="E229">
        <v>4</v>
      </c>
      <c r="F229">
        <v>0</v>
      </c>
      <c r="I229" t="s">
        <v>77</v>
      </c>
      <c r="N229">
        <v>0</v>
      </c>
      <c r="O229">
        <v>0</v>
      </c>
      <c r="P229">
        <v>1</v>
      </c>
      <c r="Q229">
        <v>0</v>
      </c>
    </row>
    <row r="230" spans="1:18" x14ac:dyDescent="0.2">
      <c r="A230" s="1" t="str">
        <f>HYPERLINK("http://www.twitter.com/Ugo_Roux/status/1247539008973836294", "1247539008973836294")</f>
        <v>1247539008973836294</v>
      </c>
      <c r="B230" t="s">
        <v>370</v>
      </c>
      <c r="C230" s="3">
        <v>43928.623287037037</v>
      </c>
      <c r="D230" s="3" t="s">
        <v>41</v>
      </c>
      <c r="E230">
        <v>0</v>
      </c>
      <c r="F230">
        <v>0</v>
      </c>
      <c r="I230" t="s">
        <v>398</v>
      </c>
      <c r="J230" t="str">
        <f>HYPERLINK("http://pbs.twimg.com/media/EVAmHeuUUA04swe.jpg", "http://pbs.twimg.com/media/EVAmHeuUUA04swe.jpg")</f>
        <v>http://pbs.twimg.com/media/EVAmHeuUUA04swe.jpg</v>
      </c>
      <c r="N230">
        <v>0</v>
      </c>
      <c r="O230">
        <v>0</v>
      </c>
      <c r="P230">
        <v>1</v>
      </c>
      <c r="Q230">
        <v>0</v>
      </c>
    </row>
    <row r="231" spans="1:18" x14ac:dyDescent="0.2">
      <c r="A231" s="1" t="str">
        <f>HYPERLINK("http://www.twitter.com/Ugo_Roux/status/1247522582540087302", "1247522582540087302")</f>
        <v>1247522582540087302</v>
      </c>
      <c r="B231" t="s">
        <v>130</v>
      </c>
      <c r="C231" s="3">
        <v>43928.577962962961</v>
      </c>
      <c r="D231" s="3" t="s">
        <v>17</v>
      </c>
      <c r="E231">
        <v>0</v>
      </c>
      <c r="F231">
        <v>0</v>
      </c>
      <c r="I231" t="s">
        <v>138</v>
      </c>
      <c r="J231" t="str">
        <f>HYPERLINK("http://pbs.twimg.com/media/EVAXIcCUMAI7LT7.jpg", "http://pbs.twimg.com/media/EVAXIcCUMAI7LT7.jpg")</f>
        <v>http://pbs.twimg.com/media/EVAXIcCUMAI7LT7.jpg</v>
      </c>
      <c r="N231">
        <v>0</v>
      </c>
      <c r="O231">
        <v>0</v>
      </c>
      <c r="P231">
        <v>1</v>
      </c>
      <c r="Q231">
        <v>0</v>
      </c>
    </row>
    <row r="232" spans="1:18" x14ac:dyDescent="0.2">
      <c r="A232" s="1" t="str">
        <f>HYPERLINK("http://www.twitter.com/Ugo_Roux/status/1247441873179942914", "1247441873179942914")</f>
        <v>1247441873179942914</v>
      </c>
      <c r="B232" t="s">
        <v>425</v>
      </c>
      <c r="C232" s="3">
        <v>43928.355243055557</v>
      </c>
      <c r="D232" s="3" t="s">
        <v>17</v>
      </c>
      <c r="E232">
        <v>1</v>
      </c>
      <c r="F232">
        <v>0</v>
      </c>
      <c r="I232" t="s">
        <v>442</v>
      </c>
      <c r="J232" t="str">
        <f>HYPERLINK("http://pbs.twimg.com/media/EU_Nt6GXQAImkFw.jpg", "http://pbs.twimg.com/media/EU_Nt6GXQAImkFw.jpg")</f>
        <v>http://pbs.twimg.com/media/EU_Nt6GXQAImkFw.jpg</v>
      </c>
      <c r="N232">
        <v>0.1759</v>
      </c>
      <c r="O232">
        <v>0</v>
      </c>
      <c r="P232">
        <v>0.95299999999999996</v>
      </c>
      <c r="Q232">
        <v>4.7E-2</v>
      </c>
      <c r="R232">
        <f ca="1">RAND()</f>
        <v>0.37024027380866331</v>
      </c>
    </row>
    <row r="233" spans="1:18" x14ac:dyDescent="0.2">
      <c r="A233" s="1" t="str">
        <f>HYPERLINK("http://www.twitter.com/Ugo_Roux/status/1247425480162267138", "1247425480162267138")</f>
        <v>1247425480162267138</v>
      </c>
      <c r="B233" t="s">
        <v>285</v>
      </c>
      <c r="C233" s="3">
        <v>43928.310011574067</v>
      </c>
      <c r="D233" s="3" t="s">
        <v>17</v>
      </c>
      <c r="E233">
        <v>4</v>
      </c>
      <c r="F233">
        <v>1</v>
      </c>
      <c r="I233" t="s">
        <v>311</v>
      </c>
      <c r="J233" t="str">
        <f>HYPERLINK("http://pbs.twimg.com/media/EU--23LWkAE-hL0.jpg", "http://pbs.twimg.com/media/EU--23LWkAE-hL0.jpg")</f>
        <v>http://pbs.twimg.com/media/EU--23LWkAE-hL0.jpg</v>
      </c>
      <c r="N233">
        <v>0</v>
      </c>
      <c r="O233">
        <v>0</v>
      </c>
      <c r="P233">
        <v>1</v>
      </c>
      <c r="Q233">
        <v>0</v>
      </c>
    </row>
    <row r="234" spans="1:18" x14ac:dyDescent="0.2">
      <c r="A234" s="1" t="str">
        <f>HYPERLINK("http://www.twitter.com/Ugo_Roux/status/1247412701812404224", "1247412701812404224")</f>
        <v>1247412701812404224</v>
      </c>
      <c r="B234" t="s">
        <v>97</v>
      </c>
      <c r="C234" s="3">
        <v>43928.274745370371</v>
      </c>
      <c r="D234" s="3" t="s">
        <v>41</v>
      </c>
      <c r="E234">
        <v>0</v>
      </c>
      <c r="F234">
        <v>0</v>
      </c>
      <c r="I234" t="s">
        <v>119</v>
      </c>
      <c r="N234">
        <v>0</v>
      </c>
      <c r="O234">
        <v>0</v>
      </c>
      <c r="P234">
        <v>1</v>
      </c>
      <c r="Q234">
        <v>0</v>
      </c>
    </row>
    <row r="235" spans="1:18" x14ac:dyDescent="0.2">
      <c r="A235" s="1" t="str">
        <f>HYPERLINK("http://www.twitter.com/Ugo_Roux/status/1247203589489115136", "1247203589489115136")</f>
        <v>1247203589489115136</v>
      </c>
      <c r="B235" t="s">
        <v>206</v>
      </c>
      <c r="C235" s="3">
        <v>43927.697708333333</v>
      </c>
      <c r="D235" s="3" t="s">
        <v>28</v>
      </c>
      <c r="E235">
        <v>6</v>
      </c>
      <c r="F235">
        <v>1</v>
      </c>
      <c r="I235" t="s">
        <v>236</v>
      </c>
      <c r="J235" t="str">
        <f>HYPERLINK("http://pbs.twimg.com/media/EU70WQLWAAAtfJC.jpg", "http://pbs.twimg.com/media/EU70WQLWAAAtfJC.jpg")</f>
        <v>http://pbs.twimg.com/media/EU70WQLWAAAtfJC.jpg</v>
      </c>
      <c r="N235">
        <v>0</v>
      </c>
      <c r="O235">
        <v>0</v>
      </c>
      <c r="P235">
        <v>1</v>
      </c>
      <c r="Q235">
        <v>0</v>
      </c>
    </row>
    <row r="236" spans="1:18" x14ac:dyDescent="0.2">
      <c r="A236" s="1" t="str">
        <f>HYPERLINK("http://www.twitter.com/Ugo_Roux/status/1247193443325140994", "1247193443325140994")</f>
        <v>1247193443325140994</v>
      </c>
      <c r="B236" t="s">
        <v>47</v>
      </c>
      <c r="C236" s="3">
        <v>43927.669710648152</v>
      </c>
      <c r="D236" s="3" t="s">
        <v>17</v>
      </c>
      <c r="E236">
        <v>4</v>
      </c>
      <c r="F236">
        <v>1</v>
      </c>
      <c r="I236" t="s">
        <v>78</v>
      </c>
      <c r="N236">
        <v>-0.26950000000000002</v>
      </c>
      <c r="O236">
        <v>6.7000000000000004E-2</v>
      </c>
      <c r="P236">
        <v>0.93300000000000005</v>
      </c>
      <c r="Q236">
        <v>0</v>
      </c>
    </row>
    <row r="237" spans="1:18" x14ac:dyDescent="0.2">
      <c r="A237" s="1" t="str">
        <f>HYPERLINK("http://www.twitter.com/Ugo_Roux/status/1247171164327288832", "1247171164327288832")</f>
        <v>1247171164327288832</v>
      </c>
      <c r="B237" t="s">
        <v>285</v>
      </c>
      <c r="C237" s="3">
        <v>43927.608229166668</v>
      </c>
      <c r="D237" s="3" t="s">
        <v>17</v>
      </c>
      <c r="E237">
        <v>0</v>
      </c>
      <c r="F237">
        <v>0</v>
      </c>
      <c r="I237" t="s">
        <v>312</v>
      </c>
      <c r="J237" t="str">
        <f>HYPERLINK("http://pbs.twimg.com/media/EU7XfczXsAECMa2.png", "http://pbs.twimg.com/media/EU7XfczXsAECMa2.png")</f>
        <v>http://pbs.twimg.com/media/EU7XfczXsAECMa2.png</v>
      </c>
      <c r="N237">
        <v>0</v>
      </c>
      <c r="O237">
        <v>0</v>
      </c>
      <c r="P237">
        <v>1</v>
      </c>
      <c r="Q237">
        <v>0</v>
      </c>
    </row>
    <row r="238" spans="1:18" x14ac:dyDescent="0.2">
      <c r="A238" s="1" t="str">
        <f>HYPERLINK("http://www.twitter.com/Ugo_Roux/status/1247162364392124418", "1247162364392124418")</f>
        <v>1247162364392124418</v>
      </c>
      <c r="B238" t="s">
        <v>142</v>
      </c>
      <c r="C238" s="3">
        <v>43927.58394675926</v>
      </c>
      <c r="D238" s="3" t="s">
        <v>28</v>
      </c>
      <c r="E238">
        <v>1</v>
      </c>
      <c r="F238">
        <v>1</v>
      </c>
      <c r="I238" t="s">
        <v>151</v>
      </c>
      <c r="N238">
        <v>0</v>
      </c>
      <c r="O238">
        <v>0</v>
      </c>
      <c r="P238">
        <v>1</v>
      </c>
      <c r="Q238">
        <v>0</v>
      </c>
    </row>
    <row r="239" spans="1:18" x14ac:dyDescent="0.2">
      <c r="A239" s="1" t="str">
        <f>HYPERLINK("http://www.twitter.com/Ugo_Roux/status/1247124422256975873", "1247124422256975873")</f>
        <v>1247124422256975873</v>
      </c>
      <c r="B239" t="s">
        <v>142</v>
      </c>
      <c r="C239" s="3">
        <v>43927.479247685187</v>
      </c>
      <c r="D239" s="3" t="s">
        <v>17</v>
      </c>
      <c r="E239">
        <v>6</v>
      </c>
      <c r="F239">
        <v>4</v>
      </c>
      <c r="I239" t="s">
        <v>172</v>
      </c>
      <c r="J239" t="str">
        <f>HYPERLINK("http://pbs.twimg.com/media/EU6tDElXsAcU_00.jpg", "http://pbs.twimg.com/media/EU6tDElXsAcU_00.jpg")</f>
        <v>http://pbs.twimg.com/media/EU6tDElXsAcU_00.jpg</v>
      </c>
      <c r="N239">
        <v>0</v>
      </c>
      <c r="O239">
        <v>0</v>
      </c>
      <c r="P239">
        <v>1</v>
      </c>
      <c r="Q239">
        <v>0</v>
      </c>
    </row>
    <row r="240" spans="1:18" x14ac:dyDescent="0.2">
      <c r="A240" s="1" t="str">
        <f>HYPERLINK("http://www.twitter.com/Ugo_Roux/status/1247074555874758656", "1247074555874758656")</f>
        <v>1247074555874758656</v>
      </c>
      <c r="B240" t="s">
        <v>425</v>
      </c>
      <c r="C240" s="3">
        <v>43927.341643518521</v>
      </c>
      <c r="D240" s="3" t="s">
        <v>41</v>
      </c>
      <c r="E240">
        <v>1</v>
      </c>
      <c r="F240">
        <v>0</v>
      </c>
      <c r="I240" t="s">
        <v>426</v>
      </c>
      <c r="J240" t="str">
        <f>HYPERLINK("http://pbs.twimg.com/media/EU5_ogTX0AEIE1c.jpg", "http://pbs.twimg.com/media/EU5_ogTX0AEIE1c.jpg")</f>
        <v>http://pbs.twimg.com/media/EU5_ogTX0AEIE1c.jpg</v>
      </c>
      <c r="N240">
        <v>0</v>
      </c>
      <c r="O240">
        <v>0</v>
      </c>
      <c r="P240">
        <v>1</v>
      </c>
      <c r="Q240">
        <v>0</v>
      </c>
      <c r="R240">
        <f ca="1">RAND()</f>
        <v>0.90103207251769935</v>
      </c>
    </row>
    <row r="241" spans="1:18" x14ac:dyDescent="0.2">
      <c r="A241" s="1" t="str">
        <f>HYPERLINK("http://www.twitter.com/Ugo_Roux/status/1247058805172690944", "1247058805172690944")</f>
        <v>1247058805172690944</v>
      </c>
      <c r="B241" t="s">
        <v>142</v>
      </c>
      <c r="C241" s="3">
        <v>43927.298182870371</v>
      </c>
      <c r="D241" s="3" t="s">
        <v>17</v>
      </c>
      <c r="E241">
        <v>0</v>
      </c>
      <c r="F241">
        <v>1</v>
      </c>
      <c r="I241" t="s">
        <v>162</v>
      </c>
      <c r="N241">
        <v>0</v>
      </c>
      <c r="O241">
        <v>0</v>
      </c>
      <c r="P241">
        <v>1</v>
      </c>
      <c r="Q241">
        <v>0</v>
      </c>
    </row>
    <row r="242" spans="1:18" x14ac:dyDescent="0.2">
      <c r="A242" s="1" t="str">
        <f>HYPERLINK("http://www.twitter.com/Ugo_Roux/status/1246844570073251842", "1246844570073251842")</f>
        <v>1246844570073251842</v>
      </c>
      <c r="B242" t="s">
        <v>206</v>
      </c>
      <c r="C242" s="3">
        <v>43926.707002314812</v>
      </c>
      <c r="D242" s="3" t="s">
        <v>41</v>
      </c>
      <c r="E242">
        <v>7</v>
      </c>
      <c r="F242">
        <v>1</v>
      </c>
      <c r="I242" t="s">
        <v>232</v>
      </c>
      <c r="J242" t="str">
        <f>HYPERLINK("http://pbs.twimg.com/media/EU2ufvyWsAA2itb.jpg", "http://pbs.twimg.com/media/EU2ufvyWsAA2itb.jpg")</f>
        <v>http://pbs.twimg.com/media/EU2ufvyWsAA2itb.jpg</v>
      </c>
      <c r="N242">
        <v>0.5242</v>
      </c>
      <c r="O242">
        <v>0</v>
      </c>
      <c r="P242">
        <v>0.86699999999999999</v>
      </c>
      <c r="Q242">
        <v>0.13300000000000001</v>
      </c>
    </row>
    <row r="243" spans="1:18" x14ac:dyDescent="0.2">
      <c r="A243" s="1" t="str">
        <f>HYPERLINK("http://www.twitter.com/Ugo_Roux/status/1246753296196435968", "1246753296196435968")</f>
        <v>1246753296196435968</v>
      </c>
      <c r="B243" t="s">
        <v>47</v>
      </c>
      <c r="C243" s="3">
        <v>43926.455138888887</v>
      </c>
      <c r="D243" s="3" t="s">
        <v>17</v>
      </c>
      <c r="E243">
        <v>3</v>
      </c>
      <c r="F243">
        <v>1</v>
      </c>
      <c r="I243" t="s">
        <v>79</v>
      </c>
      <c r="N243">
        <v>0</v>
      </c>
      <c r="O243">
        <v>0</v>
      </c>
      <c r="P243">
        <v>1</v>
      </c>
      <c r="Q243">
        <v>0</v>
      </c>
    </row>
    <row r="244" spans="1:18" x14ac:dyDescent="0.2">
      <c r="A244" s="1" t="str">
        <f>HYPERLINK("http://www.twitter.com/Ugo_Roux/status/1246716157110947840", "1246716157110947840")</f>
        <v>1246716157110947840</v>
      </c>
      <c r="B244" t="s">
        <v>206</v>
      </c>
      <c r="C244" s="3">
        <v>43926.352650462963</v>
      </c>
      <c r="D244" s="3" t="s">
        <v>17</v>
      </c>
      <c r="E244">
        <v>0</v>
      </c>
      <c r="F244">
        <v>0</v>
      </c>
      <c r="I244" t="s">
        <v>254</v>
      </c>
      <c r="N244">
        <v>-0.40189999999999998</v>
      </c>
      <c r="O244">
        <v>0.124</v>
      </c>
      <c r="P244">
        <v>0.876</v>
      </c>
      <c r="Q244">
        <v>0</v>
      </c>
    </row>
    <row r="245" spans="1:18" x14ac:dyDescent="0.2">
      <c r="A245" s="1" t="str">
        <f>HYPERLINK("http://www.twitter.com/Ugo_Roux/status/1246709311914549248", "1246709311914549248")</f>
        <v>1246709311914549248</v>
      </c>
      <c r="B245" t="s">
        <v>97</v>
      </c>
      <c r="C245" s="3">
        <v>43926.333761574067</v>
      </c>
      <c r="D245" s="3" t="s">
        <v>17</v>
      </c>
      <c r="E245">
        <v>0</v>
      </c>
      <c r="F245">
        <v>0</v>
      </c>
      <c r="I245" t="s">
        <v>120</v>
      </c>
      <c r="J245" t="str">
        <f>HYPERLINK("http://pbs.twimg.com/media/EU0zgzoWsAA2hBl.jpg", "http://pbs.twimg.com/media/EU0zgzoWsAA2hBl.jpg")</f>
        <v>http://pbs.twimg.com/media/EU0zgzoWsAA2hBl.jpg</v>
      </c>
      <c r="N245">
        <v>0</v>
      </c>
      <c r="O245">
        <v>0</v>
      </c>
      <c r="P245">
        <v>1</v>
      </c>
      <c r="Q245">
        <v>0</v>
      </c>
    </row>
    <row r="246" spans="1:18" x14ac:dyDescent="0.2">
      <c r="A246" s="1" t="str">
        <f>HYPERLINK("http://www.twitter.com/Ugo_Roux/status/1246469032867479552", "1246469032867479552")</f>
        <v>1246469032867479552</v>
      </c>
      <c r="B246" t="s">
        <v>206</v>
      </c>
      <c r="C246" s="3">
        <v>43925.670717592591</v>
      </c>
      <c r="D246" s="3" t="s">
        <v>17</v>
      </c>
      <c r="E246">
        <v>1</v>
      </c>
      <c r="F246">
        <v>0</v>
      </c>
      <c r="I246" t="s">
        <v>264</v>
      </c>
      <c r="J246" t="str">
        <f>HYPERLINK("http://pbs.twimg.com/media/EUxYw1hXkAAb55l.jpg", "http://pbs.twimg.com/media/EUxYw1hXkAAb55l.jpg")</f>
        <v>http://pbs.twimg.com/media/EUxYw1hXkAAb55l.jpg</v>
      </c>
      <c r="N246">
        <v>0.44040000000000001</v>
      </c>
      <c r="O246">
        <v>0</v>
      </c>
      <c r="P246">
        <v>0.93100000000000005</v>
      </c>
      <c r="Q246">
        <v>6.9000000000000006E-2</v>
      </c>
    </row>
    <row r="247" spans="1:18" x14ac:dyDescent="0.2">
      <c r="A247" s="1" t="str">
        <f>HYPERLINK("http://www.twitter.com/Ugo_Roux/status/1246426144871759872", "1246426144871759872")</f>
        <v>1246426144871759872</v>
      </c>
      <c r="B247" t="s">
        <v>142</v>
      </c>
      <c r="C247" s="3">
        <v>43925.552372685182</v>
      </c>
      <c r="D247" s="3" t="s">
        <v>17</v>
      </c>
      <c r="E247">
        <v>1</v>
      </c>
      <c r="F247">
        <v>2</v>
      </c>
      <c r="I247" t="s">
        <v>183</v>
      </c>
      <c r="N247">
        <v>0</v>
      </c>
      <c r="O247">
        <v>0</v>
      </c>
      <c r="P247">
        <v>1</v>
      </c>
      <c r="Q247">
        <v>0</v>
      </c>
    </row>
    <row r="248" spans="1:18" x14ac:dyDescent="0.2">
      <c r="A248" s="1" t="str">
        <f>HYPERLINK("http://www.twitter.com/Ugo_Roux/status/1246425384624762880", "1246425384624762880")</f>
        <v>1246425384624762880</v>
      </c>
      <c r="B248" t="s">
        <v>142</v>
      </c>
      <c r="C248" s="3">
        <v>43925.550266203703</v>
      </c>
      <c r="D248" s="3" t="s">
        <v>17</v>
      </c>
      <c r="E248">
        <v>0</v>
      </c>
      <c r="F248">
        <v>0</v>
      </c>
      <c r="I248" t="s">
        <v>367</v>
      </c>
      <c r="N248">
        <v>0</v>
      </c>
      <c r="O248">
        <v>0</v>
      </c>
      <c r="P248">
        <v>1</v>
      </c>
      <c r="Q248">
        <v>0</v>
      </c>
    </row>
    <row r="249" spans="1:18" x14ac:dyDescent="0.2">
      <c r="A249" s="1" t="str">
        <f>HYPERLINK("http://www.twitter.com/Ugo_Roux/status/1246372659283329026", "1246372659283329026")</f>
        <v>1246372659283329026</v>
      </c>
      <c r="B249" t="s">
        <v>425</v>
      </c>
      <c r="C249" s="3">
        <v>43925.404780092591</v>
      </c>
      <c r="D249" s="3" t="s">
        <v>17</v>
      </c>
      <c r="E249">
        <v>0</v>
      </c>
      <c r="F249">
        <v>0</v>
      </c>
      <c r="I249" t="s">
        <v>451</v>
      </c>
      <c r="J249" t="str">
        <f>HYPERLINK("http://pbs.twimg.com/media/EUv_0WrWoAAc7KK.jpg", "http://pbs.twimg.com/media/EUv_0WrWoAAc7KK.jpg")</f>
        <v>http://pbs.twimg.com/media/EUv_0WrWoAAc7KK.jpg</v>
      </c>
      <c r="N249">
        <v>0</v>
      </c>
      <c r="O249">
        <v>0</v>
      </c>
      <c r="P249">
        <v>1</v>
      </c>
      <c r="Q249">
        <v>0</v>
      </c>
      <c r="R249">
        <f ca="1">RAND()</f>
        <v>0.88630902707065884</v>
      </c>
    </row>
    <row r="250" spans="1:18" x14ac:dyDescent="0.2">
      <c r="A250" s="1" t="str">
        <f>HYPERLINK("http://www.twitter.com/Ugo_Roux/status/1246332463527452672", "1246332463527452672")</f>
        <v>1246332463527452672</v>
      </c>
      <c r="B250" t="s">
        <v>97</v>
      </c>
      <c r="C250" s="3">
        <v>43925.293854166674</v>
      </c>
      <c r="D250" s="3" t="s">
        <v>17</v>
      </c>
      <c r="E250">
        <v>1</v>
      </c>
      <c r="F250">
        <v>0</v>
      </c>
      <c r="I250" t="s">
        <v>121</v>
      </c>
      <c r="J250" t="str">
        <f>HYPERLINK("http://pbs.twimg.com/media/EUvcxTfXYAESYGu.jpg", "http://pbs.twimg.com/media/EUvcxTfXYAESYGu.jpg")</f>
        <v>http://pbs.twimg.com/media/EUvcxTfXYAESYGu.jpg</v>
      </c>
      <c r="N250">
        <v>0</v>
      </c>
      <c r="O250">
        <v>0</v>
      </c>
      <c r="P250">
        <v>1</v>
      </c>
      <c r="Q250">
        <v>0</v>
      </c>
    </row>
    <row r="251" spans="1:18" x14ac:dyDescent="0.2">
      <c r="A251" s="1" t="str">
        <f>HYPERLINK("http://www.twitter.com/Ugo_Roux/status/1246332417541132289", "1246332417541132289")</f>
        <v>1246332417541132289</v>
      </c>
      <c r="B251" t="s">
        <v>370</v>
      </c>
      <c r="C251" s="3">
        <v>43925.293726851851</v>
      </c>
      <c r="D251" s="3" t="s">
        <v>17</v>
      </c>
      <c r="E251">
        <v>0</v>
      </c>
      <c r="F251">
        <v>0</v>
      </c>
      <c r="I251" t="s">
        <v>399</v>
      </c>
      <c r="J251" t="str">
        <f>HYPERLINK("http://pbs.twimg.com/media/EUvcupfXgAA6JNY.jpg", "http://pbs.twimg.com/media/EUvcupfXgAA6JNY.jpg")</f>
        <v>http://pbs.twimg.com/media/EUvcupfXgAA6JNY.jpg</v>
      </c>
      <c r="N251">
        <v>0</v>
      </c>
      <c r="O251">
        <v>0</v>
      </c>
      <c r="P251">
        <v>1</v>
      </c>
      <c r="Q251">
        <v>0</v>
      </c>
    </row>
    <row r="252" spans="1:18" x14ac:dyDescent="0.2">
      <c r="A252" s="1" t="str">
        <f>HYPERLINK("http://www.twitter.com/Ugo_Roux/status/1246108730208501761", "1246108730208501761")</f>
        <v>1246108730208501761</v>
      </c>
      <c r="B252" t="s">
        <v>206</v>
      </c>
      <c r="C252" s="3">
        <v>43924.676469907397</v>
      </c>
      <c r="D252" s="3" t="s">
        <v>41</v>
      </c>
      <c r="E252">
        <v>5</v>
      </c>
      <c r="F252">
        <v>0</v>
      </c>
      <c r="I252" t="s">
        <v>230</v>
      </c>
      <c r="J252" t="str">
        <f>HYPERLINK("http://pbs.twimg.com/media/EUsRG9KXsAAnweU.jpg", "http://pbs.twimg.com/media/EUsRG9KXsAAnweU.jpg")</f>
        <v>http://pbs.twimg.com/media/EUsRG9KXsAAnweU.jpg</v>
      </c>
      <c r="K252" t="str">
        <f>HYPERLINK("http://pbs.twimg.com/media/EUsRKveXsAMJ2Y3.jpg", "http://pbs.twimg.com/media/EUsRKveXsAMJ2Y3.jpg")</f>
        <v>http://pbs.twimg.com/media/EUsRKveXsAMJ2Y3.jpg</v>
      </c>
      <c r="L252" t="str">
        <f>HYPERLINK("http://pbs.twimg.com/media/EUsROYvWkAALINT.jpg", "http://pbs.twimg.com/media/EUsROYvWkAALINT.jpg")</f>
        <v>http://pbs.twimg.com/media/EUsROYvWkAALINT.jpg</v>
      </c>
      <c r="N252">
        <v>0</v>
      </c>
      <c r="O252">
        <v>0</v>
      </c>
      <c r="P252">
        <v>1</v>
      </c>
      <c r="Q252">
        <v>0</v>
      </c>
    </row>
    <row r="253" spans="1:18" x14ac:dyDescent="0.2">
      <c r="A253" s="1" t="str">
        <f>HYPERLINK("http://www.twitter.com/Ugo_Roux/status/1246091711400599556", "1246091711400599556")</f>
        <v>1246091711400599556</v>
      </c>
      <c r="B253" t="s">
        <v>47</v>
      </c>
      <c r="C253" s="3">
        <v>43924.629502314812</v>
      </c>
      <c r="D253" s="3" t="s">
        <v>41</v>
      </c>
      <c r="E253">
        <v>3</v>
      </c>
      <c r="F253">
        <v>0</v>
      </c>
      <c r="I253" t="s">
        <v>80</v>
      </c>
      <c r="N253">
        <v>0</v>
      </c>
      <c r="O253">
        <v>0</v>
      </c>
      <c r="P253">
        <v>1</v>
      </c>
      <c r="Q253">
        <v>0</v>
      </c>
    </row>
    <row r="254" spans="1:18" x14ac:dyDescent="0.2">
      <c r="A254" s="1" t="str">
        <f>HYPERLINK("http://www.twitter.com/Ugo_Roux/status/1246078348083765248", "1246078348083765248")</f>
        <v>1246078348083765248</v>
      </c>
      <c r="B254" t="s">
        <v>206</v>
      </c>
      <c r="C254" s="3">
        <v>43924.592627314807</v>
      </c>
      <c r="D254" s="3" t="s">
        <v>17</v>
      </c>
      <c r="E254">
        <v>2</v>
      </c>
      <c r="F254">
        <v>0</v>
      </c>
      <c r="I254" t="s">
        <v>348</v>
      </c>
      <c r="N254">
        <v>0</v>
      </c>
      <c r="O254">
        <v>0</v>
      </c>
      <c r="P254">
        <v>1</v>
      </c>
      <c r="Q254">
        <v>0</v>
      </c>
    </row>
    <row r="255" spans="1:18" x14ac:dyDescent="0.2">
      <c r="A255" s="1" t="str">
        <f>HYPERLINK("http://www.twitter.com/Ugo_Roux/status/1246009500533960705", "1246009500533960705")</f>
        <v>1246009500533960705</v>
      </c>
      <c r="B255" t="s">
        <v>142</v>
      </c>
      <c r="C255" s="3">
        <v>43924.402650462973</v>
      </c>
      <c r="D255" s="3" t="s">
        <v>17</v>
      </c>
      <c r="E255">
        <v>1</v>
      </c>
      <c r="F255">
        <v>1</v>
      </c>
      <c r="I255" t="s">
        <v>161</v>
      </c>
      <c r="J255" t="str">
        <f>HYPERLINK("http://pbs.twimg.com/media/EUq3B2jUcAANmnB.jpg", "http://pbs.twimg.com/media/EUq3B2jUcAANmnB.jpg")</f>
        <v>http://pbs.twimg.com/media/EUq3B2jUcAANmnB.jpg</v>
      </c>
      <c r="N255">
        <v>0</v>
      </c>
      <c r="O255">
        <v>0</v>
      </c>
      <c r="P255">
        <v>1</v>
      </c>
      <c r="Q255">
        <v>0</v>
      </c>
    </row>
    <row r="256" spans="1:18" x14ac:dyDescent="0.2">
      <c r="A256" s="1" t="str">
        <f>HYPERLINK("http://www.twitter.com/Ugo_Roux/status/1245962668550148096", "1245962668550148096")</f>
        <v>1245962668550148096</v>
      </c>
      <c r="B256" t="s">
        <v>370</v>
      </c>
      <c r="C256" s="3">
        <v>43924.273414351846</v>
      </c>
      <c r="D256" s="3" t="s">
        <v>17</v>
      </c>
      <c r="E256">
        <v>0</v>
      </c>
      <c r="F256">
        <v>0</v>
      </c>
      <c r="I256" t="s">
        <v>400</v>
      </c>
      <c r="J256" t="str">
        <f>HYPERLINK("http://pbs.twimg.com/media/EUqMccYUUAACozP.jpg", "http://pbs.twimg.com/media/EUqMccYUUAACozP.jpg")</f>
        <v>http://pbs.twimg.com/media/EUqMccYUUAACozP.jpg</v>
      </c>
      <c r="N256">
        <v>0</v>
      </c>
      <c r="O256">
        <v>0</v>
      </c>
      <c r="P256">
        <v>1</v>
      </c>
      <c r="Q256">
        <v>0</v>
      </c>
    </row>
    <row r="257" spans="1:18" x14ac:dyDescent="0.2">
      <c r="A257" s="1" t="str">
        <f>HYPERLINK("http://www.twitter.com/Ugo_Roux/status/1245962430729072645", "1245962430729072645")</f>
        <v>1245962430729072645</v>
      </c>
      <c r="B257" t="s">
        <v>370</v>
      </c>
      <c r="C257" s="3">
        <v>43924.272766203707</v>
      </c>
      <c r="D257" s="3" t="s">
        <v>17</v>
      </c>
      <c r="E257">
        <v>0</v>
      </c>
      <c r="F257">
        <v>0</v>
      </c>
      <c r="I257" t="s">
        <v>401</v>
      </c>
      <c r="J257" t="str">
        <f>HYPERLINK("http://pbs.twimg.com/media/EUqMOkOU0AEz0gN.jpg", "http://pbs.twimg.com/media/EUqMOkOU0AEz0gN.jpg")</f>
        <v>http://pbs.twimg.com/media/EUqMOkOU0AEz0gN.jpg</v>
      </c>
      <c r="N257">
        <v>0</v>
      </c>
      <c r="O257">
        <v>0</v>
      </c>
      <c r="P257">
        <v>1</v>
      </c>
      <c r="Q257">
        <v>0</v>
      </c>
    </row>
    <row r="258" spans="1:18" x14ac:dyDescent="0.2">
      <c r="A258" s="1" t="str">
        <f>HYPERLINK("http://www.twitter.com/Ugo_Roux/status/1245949102443069441", "1245949102443069441")</f>
        <v>1245949102443069441</v>
      </c>
      <c r="B258" t="s">
        <v>285</v>
      </c>
      <c r="C258" s="3">
        <v>43924.235983796287</v>
      </c>
      <c r="D258" s="3" t="s">
        <v>17</v>
      </c>
      <c r="E258">
        <v>3</v>
      </c>
      <c r="F258">
        <v>2</v>
      </c>
      <c r="I258" t="s">
        <v>313</v>
      </c>
      <c r="J258" t="str">
        <f>HYPERLINK("http://pbs.twimg.com/media/EUp_2y4XYAIRLhG.jpg", "http://pbs.twimg.com/media/EUp_2y4XYAIRLhG.jpg")</f>
        <v>http://pbs.twimg.com/media/EUp_2y4XYAIRLhG.jpg</v>
      </c>
      <c r="N258">
        <v>0</v>
      </c>
      <c r="O258">
        <v>0</v>
      </c>
      <c r="P258">
        <v>1</v>
      </c>
      <c r="Q258">
        <v>0</v>
      </c>
    </row>
    <row r="259" spans="1:18" x14ac:dyDescent="0.2">
      <c r="A259" s="1" t="str">
        <f>HYPERLINK("http://www.twitter.com/Ugo_Roux/status/1245784797437452289", "1245784797437452289")</f>
        <v>1245784797437452289</v>
      </c>
      <c r="B259" t="s">
        <v>47</v>
      </c>
      <c r="C259" s="3">
        <v>43923.782581018517</v>
      </c>
      <c r="D259" s="3" t="s">
        <v>17</v>
      </c>
      <c r="E259">
        <v>2</v>
      </c>
      <c r="F259">
        <v>0</v>
      </c>
      <c r="I259" t="s">
        <v>81</v>
      </c>
      <c r="N259">
        <v>0</v>
      </c>
      <c r="O259">
        <v>0</v>
      </c>
      <c r="P259">
        <v>1</v>
      </c>
      <c r="Q259">
        <v>0</v>
      </c>
    </row>
    <row r="260" spans="1:18" x14ac:dyDescent="0.2">
      <c r="A260" s="1" t="str">
        <f>HYPERLINK("http://www.twitter.com/Ugo_Roux/status/1245747867375022081", "1245747867375022081")</f>
        <v>1245747867375022081</v>
      </c>
      <c r="B260" t="s">
        <v>47</v>
      </c>
      <c r="C260" s="3">
        <v>43923.68068287037</v>
      </c>
      <c r="D260" s="3" t="s">
        <v>17</v>
      </c>
      <c r="E260">
        <v>6</v>
      </c>
      <c r="F260">
        <v>0</v>
      </c>
      <c r="I260" t="s">
        <v>82</v>
      </c>
      <c r="N260">
        <v>0</v>
      </c>
      <c r="O260">
        <v>0</v>
      </c>
      <c r="P260">
        <v>1</v>
      </c>
      <c r="Q260">
        <v>0</v>
      </c>
    </row>
    <row r="261" spans="1:18" x14ac:dyDescent="0.2">
      <c r="A261" s="1" t="str">
        <f>HYPERLINK("http://www.twitter.com/Ugo_Roux/status/1245742978251055106", "1245742978251055106")</f>
        <v>1245742978251055106</v>
      </c>
      <c r="B261" t="s">
        <v>206</v>
      </c>
      <c r="C261" s="3">
        <v>43923.667187500003</v>
      </c>
      <c r="D261" s="3" t="s">
        <v>17</v>
      </c>
      <c r="E261">
        <v>1</v>
      </c>
      <c r="F261">
        <v>0</v>
      </c>
      <c r="I261" t="s">
        <v>251</v>
      </c>
      <c r="N261">
        <v>0</v>
      </c>
      <c r="O261">
        <v>0</v>
      </c>
      <c r="P261">
        <v>1</v>
      </c>
      <c r="Q261">
        <v>0</v>
      </c>
    </row>
    <row r="262" spans="1:18" x14ac:dyDescent="0.2">
      <c r="A262" s="1" t="str">
        <f>HYPERLINK("http://www.twitter.com/Ugo_Roux/status/1245739004089303042", "1245739004089303042")</f>
        <v>1245739004089303042</v>
      </c>
      <c r="B262" t="s">
        <v>206</v>
      </c>
      <c r="C262" s="3">
        <v>43923.656215277777</v>
      </c>
      <c r="D262" s="3" t="s">
        <v>17</v>
      </c>
      <c r="E262">
        <v>3</v>
      </c>
      <c r="F262">
        <v>0</v>
      </c>
      <c r="I262" t="s">
        <v>273</v>
      </c>
      <c r="J262" t="str">
        <f>HYPERLINK("http://pbs.twimg.com/media/EUm9WgxX0AYUvWd.jpg", "http://pbs.twimg.com/media/EUm9WgxX0AYUvWd.jpg")</f>
        <v>http://pbs.twimg.com/media/EUm9WgxX0AYUvWd.jpg</v>
      </c>
      <c r="N262">
        <v>0</v>
      </c>
      <c r="O262">
        <v>0</v>
      </c>
      <c r="P262">
        <v>1</v>
      </c>
      <c r="Q262">
        <v>0</v>
      </c>
    </row>
    <row r="263" spans="1:18" x14ac:dyDescent="0.2">
      <c r="A263" s="1" t="str">
        <f>HYPERLINK("http://www.twitter.com/Ugo_Roux/status/1245711280578715648", "1245711280578715648")</f>
        <v>1245711280578715648</v>
      </c>
      <c r="B263" t="s">
        <v>206</v>
      </c>
      <c r="C263" s="3">
        <v>43923.579722222217</v>
      </c>
      <c r="D263" s="3" t="s">
        <v>17</v>
      </c>
      <c r="E263">
        <v>2</v>
      </c>
      <c r="F263">
        <v>0</v>
      </c>
      <c r="I263" t="s">
        <v>246</v>
      </c>
      <c r="N263">
        <v>0</v>
      </c>
      <c r="O263">
        <v>0</v>
      </c>
      <c r="P263">
        <v>1</v>
      </c>
      <c r="Q263">
        <v>0</v>
      </c>
    </row>
    <row r="264" spans="1:18" x14ac:dyDescent="0.2">
      <c r="A264" s="1" t="str">
        <f>HYPERLINK("http://www.twitter.com/Ugo_Roux/status/1245709835208986625", "1245709835208986625")</f>
        <v>1245709835208986625</v>
      </c>
      <c r="B264" t="s">
        <v>206</v>
      </c>
      <c r="C264" s="3">
        <v>43923.575729166667</v>
      </c>
      <c r="D264" s="3" t="s">
        <v>17</v>
      </c>
      <c r="E264">
        <v>1</v>
      </c>
      <c r="F264">
        <v>0</v>
      </c>
      <c r="I264" t="s">
        <v>248</v>
      </c>
      <c r="N264">
        <v>0</v>
      </c>
      <c r="O264">
        <v>0</v>
      </c>
      <c r="P264">
        <v>1</v>
      </c>
      <c r="Q264">
        <v>0</v>
      </c>
    </row>
    <row r="265" spans="1:18" x14ac:dyDescent="0.2">
      <c r="A265" s="1" t="str">
        <f>HYPERLINK("http://www.twitter.com/Ugo_Roux/status/1245651528494415878", "1245651528494415878")</f>
        <v>1245651528494415878</v>
      </c>
      <c r="B265" t="s">
        <v>425</v>
      </c>
      <c r="C265" s="3">
        <v>43923.414837962962</v>
      </c>
      <c r="D265" s="3" t="s">
        <v>17</v>
      </c>
      <c r="E265">
        <v>1</v>
      </c>
      <c r="F265">
        <v>0</v>
      </c>
      <c r="I265" t="s">
        <v>438</v>
      </c>
      <c r="J265" t="str">
        <f>HYPERLINK("http://pbs.twimg.com/media/EUlxbhWUMAIx02d.jpg", "http://pbs.twimg.com/media/EUlxbhWUMAIx02d.jpg")</f>
        <v>http://pbs.twimg.com/media/EUlxbhWUMAIx02d.jpg</v>
      </c>
      <c r="N265">
        <v>0</v>
      </c>
      <c r="O265">
        <v>0</v>
      </c>
      <c r="P265">
        <v>1</v>
      </c>
      <c r="Q265">
        <v>0</v>
      </c>
      <c r="R265">
        <f ca="1">RAND()</f>
        <v>8.3685960562524864E-2</v>
      </c>
    </row>
    <row r="266" spans="1:18" x14ac:dyDescent="0.2">
      <c r="A266" s="1" t="str">
        <f>HYPERLINK("http://www.twitter.com/Ugo_Roux/status/1245644048011915267", "1245644048011915267")</f>
        <v>1245644048011915267</v>
      </c>
      <c r="B266" t="s">
        <v>142</v>
      </c>
      <c r="C266" s="3">
        <v>43923.394189814811</v>
      </c>
      <c r="D266" s="3" t="s">
        <v>41</v>
      </c>
      <c r="E266">
        <v>2</v>
      </c>
      <c r="F266">
        <v>1</v>
      </c>
      <c r="I266" t="s">
        <v>368</v>
      </c>
      <c r="J266" t="str">
        <f>HYPERLINK("http://pbs.twimg.com/media/EUlqpRVUwAY_j0I.jpg", "http://pbs.twimg.com/media/EUlqpRVUwAY_j0I.jpg")</f>
        <v>http://pbs.twimg.com/media/EUlqpRVUwAY_j0I.jpg</v>
      </c>
      <c r="N266">
        <v>-0.53990000000000005</v>
      </c>
      <c r="O266">
        <v>0.13100000000000001</v>
      </c>
      <c r="P266">
        <v>0.82</v>
      </c>
      <c r="Q266">
        <v>4.9000000000000002E-2</v>
      </c>
    </row>
    <row r="267" spans="1:18" x14ac:dyDescent="0.2">
      <c r="A267" s="1" t="str">
        <f>HYPERLINK("http://www.twitter.com/Ugo_Roux/status/1245629174288547842", "1245629174288547842")</f>
        <v>1245629174288547842</v>
      </c>
      <c r="B267" t="s">
        <v>16</v>
      </c>
      <c r="C267" s="3">
        <v>43923.353148148148</v>
      </c>
      <c r="D267" s="3" t="s">
        <v>28</v>
      </c>
      <c r="E267">
        <v>1</v>
      </c>
      <c r="F267">
        <v>0</v>
      </c>
      <c r="I267" t="s">
        <v>38</v>
      </c>
      <c r="N267">
        <v>0</v>
      </c>
      <c r="O267">
        <v>0</v>
      </c>
      <c r="P267">
        <v>1</v>
      </c>
      <c r="Q267">
        <v>0</v>
      </c>
    </row>
    <row r="268" spans="1:18" x14ac:dyDescent="0.2">
      <c r="A268" s="1" t="str">
        <f>HYPERLINK("http://www.twitter.com/Ugo_Roux/status/1245625711034945539", "1245625711034945539")</f>
        <v>1245625711034945539</v>
      </c>
      <c r="B268" t="s">
        <v>142</v>
      </c>
      <c r="C268" s="3">
        <v>43923.343587962961</v>
      </c>
      <c r="D268" s="3" t="s">
        <v>17</v>
      </c>
      <c r="E268">
        <v>2</v>
      </c>
      <c r="F268">
        <v>1</v>
      </c>
      <c r="I268" t="s">
        <v>178</v>
      </c>
      <c r="N268">
        <v>0</v>
      </c>
      <c r="O268">
        <v>0</v>
      </c>
      <c r="P268">
        <v>1</v>
      </c>
      <c r="Q268">
        <v>0</v>
      </c>
    </row>
    <row r="269" spans="1:18" x14ac:dyDescent="0.2">
      <c r="A269" s="1" t="str">
        <f>HYPERLINK("http://www.twitter.com/Ugo_Roux/status/1245616274693971970", "1245616274693971970")</f>
        <v>1245616274693971970</v>
      </c>
      <c r="B269" t="s">
        <v>370</v>
      </c>
      <c r="C269" s="3">
        <v>43923.317546296297</v>
      </c>
      <c r="D269" s="3" t="s">
        <v>17</v>
      </c>
      <c r="E269">
        <v>0</v>
      </c>
      <c r="F269">
        <v>0</v>
      </c>
      <c r="I269" t="s">
        <v>402</v>
      </c>
      <c r="J269" t="str">
        <f>HYPERLINK("http://pbs.twimg.com/media/EUlRZo3U4AA1NWm.jpg", "http://pbs.twimg.com/media/EUlRZo3U4AA1NWm.jpg")</f>
        <v>http://pbs.twimg.com/media/EUlRZo3U4AA1NWm.jpg</v>
      </c>
      <c r="N269">
        <v>0</v>
      </c>
      <c r="O269">
        <v>0</v>
      </c>
      <c r="P269">
        <v>1</v>
      </c>
      <c r="Q269">
        <v>0</v>
      </c>
    </row>
    <row r="270" spans="1:18" x14ac:dyDescent="0.2">
      <c r="A270" s="1" t="str">
        <f>HYPERLINK("http://www.twitter.com/Ugo_Roux/status/1245595395842961411", "1245595395842961411")</f>
        <v>1245595395842961411</v>
      </c>
      <c r="B270" t="s">
        <v>285</v>
      </c>
      <c r="C270" s="3">
        <v>43923.259942129633</v>
      </c>
      <c r="D270" s="3" t="s">
        <v>17</v>
      </c>
      <c r="E270">
        <v>1</v>
      </c>
      <c r="F270">
        <v>1</v>
      </c>
      <c r="I270" t="s">
        <v>314</v>
      </c>
      <c r="J270" t="str">
        <f>HYPERLINK("http://pbs.twimg.com/media/EUk-Ru3U0AA_ams.jpg", "http://pbs.twimg.com/media/EUk-Ru3U0AA_ams.jpg")</f>
        <v>http://pbs.twimg.com/media/EUk-Ru3U0AA_ams.jpg</v>
      </c>
      <c r="N270">
        <v>0</v>
      </c>
      <c r="O270">
        <v>0</v>
      </c>
      <c r="P270">
        <v>1</v>
      </c>
      <c r="Q270">
        <v>0</v>
      </c>
    </row>
    <row r="271" spans="1:18" x14ac:dyDescent="0.2">
      <c r="A271" s="1" t="str">
        <f>HYPERLINK("http://www.twitter.com/Ugo_Roux/status/1245406742218973184", "1245406742218973184")</f>
        <v>1245406742218973184</v>
      </c>
      <c r="B271" t="s">
        <v>97</v>
      </c>
      <c r="C271" s="3">
        <v>43922.739351851851</v>
      </c>
      <c r="D271" s="3" t="s">
        <v>41</v>
      </c>
      <c r="E271">
        <v>1</v>
      </c>
      <c r="F271">
        <v>0</v>
      </c>
      <c r="I271" t="s">
        <v>122</v>
      </c>
      <c r="J271" t="str">
        <f>HYPERLINK("http://pbs.twimg.com/media/EUiS1PMWoAAWg07.jpg", "http://pbs.twimg.com/media/EUiS1PMWoAAWg07.jpg")</f>
        <v>http://pbs.twimg.com/media/EUiS1PMWoAAWg07.jpg</v>
      </c>
      <c r="N271">
        <v>0</v>
      </c>
      <c r="O271">
        <v>0</v>
      </c>
      <c r="P271">
        <v>1</v>
      </c>
      <c r="Q271">
        <v>0</v>
      </c>
    </row>
    <row r="272" spans="1:18" x14ac:dyDescent="0.2">
      <c r="A272" s="1" t="str">
        <f>HYPERLINK("http://www.twitter.com/Ugo_Roux/status/1245379074119344129", "1245379074119344129")</f>
        <v>1245379074119344129</v>
      </c>
      <c r="B272" t="s">
        <v>206</v>
      </c>
      <c r="C272" s="3">
        <v>43922.662997685176</v>
      </c>
      <c r="D272" s="3" t="s">
        <v>41</v>
      </c>
      <c r="E272">
        <v>2</v>
      </c>
      <c r="F272">
        <v>0</v>
      </c>
      <c r="I272" t="s">
        <v>212</v>
      </c>
      <c r="J272" t="str">
        <f>HYPERLINK("http://pbs.twimg.com/media/EUh5oZlXsAMh43H.jpg", "http://pbs.twimg.com/media/EUh5oZlXsAMh43H.jpg")</f>
        <v>http://pbs.twimg.com/media/EUh5oZlXsAMh43H.jpg</v>
      </c>
      <c r="K272" t="str">
        <f>HYPERLINK("http://pbs.twimg.com/media/EUh5p8OWkAAKTP-.jpg", "http://pbs.twimg.com/media/EUh5p8OWkAAKTP-.jpg")</f>
        <v>http://pbs.twimg.com/media/EUh5p8OWkAAKTP-.jpg</v>
      </c>
      <c r="N272">
        <v>0</v>
      </c>
      <c r="O272">
        <v>0</v>
      </c>
      <c r="P272">
        <v>1</v>
      </c>
      <c r="Q272">
        <v>0</v>
      </c>
    </row>
    <row r="273" spans="1:17" x14ac:dyDescent="0.2">
      <c r="A273" s="1" t="str">
        <f>HYPERLINK("http://www.twitter.com/Ugo_Roux/status/1245372346220851200", "1245372346220851200")</f>
        <v>1245372346220851200</v>
      </c>
      <c r="B273" t="s">
        <v>285</v>
      </c>
      <c r="C273" s="3">
        <v>43922.644432870373</v>
      </c>
      <c r="D273" s="3" t="s">
        <v>24</v>
      </c>
      <c r="E273">
        <v>2</v>
      </c>
      <c r="F273">
        <v>0</v>
      </c>
      <c r="I273" t="s">
        <v>287</v>
      </c>
      <c r="J273" t="str">
        <f>HYPERLINK("http://pbs.twimg.com/media/EUhzhf8XkAAOjCt.jpg", "http://pbs.twimg.com/media/EUhzhf8XkAAOjCt.jpg")</f>
        <v>http://pbs.twimg.com/media/EUhzhf8XkAAOjCt.jpg</v>
      </c>
      <c r="N273">
        <v>0</v>
      </c>
      <c r="O273">
        <v>0</v>
      </c>
      <c r="P273">
        <v>1</v>
      </c>
      <c r="Q273">
        <v>0</v>
      </c>
    </row>
    <row r="274" spans="1:17" x14ac:dyDescent="0.2">
      <c r="A274" s="1" t="str">
        <f>HYPERLINK("http://www.twitter.com/Ugo_Roux/status/1245357979949510658", "1245357979949510658")</f>
        <v>1245357979949510658</v>
      </c>
      <c r="B274" t="s">
        <v>47</v>
      </c>
      <c r="C274" s="3">
        <v>43922.604791666658</v>
      </c>
      <c r="D274" s="3" t="s">
        <v>17</v>
      </c>
      <c r="E274">
        <v>2</v>
      </c>
      <c r="F274">
        <v>0</v>
      </c>
      <c r="I274" t="s">
        <v>83</v>
      </c>
      <c r="N274">
        <v>0</v>
      </c>
      <c r="O274">
        <v>0</v>
      </c>
      <c r="P274">
        <v>1</v>
      </c>
      <c r="Q274">
        <v>0</v>
      </c>
    </row>
    <row r="275" spans="1:17" x14ac:dyDescent="0.2">
      <c r="A275" s="1" t="str">
        <f>HYPERLINK("http://www.twitter.com/Ugo_Roux/status/1245352334386966529", "1245352334386966529")</f>
        <v>1245352334386966529</v>
      </c>
      <c r="B275" t="s">
        <v>130</v>
      </c>
      <c r="C275" s="3">
        <v>43922.589212962957</v>
      </c>
      <c r="D275" s="3" t="s">
        <v>17</v>
      </c>
      <c r="E275">
        <v>0</v>
      </c>
      <c r="F275">
        <v>0</v>
      </c>
      <c r="I275" t="s">
        <v>139</v>
      </c>
      <c r="J275" t="str">
        <f>HYPERLINK("http://pbs.twimg.com/media/EUhhM2hXgAU7Wrn.jpg", "http://pbs.twimg.com/media/EUhhM2hXgAU7Wrn.jpg")</f>
        <v>http://pbs.twimg.com/media/EUhhM2hXgAU7Wrn.jpg</v>
      </c>
      <c r="N275">
        <v>-0.128</v>
      </c>
      <c r="O275">
        <v>5.8999999999999997E-2</v>
      </c>
      <c r="P275">
        <v>0.94099999999999995</v>
      </c>
      <c r="Q275">
        <v>0</v>
      </c>
    </row>
    <row r="276" spans="1:17" x14ac:dyDescent="0.2">
      <c r="A276" s="1" t="str">
        <f>HYPERLINK("http://www.twitter.com/Ugo_Roux/status/1245316793436114944", "1245316793436114944")</f>
        <v>1245316793436114944</v>
      </c>
      <c r="B276" t="s">
        <v>16</v>
      </c>
      <c r="C276" s="3">
        <v>43922.49114583333</v>
      </c>
      <c r="D276" s="3" t="s">
        <v>28</v>
      </c>
      <c r="E276">
        <v>0</v>
      </c>
      <c r="F276">
        <v>0</v>
      </c>
      <c r="I276" t="s">
        <v>29</v>
      </c>
      <c r="N276">
        <v>0</v>
      </c>
      <c r="O276">
        <v>0</v>
      </c>
      <c r="P276">
        <v>1</v>
      </c>
      <c r="Q276">
        <v>0</v>
      </c>
    </row>
    <row r="277" spans="1:17" x14ac:dyDescent="0.2">
      <c r="A277" s="1" t="str">
        <f>HYPERLINK("http://www.twitter.com/Ugo_Roux/status/1245307365370613761", "1245307365370613761")</f>
        <v>1245307365370613761</v>
      </c>
      <c r="B277" t="s">
        <v>47</v>
      </c>
      <c r="C277" s="3">
        <v>43922.465127314812</v>
      </c>
      <c r="D277" s="3" t="s">
        <v>17</v>
      </c>
      <c r="E277">
        <v>0</v>
      </c>
      <c r="F277">
        <v>1</v>
      </c>
      <c r="I277" t="s">
        <v>84</v>
      </c>
      <c r="N277">
        <v>0</v>
      </c>
      <c r="O277">
        <v>0</v>
      </c>
      <c r="P277">
        <v>1</v>
      </c>
      <c r="Q277">
        <v>0</v>
      </c>
    </row>
    <row r="278" spans="1:17" x14ac:dyDescent="0.2">
      <c r="A278" s="1" t="str">
        <f>HYPERLINK("http://www.twitter.com/Ugo_Roux/status/1245306469765001216", "1245306469765001216")</f>
        <v>1245306469765001216</v>
      </c>
      <c r="B278" t="s">
        <v>47</v>
      </c>
      <c r="C278" s="3">
        <v>43922.462650462963</v>
      </c>
      <c r="D278" s="3" t="s">
        <v>17</v>
      </c>
      <c r="E278">
        <v>2</v>
      </c>
      <c r="F278">
        <v>1</v>
      </c>
      <c r="I278" t="s">
        <v>85</v>
      </c>
      <c r="N278">
        <v>0</v>
      </c>
      <c r="O278">
        <v>0</v>
      </c>
      <c r="P278">
        <v>1</v>
      </c>
      <c r="Q278">
        <v>0</v>
      </c>
    </row>
    <row r="279" spans="1:17" x14ac:dyDescent="0.2">
      <c r="A279" s="1" t="str">
        <f>HYPERLINK("http://www.twitter.com/Ugo_Roux/status/1245279630686371840", "1245279630686371840")</f>
        <v>1245279630686371840</v>
      </c>
      <c r="B279" t="s">
        <v>142</v>
      </c>
      <c r="C279" s="3">
        <v>43922.38858796296</v>
      </c>
      <c r="D279" s="3" t="s">
        <v>17</v>
      </c>
      <c r="E279">
        <v>0</v>
      </c>
      <c r="F279">
        <v>1</v>
      </c>
      <c r="I279" t="s">
        <v>158</v>
      </c>
      <c r="J279" t="str">
        <f>HYPERLINK("http://pbs.twimg.com/media/EUgfOGIWsAE3UeV.jpg", "http://pbs.twimg.com/media/EUgfOGIWsAE3UeV.jpg")</f>
        <v>http://pbs.twimg.com/media/EUgfOGIWsAE3UeV.jpg</v>
      </c>
      <c r="N279">
        <v>0.49259999999999998</v>
      </c>
      <c r="O279">
        <v>0</v>
      </c>
      <c r="P279">
        <v>0.91900000000000004</v>
      </c>
      <c r="Q279">
        <v>8.1000000000000003E-2</v>
      </c>
    </row>
    <row r="280" spans="1:17" x14ac:dyDescent="0.2">
      <c r="A280" s="1" t="str">
        <f>HYPERLINK("http://www.twitter.com/Ugo_Roux/status/1245267762420879361", "1245267762420879361")</f>
        <v>1245267762420879361</v>
      </c>
      <c r="B280" t="s">
        <v>47</v>
      </c>
      <c r="C280" s="3">
        <v>43922.355844907397</v>
      </c>
      <c r="D280" s="3" t="s">
        <v>17</v>
      </c>
      <c r="E280">
        <v>1</v>
      </c>
      <c r="F280">
        <v>0</v>
      </c>
      <c r="I280" t="s">
        <v>86</v>
      </c>
      <c r="N280">
        <v>0</v>
      </c>
      <c r="O280">
        <v>0</v>
      </c>
      <c r="P280">
        <v>1</v>
      </c>
      <c r="Q280">
        <v>0</v>
      </c>
    </row>
    <row r="281" spans="1:17" x14ac:dyDescent="0.2">
      <c r="A281" s="1" t="str">
        <f>HYPERLINK("http://www.twitter.com/Ugo_Roux/status/1245267451748716546", "1245267451748716546")</f>
        <v>1245267451748716546</v>
      </c>
      <c r="B281" t="s">
        <v>47</v>
      </c>
      <c r="C281" s="3">
        <v>43922.354988425926</v>
      </c>
      <c r="D281" s="3" t="s">
        <v>17</v>
      </c>
      <c r="E281">
        <v>7</v>
      </c>
      <c r="F281">
        <v>1</v>
      </c>
      <c r="I281" t="s">
        <v>87</v>
      </c>
      <c r="N281">
        <v>0</v>
      </c>
      <c r="O281">
        <v>0</v>
      </c>
      <c r="P281">
        <v>1</v>
      </c>
      <c r="Q281">
        <v>0</v>
      </c>
    </row>
    <row r="282" spans="1:17" x14ac:dyDescent="0.2">
      <c r="A282" s="1" t="str">
        <f>HYPERLINK("http://www.twitter.com/Ugo_Roux/status/1245266523779973120", "1245266523779973120")</f>
        <v>1245266523779973120</v>
      </c>
      <c r="B282" t="s">
        <v>47</v>
      </c>
      <c r="C282" s="3">
        <v>43922.352418981478</v>
      </c>
      <c r="D282" s="3" t="s">
        <v>17</v>
      </c>
      <c r="E282">
        <v>3</v>
      </c>
      <c r="F282">
        <v>1</v>
      </c>
      <c r="I282" t="s">
        <v>88</v>
      </c>
      <c r="N282">
        <v>0</v>
      </c>
      <c r="O282">
        <v>0</v>
      </c>
      <c r="P282">
        <v>1</v>
      </c>
      <c r="Q282">
        <v>0</v>
      </c>
    </row>
    <row r="283" spans="1:17" x14ac:dyDescent="0.2">
      <c r="A283" s="1" t="str">
        <f>HYPERLINK("http://www.twitter.com/Ugo_Roux/status/1245234511551627264", "1245234511551627264")</f>
        <v>1245234511551627264</v>
      </c>
      <c r="B283" t="s">
        <v>285</v>
      </c>
      <c r="C283" s="3">
        <v>43922.264085648138</v>
      </c>
      <c r="D283" s="3" t="s">
        <v>17</v>
      </c>
      <c r="E283">
        <v>0</v>
      </c>
      <c r="F283">
        <v>0</v>
      </c>
      <c r="I283" t="s">
        <v>315</v>
      </c>
      <c r="J283" t="str">
        <f>HYPERLINK("http://pbs.twimg.com/media/EUf15amXsAEUBEO.jpg", "http://pbs.twimg.com/media/EUf15amXsAEUBEO.jpg")</f>
        <v>http://pbs.twimg.com/media/EUf15amXsAEUBEO.jpg</v>
      </c>
      <c r="K283" t="str">
        <f>HYPERLINK("http://pbs.twimg.com/media/EUf16whXYAERvtc.jpg", "http://pbs.twimg.com/media/EUf16whXYAERvtc.jpg")</f>
        <v>http://pbs.twimg.com/media/EUf16whXYAERvtc.jpg</v>
      </c>
      <c r="N283">
        <v>0.36120000000000002</v>
      </c>
      <c r="O283">
        <v>9.0999999999999998E-2</v>
      </c>
      <c r="P283">
        <v>0.748</v>
      </c>
      <c r="Q283">
        <v>0.161</v>
      </c>
    </row>
    <row r="284" spans="1:17" x14ac:dyDescent="0.2">
      <c r="A284" s="1" t="str">
        <f>HYPERLINK("http://www.twitter.com/Ugo_Roux/status/1245231810197495809", "1245231810197495809")</f>
        <v>1245231810197495809</v>
      </c>
      <c r="B284" t="s">
        <v>370</v>
      </c>
      <c r="C284" s="3">
        <v>43922.256631944438</v>
      </c>
      <c r="D284" s="3" t="s">
        <v>28</v>
      </c>
      <c r="E284">
        <v>0</v>
      </c>
      <c r="F284">
        <v>0</v>
      </c>
      <c r="I284" t="s">
        <v>403</v>
      </c>
      <c r="J284" t="str">
        <f>HYPERLINK("http://pbs.twimg.com/media/EUfzu4hXQAACR_f.jpg", "http://pbs.twimg.com/media/EUfzu4hXQAACR_f.jpg")</f>
        <v>http://pbs.twimg.com/media/EUfzu4hXQAACR_f.jpg</v>
      </c>
      <c r="N284">
        <v>0</v>
      </c>
      <c r="O284">
        <v>0</v>
      </c>
      <c r="P284">
        <v>1</v>
      </c>
      <c r="Q284">
        <v>0</v>
      </c>
    </row>
    <row r="285" spans="1:17" x14ac:dyDescent="0.2">
      <c r="A285" s="1" t="str">
        <f>HYPERLINK("http://www.twitter.com/Ugo_Roux/status/1245231302112133121", "1245231302112133121")</f>
        <v>1245231302112133121</v>
      </c>
      <c r="B285" t="s">
        <v>370</v>
      </c>
      <c r="C285" s="3">
        <v>43922.255231481482</v>
      </c>
      <c r="D285" s="3" t="s">
        <v>17</v>
      </c>
      <c r="E285">
        <v>0</v>
      </c>
      <c r="F285">
        <v>0</v>
      </c>
      <c r="I285" t="s">
        <v>404</v>
      </c>
      <c r="N285">
        <v>0</v>
      </c>
      <c r="O285">
        <v>0</v>
      </c>
      <c r="P285">
        <v>1</v>
      </c>
      <c r="Q285">
        <v>0</v>
      </c>
    </row>
    <row r="286" spans="1:17" x14ac:dyDescent="0.2">
      <c r="A286" s="1" t="str">
        <f>HYPERLINK("http://www.twitter.com/Ugo_Roux/status/1245047445043773442", "1245047445043773442")</f>
        <v>1245047445043773442</v>
      </c>
      <c r="B286" t="s">
        <v>206</v>
      </c>
      <c r="C286" s="3">
        <v>43921.747881944437</v>
      </c>
      <c r="D286" s="3" t="s">
        <v>17</v>
      </c>
      <c r="E286">
        <v>0</v>
      </c>
      <c r="F286">
        <v>0</v>
      </c>
      <c r="I286" t="s">
        <v>265</v>
      </c>
      <c r="N286">
        <v>-0.26950000000000002</v>
      </c>
      <c r="O286">
        <v>0.20699999999999999</v>
      </c>
      <c r="P286">
        <v>0.79300000000000004</v>
      </c>
      <c r="Q286">
        <v>0</v>
      </c>
    </row>
    <row r="287" spans="1:17" x14ac:dyDescent="0.2">
      <c r="A287" s="1" t="str">
        <f>HYPERLINK("http://www.twitter.com/Ugo_Roux/status/1244987229610610690", "1244987229610610690")</f>
        <v>1244987229610610690</v>
      </c>
      <c r="B287" t="s">
        <v>206</v>
      </c>
      <c r="C287" s="3">
        <v>43921.581712962958</v>
      </c>
      <c r="D287" s="3" t="s">
        <v>17</v>
      </c>
      <c r="E287">
        <v>2</v>
      </c>
      <c r="F287">
        <v>0</v>
      </c>
      <c r="I287" t="s">
        <v>271</v>
      </c>
      <c r="N287">
        <v>0.45879999999999999</v>
      </c>
      <c r="O287">
        <v>0</v>
      </c>
      <c r="P287">
        <v>0.92300000000000004</v>
      </c>
      <c r="Q287">
        <v>7.6999999999999999E-2</v>
      </c>
    </row>
    <row r="288" spans="1:17" x14ac:dyDescent="0.2">
      <c r="A288" s="1" t="str">
        <f>HYPERLINK("http://www.twitter.com/Ugo_Roux/status/1244961934681747457", "1244961934681747457")</f>
        <v>1244961934681747457</v>
      </c>
      <c r="B288" t="s">
        <v>142</v>
      </c>
      <c r="C288" s="3">
        <v>43921.511921296304</v>
      </c>
      <c r="D288" s="3" t="s">
        <v>17</v>
      </c>
      <c r="E288">
        <v>0</v>
      </c>
      <c r="F288">
        <v>1</v>
      </c>
      <c r="I288" t="s">
        <v>186</v>
      </c>
      <c r="J288" t="str">
        <f>HYPERLINK("http://pbs.twimg.com/media/EUb-RcNX0AA-dnI.jpg", "http://pbs.twimg.com/media/EUb-RcNX0AA-dnI.jpg")</f>
        <v>http://pbs.twimg.com/media/EUb-RcNX0AA-dnI.jpg</v>
      </c>
      <c r="N288">
        <v>0</v>
      </c>
      <c r="O288">
        <v>0</v>
      </c>
      <c r="P288">
        <v>1</v>
      </c>
      <c r="Q288">
        <v>0</v>
      </c>
    </row>
    <row r="289" spans="1:18" x14ac:dyDescent="0.2">
      <c r="A289" s="1" t="str">
        <f>HYPERLINK("http://www.twitter.com/Ugo_Roux/status/1244921421693890560", "1244921421693890560")</f>
        <v>1244921421693890560</v>
      </c>
      <c r="B289" t="s">
        <v>425</v>
      </c>
      <c r="C289" s="3">
        <v>43921.400127314817</v>
      </c>
      <c r="D289" s="3" t="s">
        <v>17</v>
      </c>
      <c r="E289">
        <v>0</v>
      </c>
      <c r="F289">
        <v>0</v>
      </c>
      <c r="I289" t="s">
        <v>430</v>
      </c>
      <c r="J289" t="str">
        <f>HYPERLINK("http://pbs.twimg.com/media/EUbZBz1XYAE154k.png", "http://pbs.twimg.com/media/EUbZBz1XYAE154k.png")</f>
        <v>http://pbs.twimg.com/media/EUbZBz1XYAE154k.png</v>
      </c>
      <c r="N289">
        <v>0</v>
      </c>
      <c r="O289">
        <v>0</v>
      </c>
      <c r="P289">
        <v>1</v>
      </c>
      <c r="Q289">
        <v>0</v>
      </c>
      <c r="R289">
        <f ca="1">RAND()</f>
        <v>0.98521202455510715</v>
      </c>
    </row>
    <row r="290" spans="1:18" x14ac:dyDescent="0.2">
      <c r="A290" s="1" t="str">
        <f>HYPERLINK("http://www.twitter.com/Ugo_Roux/status/1244904805056815104", "1244904805056815104")</f>
        <v>1244904805056815104</v>
      </c>
      <c r="B290" t="s">
        <v>47</v>
      </c>
      <c r="C290" s="3">
        <v>43921.354270833333</v>
      </c>
      <c r="D290" s="3" t="s">
        <v>17</v>
      </c>
      <c r="E290">
        <v>7</v>
      </c>
      <c r="F290">
        <v>2</v>
      </c>
      <c r="I290" t="s">
        <v>89</v>
      </c>
      <c r="N290">
        <v>0.6996</v>
      </c>
      <c r="O290">
        <v>0</v>
      </c>
      <c r="P290">
        <v>0.86499999999999999</v>
      </c>
      <c r="Q290">
        <v>0.13500000000000001</v>
      </c>
    </row>
    <row r="291" spans="1:18" x14ac:dyDescent="0.2">
      <c r="A291" s="1" t="str">
        <f>HYPERLINK("http://www.twitter.com/Ugo_Roux/status/1244894210102374401", "1244894210102374401")</f>
        <v>1244894210102374401</v>
      </c>
      <c r="B291" t="s">
        <v>142</v>
      </c>
      <c r="C291" s="3">
        <v>43921.32503472222</v>
      </c>
      <c r="D291" s="3" t="s">
        <v>41</v>
      </c>
      <c r="E291">
        <v>0</v>
      </c>
      <c r="F291">
        <v>1</v>
      </c>
      <c r="I291" t="s">
        <v>144</v>
      </c>
      <c r="N291">
        <v>0</v>
      </c>
      <c r="O291">
        <v>0</v>
      </c>
      <c r="P291">
        <v>1</v>
      </c>
      <c r="Q291">
        <v>0</v>
      </c>
    </row>
    <row r="292" spans="1:18" x14ac:dyDescent="0.2">
      <c r="A292" s="1" t="str">
        <f>HYPERLINK("http://www.twitter.com/Ugo_Roux/status/1244888139254153216", "1244888139254153216")</f>
        <v>1244888139254153216</v>
      </c>
      <c r="B292" t="s">
        <v>47</v>
      </c>
      <c r="C292" s="3">
        <v>43921.308275462958</v>
      </c>
      <c r="D292" s="3" t="s">
        <v>28</v>
      </c>
      <c r="E292">
        <v>4</v>
      </c>
      <c r="F292">
        <v>0</v>
      </c>
      <c r="I292" t="s">
        <v>90</v>
      </c>
      <c r="N292">
        <v>0.2263</v>
      </c>
      <c r="O292">
        <v>0</v>
      </c>
      <c r="P292">
        <v>0.51300000000000001</v>
      </c>
      <c r="Q292">
        <v>0.48699999999999999</v>
      </c>
    </row>
    <row r="293" spans="1:18" x14ac:dyDescent="0.2">
      <c r="A293" s="1" t="str">
        <f>HYPERLINK("http://www.twitter.com/Ugo_Roux/status/1244866141131927552", "1244866141131927552")</f>
        <v>1244866141131927552</v>
      </c>
      <c r="B293" t="s">
        <v>285</v>
      </c>
      <c r="C293" s="3">
        <v>43921.247581018521</v>
      </c>
      <c r="D293" s="3" t="s">
        <v>17</v>
      </c>
      <c r="E293">
        <v>2</v>
      </c>
      <c r="F293">
        <v>1</v>
      </c>
      <c r="I293" t="s">
        <v>316</v>
      </c>
      <c r="J293" t="str">
        <f>HYPERLINK("http://pbs.twimg.com/media/EUanIXPX0AI8ZlH.jpg", "http://pbs.twimg.com/media/EUanIXPX0AI8ZlH.jpg")</f>
        <v>http://pbs.twimg.com/media/EUanIXPX0AI8ZlH.jpg</v>
      </c>
      <c r="N293">
        <v>0.45879999999999999</v>
      </c>
      <c r="O293">
        <v>0</v>
      </c>
      <c r="P293">
        <v>0.89700000000000002</v>
      </c>
      <c r="Q293">
        <v>0.10299999999999999</v>
      </c>
    </row>
    <row r="294" spans="1:18" x14ac:dyDescent="0.2">
      <c r="A294" s="1" t="str">
        <f>HYPERLINK("http://www.twitter.com/Ugo_Roux/status/1244662104877129728", "1244662104877129728")</f>
        <v>1244662104877129728</v>
      </c>
      <c r="B294" t="s">
        <v>206</v>
      </c>
      <c r="C294" s="3">
        <v>43920.684548611112</v>
      </c>
      <c r="D294" s="3" t="s">
        <v>41</v>
      </c>
      <c r="E294">
        <v>6</v>
      </c>
      <c r="F294">
        <v>2</v>
      </c>
      <c r="I294" t="s">
        <v>349</v>
      </c>
      <c r="J294" t="str">
        <f>HYPERLINK("http://pbs.twimg.com/media/EUXtkc_XYAApVhO.jpg", "http://pbs.twimg.com/media/EUXtkc_XYAApVhO.jpg")</f>
        <v>http://pbs.twimg.com/media/EUXtkc_XYAApVhO.jpg</v>
      </c>
      <c r="N294">
        <v>0.66879999999999995</v>
      </c>
      <c r="O294">
        <v>0</v>
      </c>
      <c r="P294">
        <v>0.89700000000000002</v>
      </c>
      <c r="Q294">
        <v>0.10299999999999999</v>
      </c>
    </row>
    <row r="295" spans="1:18" x14ac:dyDescent="0.2">
      <c r="A295" s="1" t="str">
        <f>HYPERLINK("http://www.twitter.com/Ugo_Roux/status/1244647083753209867", "1244647083753209867")</f>
        <v>1244647083753209867</v>
      </c>
      <c r="B295" t="s">
        <v>425</v>
      </c>
      <c r="C295" s="3">
        <v>43920.643090277779</v>
      </c>
      <c r="D295" s="3" t="s">
        <v>17</v>
      </c>
      <c r="E295">
        <v>0</v>
      </c>
      <c r="F295">
        <v>0</v>
      </c>
      <c r="I295" t="s">
        <v>437</v>
      </c>
      <c r="N295">
        <v>0</v>
      </c>
      <c r="O295">
        <v>0</v>
      </c>
      <c r="P295">
        <v>1</v>
      </c>
      <c r="Q295">
        <v>0</v>
      </c>
      <c r="R295">
        <f ca="1">RAND()</f>
        <v>0.55913790801389729</v>
      </c>
    </row>
    <row r="296" spans="1:18" x14ac:dyDescent="0.2">
      <c r="A296" s="1" t="str">
        <f>HYPERLINK("http://www.twitter.com/Ugo_Roux/status/1244584890345099264", "1244584890345099264")</f>
        <v>1244584890345099264</v>
      </c>
      <c r="B296" t="s">
        <v>206</v>
      </c>
      <c r="C296" s="3">
        <v>43920.47146990741</v>
      </c>
      <c r="D296" s="3" t="s">
        <v>17</v>
      </c>
      <c r="E296">
        <v>0</v>
      </c>
      <c r="F296">
        <v>0</v>
      </c>
      <c r="I296" t="s">
        <v>270</v>
      </c>
      <c r="N296">
        <v>0</v>
      </c>
      <c r="O296">
        <v>0</v>
      </c>
      <c r="P296">
        <v>1</v>
      </c>
      <c r="Q296">
        <v>0</v>
      </c>
    </row>
    <row r="297" spans="1:18" x14ac:dyDescent="0.2">
      <c r="A297" s="1" t="str">
        <f>HYPERLINK("http://www.twitter.com/Ugo_Roux/status/1244576688996061184", "1244576688996061184")</f>
        <v>1244576688996061184</v>
      </c>
      <c r="B297" t="s">
        <v>142</v>
      </c>
      <c r="C297" s="3">
        <v>43920.448842592603</v>
      </c>
      <c r="D297" s="3" t="s">
        <v>17</v>
      </c>
      <c r="E297">
        <v>0</v>
      </c>
      <c r="F297">
        <v>1</v>
      </c>
      <c r="I297" t="s">
        <v>166</v>
      </c>
      <c r="J297" t="str">
        <f>HYPERLINK("http://pbs.twimg.com/media/EUWf5VYWkAEIdgD.jpg", "http://pbs.twimg.com/media/EUWf5VYWkAEIdgD.jpg")</f>
        <v>http://pbs.twimg.com/media/EUWf5VYWkAEIdgD.jpg</v>
      </c>
      <c r="N297">
        <v>0</v>
      </c>
      <c r="O297">
        <v>0</v>
      </c>
      <c r="P297">
        <v>1</v>
      </c>
      <c r="Q297">
        <v>0</v>
      </c>
    </row>
    <row r="298" spans="1:18" x14ac:dyDescent="0.2">
      <c r="A298" s="1" t="str">
        <f>HYPERLINK("http://www.twitter.com/Ugo_Roux/status/1244546819750793223", "1244546819750793223")</f>
        <v>1244546819750793223</v>
      </c>
      <c r="B298" t="s">
        <v>425</v>
      </c>
      <c r="C298" s="3">
        <v>43920.366423611107</v>
      </c>
      <c r="D298" s="3" t="s">
        <v>41</v>
      </c>
      <c r="E298">
        <v>0</v>
      </c>
      <c r="F298">
        <v>0</v>
      </c>
      <c r="I298" t="s">
        <v>427</v>
      </c>
      <c r="J298" t="str">
        <f>HYPERLINK("http://pbs.twimg.com/media/EUWEhz7XgAEIqTi.jpg", "http://pbs.twimg.com/media/EUWEhz7XgAEIqTi.jpg")</f>
        <v>http://pbs.twimg.com/media/EUWEhz7XgAEIqTi.jpg</v>
      </c>
      <c r="N298">
        <v>0</v>
      </c>
      <c r="O298">
        <v>0</v>
      </c>
      <c r="P298">
        <v>1</v>
      </c>
      <c r="Q298">
        <v>0</v>
      </c>
      <c r="R298">
        <f ca="1">RAND()</f>
        <v>0.13219395104156828</v>
      </c>
    </row>
    <row r="299" spans="1:18" x14ac:dyDescent="0.2">
      <c r="A299" s="1" t="str">
        <f>HYPERLINK("http://www.twitter.com/Ugo_Roux/status/1244529762854490112", "1244529762854490112")</f>
        <v>1244529762854490112</v>
      </c>
      <c r="B299" t="s">
        <v>370</v>
      </c>
      <c r="C299" s="3">
        <v>43920.319351851853</v>
      </c>
      <c r="D299" s="3" t="s">
        <v>17</v>
      </c>
      <c r="E299">
        <v>0</v>
      </c>
      <c r="F299">
        <v>0</v>
      </c>
      <c r="I299" t="s">
        <v>405</v>
      </c>
      <c r="J299" t="str">
        <f>HYPERLINK("http://pbs.twimg.com/media/EUV1OVpWkAUp8am.jpg", "http://pbs.twimg.com/media/EUV1OVpWkAUp8am.jpg")</f>
        <v>http://pbs.twimg.com/media/EUV1OVpWkAUp8am.jpg</v>
      </c>
      <c r="N299">
        <v>0</v>
      </c>
      <c r="O299">
        <v>0</v>
      </c>
      <c r="P299">
        <v>1</v>
      </c>
      <c r="Q299">
        <v>0</v>
      </c>
    </row>
    <row r="300" spans="1:18" x14ac:dyDescent="0.2">
      <c r="A300" s="1" t="str">
        <f>HYPERLINK("http://www.twitter.com/Ugo_Roux/status/1244306738913869827", "1244306738913869827")</f>
        <v>1244306738913869827</v>
      </c>
      <c r="B300" t="s">
        <v>97</v>
      </c>
      <c r="C300" s="3">
        <v>43919.703923611109</v>
      </c>
      <c r="D300" s="3" t="s">
        <v>17</v>
      </c>
      <c r="E300">
        <v>1</v>
      </c>
      <c r="F300">
        <v>0</v>
      </c>
      <c r="I300" t="s">
        <v>123</v>
      </c>
      <c r="N300">
        <v>0</v>
      </c>
      <c r="O300">
        <v>0</v>
      </c>
      <c r="P300">
        <v>1</v>
      </c>
      <c r="Q300">
        <v>0</v>
      </c>
    </row>
    <row r="301" spans="1:18" x14ac:dyDescent="0.2">
      <c r="A301" s="1" t="str">
        <f>HYPERLINK("http://www.twitter.com/Ugo_Roux/status/1244280020685721602", "1244280020685721602")</f>
        <v>1244280020685721602</v>
      </c>
      <c r="B301" t="s">
        <v>206</v>
      </c>
      <c r="C301" s="3">
        <v>43919.630196759259</v>
      </c>
      <c r="D301" s="3" t="s">
        <v>17</v>
      </c>
      <c r="E301">
        <v>1</v>
      </c>
      <c r="F301">
        <v>2</v>
      </c>
      <c r="I301" t="s">
        <v>272</v>
      </c>
      <c r="J301" t="str">
        <f>HYPERLINK("http://pbs.twimg.com/media/EUSSAIqXYAUqhEh.jpg", "http://pbs.twimg.com/media/EUSSAIqXYAUqhEh.jpg")</f>
        <v>http://pbs.twimg.com/media/EUSSAIqXYAUqhEh.jpg</v>
      </c>
      <c r="N301">
        <v>0</v>
      </c>
      <c r="O301">
        <v>0</v>
      </c>
      <c r="P301">
        <v>1</v>
      </c>
      <c r="Q301">
        <v>0</v>
      </c>
    </row>
    <row r="302" spans="1:18" x14ac:dyDescent="0.2">
      <c r="A302" s="1" t="str">
        <f>HYPERLINK("http://www.twitter.com/Ugo_Roux/status/1244246683891924992", "1244246683891924992")</f>
        <v>1244246683891924992</v>
      </c>
      <c r="B302" t="s">
        <v>142</v>
      </c>
      <c r="C302" s="3">
        <v>43919.538206018522</v>
      </c>
      <c r="D302" s="3" t="s">
        <v>17</v>
      </c>
      <c r="E302">
        <v>0</v>
      </c>
      <c r="F302">
        <v>2</v>
      </c>
      <c r="I302" t="s">
        <v>180</v>
      </c>
      <c r="N302">
        <v>0</v>
      </c>
      <c r="O302">
        <v>0</v>
      </c>
      <c r="P302">
        <v>1</v>
      </c>
      <c r="Q302">
        <v>0</v>
      </c>
    </row>
    <row r="303" spans="1:18" x14ac:dyDescent="0.2">
      <c r="A303" s="1" t="str">
        <f>HYPERLINK("http://www.twitter.com/Ugo_Roux/status/1243956370409488384", "1243956370409488384")</f>
        <v>1243956370409488384</v>
      </c>
      <c r="B303" t="s">
        <v>206</v>
      </c>
      <c r="C303" s="3">
        <v>43918.737083333333</v>
      </c>
      <c r="D303" s="3" t="s">
        <v>41</v>
      </c>
      <c r="E303">
        <v>3</v>
      </c>
      <c r="F303">
        <v>1</v>
      </c>
      <c r="I303" t="s">
        <v>229</v>
      </c>
      <c r="J303" t="str">
        <f>HYPERLINK("http://pbs.twimg.com/media/EUNrt3xX0AA336L.jpg", "http://pbs.twimg.com/media/EUNrt3xX0AA336L.jpg")</f>
        <v>http://pbs.twimg.com/media/EUNrt3xX0AA336L.jpg</v>
      </c>
      <c r="N303">
        <v>0</v>
      </c>
      <c r="O303">
        <v>0</v>
      </c>
      <c r="P303">
        <v>1</v>
      </c>
      <c r="Q303">
        <v>0</v>
      </c>
    </row>
    <row r="304" spans="1:18" x14ac:dyDescent="0.2">
      <c r="A304" s="1" t="str">
        <f>HYPERLINK("http://www.twitter.com/Ugo_Roux/status/1243919391990972416", "1243919391990972416")</f>
        <v>1243919391990972416</v>
      </c>
      <c r="B304" t="s">
        <v>142</v>
      </c>
      <c r="C304" s="3">
        <v>43918.635046296287</v>
      </c>
      <c r="D304" s="3" t="s">
        <v>17</v>
      </c>
      <c r="E304">
        <v>3</v>
      </c>
      <c r="F304">
        <v>1</v>
      </c>
      <c r="I304" t="s">
        <v>187</v>
      </c>
      <c r="J304" t="str">
        <f>HYPERLINK("http://pbs.twimg.com/media/EUNKFyNXsAEj_2H.jpg", "http://pbs.twimg.com/media/EUNKFyNXsAEj_2H.jpg")</f>
        <v>http://pbs.twimg.com/media/EUNKFyNXsAEj_2H.jpg</v>
      </c>
      <c r="N304">
        <v>0</v>
      </c>
      <c r="O304">
        <v>0</v>
      </c>
      <c r="P304">
        <v>1</v>
      </c>
      <c r="Q304">
        <v>0</v>
      </c>
    </row>
    <row r="305" spans="1:18" x14ac:dyDescent="0.2">
      <c r="A305" s="1" t="str">
        <f>HYPERLINK("http://www.twitter.com/Ugo_Roux/status/1243823479373344768", "1243823479373344768")</f>
        <v>1243823479373344768</v>
      </c>
      <c r="B305" t="s">
        <v>425</v>
      </c>
      <c r="C305" s="3">
        <v>43918.370381944442</v>
      </c>
      <c r="D305" s="3" t="s">
        <v>17</v>
      </c>
      <c r="E305">
        <v>8</v>
      </c>
      <c r="F305">
        <v>3</v>
      </c>
      <c r="I305" t="s">
        <v>440</v>
      </c>
      <c r="J305" t="str">
        <f>HYPERLINK("http://pbs.twimg.com/media/EULyxFoWoAEBtLp.jpg", "http://pbs.twimg.com/media/EULyxFoWoAEBtLp.jpg")</f>
        <v>http://pbs.twimg.com/media/EULyxFoWoAEBtLp.jpg</v>
      </c>
      <c r="N305">
        <v>0</v>
      </c>
      <c r="O305">
        <v>0</v>
      </c>
      <c r="P305">
        <v>1</v>
      </c>
      <c r="Q305">
        <v>0</v>
      </c>
      <c r="R305">
        <f ca="1">RAND()</f>
        <v>0.15423491498470676</v>
      </c>
    </row>
    <row r="306" spans="1:18" x14ac:dyDescent="0.2">
      <c r="A306" s="1" t="str">
        <f>HYPERLINK("http://www.twitter.com/Ugo_Roux/status/1243597328692523009", "1243597328692523009")</f>
        <v>1243597328692523009</v>
      </c>
      <c r="B306" t="s">
        <v>285</v>
      </c>
      <c r="C306" s="3">
        <v>43917.746319444443</v>
      </c>
      <c r="D306" s="3" t="s">
        <v>17</v>
      </c>
      <c r="E306">
        <v>1</v>
      </c>
      <c r="F306">
        <v>0</v>
      </c>
      <c r="I306" t="s">
        <v>317</v>
      </c>
      <c r="N306">
        <v>0</v>
      </c>
      <c r="O306">
        <v>0</v>
      </c>
      <c r="P306">
        <v>1</v>
      </c>
      <c r="Q306">
        <v>0</v>
      </c>
    </row>
    <row r="307" spans="1:18" x14ac:dyDescent="0.2">
      <c r="A307" s="1" t="str">
        <f>HYPERLINK("http://www.twitter.com/Ugo_Roux/status/1243592149821685760", "1243592149821685760")</f>
        <v>1243592149821685760</v>
      </c>
      <c r="B307" t="s">
        <v>206</v>
      </c>
      <c r="C307" s="3">
        <v>43917.732025462959</v>
      </c>
      <c r="D307" s="3" t="s">
        <v>17</v>
      </c>
      <c r="E307">
        <v>0</v>
      </c>
      <c r="F307">
        <v>1</v>
      </c>
      <c r="I307" t="s">
        <v>350</v>
      </c>
      <c r="J307" t="str">
        <f>HYPERLINK("http://pbs.twimg.com/media/EUIZttjX0Agu2js.jpg", "http://pbs.twimg.com/media/EUIZttjX0Agu2js.jpg")</f>
        <v>http://pbs.twimg.com/media/EUIZttjX0Agu2js.jpg</v>
      </c>
      <c r="N307">
        <v>0</v>
      </c>
      <c r="O307">
        <v>0</v>
      </c>
      <c r="P307">
        <v>1</v>
      </c>
      <c r="Q307">
        <v>0</v>
      </c>
    </row>
    <row r="308" spans="1:18" x14ac:dyDescent="0.2">
      <c r="A308" s="1" t="str">
        <f>HYPERLINK("http://www.twitter.com/Ugo_Roux/status/1243554795895611397", "1243554795895611397")</f>
        <v>1243554795895611397</v>
      </c>
      <c r="B308" t="s">
        <v>370</v>
      </c>
      <c r="C308" s="3">
        <v>43917.628958333327</v>
      </c>
      <c r="D308" s="3" t="s">
        <v>17</v>
      </c>
      <c r="E308">
        <v>0</v>
      </c>
      <c r="F308">
        <v>0</v>
      </c>
      <c r="I308" t="s">
        <v>406</v>
      </c>
      <c r="J308" t="str">
        <f>HYPERLINK("http://pbs.twimg.com/media/EUH-fxjXQAAVUTf.jpg", "http://pbs.twimg.com/media/EUH-fxjXQAAVUTf.jpg")</f>
        <v>http://pbs.twimg.com/media/EUH-fxjXQAAVUTf.jpg</v>
      </c>
      <c r="N308">
        <v>0</v>
      </c>
      <c r="O308">
        <v>0</v>
      </c>
      <c r="P308">
        <v>1</v>
      </c>
      <c r="Q308">
        <v>0</v>
      </c>
    </row>
    <row r="309" spans="1:18" x14ac:dyDescent="0.2">
      <c r="A309" s="1" t="str">
        <f>HYPERLINK("http://www.twitter.com/Ugo_Roux/status/1243551370722127873", "1243551370722127873")</f>
        <v>1243551370722127873</v>
      </c>
      <c r="B309" t="s">
        <v>206</v>
      </c>
      <c r="C309" s="3">
        <v>43917.619502314818</v>
      </c>
      <c r="D309" s="3" t="s">
        <v>17</v>
      </c>
      <c r="E309">
        <v>1</v>
      </c>
      <c r="F309">
        <v>0</v>
      </c>
      <c r="I309" t="s">
        <v>351</v>
      </c>
      <c r="N309">
        <v>0.66879999999999995</v>
      </c>
      <c r="O309">
        <v>0</v>
      </c>
      <c r="P309">
        <v>0.75700000000000001</v>
      </c>
      <c r="Q309">
        <v>0.24299999999999999</v>
      </c>
    </row>
    <row r="310" spans="1:18" x14ac:dyDescent="0.2">
      <c r="A310" s="1" t="str">
        <f>HYPERLINK("http://www.twitter.com/Ugo_Roux/status/1243524929603198977", "1243524929603198977")</f>
        <v>1243524929603198977</v>
      </c>
      <c r="B310" t="s">
        <v>370</v>
      </c>
      <c r="C310" s="3">
        <v>43917.546539351853</v>
      </c>
      <c r="D310" s="3" t="s">
        <v>17</v>
      </c>
      <c r="E310">
        <v>0</v>
      </c>
      <c r="F310">
        <v>0</v>
      </c>
      <c r="I310" t="s">
        <v>407</v>
      </c>
      <c r="J310" t="str">
        <f>HYPERLINK("http://pbs.twimg.com/media/EUHjVU1X0AAA2oZ.jpg", "http://pbs.twimg.com/media/EUHjVU1X0AAA2oZ.jpg")</f>
        <v>http://pbs.twimg.com/media/EUHjVU1X0AAA2oZ.jpg</v>
      </c>
      <c r="N310">
        <v>0</v>
      </c>
      <c r="O310">
        <v>0</v>
      </c>
      <c r="P310">
        <v>1</v>
      </c>
      <c r="Q310">
        <v>0</v>
      </c>
    </row>
    <row r="311" spans="1:18" x14ac:dyDescent="0.2">
      <c r="A311" s="1" t="str">
        <f>HYPERLINK("http://www.twitter.com/Ugo_Roux/status/1243512512554897411", "1243512512554897411")</f>
        <v>1243512512554897411</v>
      </c>
      <c r="B311" t="s">
        <v>142</v>
      </c>
      <c r="C311" s="3">
        <v>43917.51226851852</v>
      </c>
      <c r="D311" s="3" t="s">
        <v>17</v>
      </c>
      <c r="E311">
        <v>1</v>
      </c>
      <c r="F311">
        <v>1</v>
      </c>
      <c r="I311" t="s">
        <v>193</v>
      </c>
      <c r="J311" t="str">
        <f>HYPERLINK("http://pbs.twimg.com/media/EUHYCMEXgAcknU0.jpg", "http://pbs.twimg.com/media/EUHYCMEXgAcknU0.jpg")</f>
        <v>http://pbs.twimg.com/media/EUHYCMEXgAcknU0.jpg</v>
      </c>
      <c r="N311">
        <v>0</v>
      </c>
      <c r="O311">
        <v>0</v>
      </c>
      <c r="P311">
        <v>1</v>
      </c>
      <c r="Q311">
        <v>0</v>
      </c>
    </row>
    <row r="312" spans="1:18" x14ac:dyDescent="0.2">
      <c r="A312" s="1" t="str">
        <f>HYPERLINK("http://www.twitter.com/Ugo_Roux/status/1243487615460020224", "1243487615460020224")</f>
        <v>1243487615460020224</v>
      </c>
      <c r="B312" t="s">
        <v>425</v>
      </c>
      <c r="C312" s="3">
        <v>43917.443576388891</v>
      </c>
      <c r="D312" s="3" t="s">
        <v>17</v>
      </c>
      <c r="E312">
        <v>0</v>
      </c>
      <c r="F312">
        <v>0</v>
      </c>
      <c r="I312" t="s">
        <v>436</v>
      </c>
      <c r="J312" t="str">
        <f>HYPERLINK("http://pbs.twimg.com/media/EUHBGaVWoAMf-hU.jpg", "http://pbs.twimg.com/media/EUHBGaVWoAMf-hU.jpg")</f>
        <v>http://pbs.twimg.com/media/EUHBGaVWoAMf-hU.jpg</v>
      </c>
      <c r="N312">
        <v>0</v>
      </c>
      <c r="O312">
        <v>0</v>
      </c>
      <c r="P312">
        <v>1</v>
      </c>
      <c r="Q312">
        <v>0</v>
      </c>
      <c r="R312">
        <f ca="1">RAND()</f>
        <v>0.83266411199133961</v>
      </c>
    </row>
    <row r="313" spans="1:18" x14ac:dyDescent="0.2">
      <c r="A313" s="1" t="str">
        <f>HYPERLINK("http://www.twitter.com/Ugo_Roux/status/1243460698291736576", "1243460698291736576")</f>
        <v>1243460698291736576</v>
      </c>
      <c r="B313" t="s">
        <v>47</v>
      </c>
      <c r="C313" s="3">
        <v>43917.369293981479</v>
      </c>
      <c r="D313" s="3" t="s">
        <v>17</v>
      </c>
      <c r="E313">
        <v>6</v>
      </c>
      <c r="F313">
        <v>3</v>
      </c>
      <c r="I313" t="s">
        <v>91</v>
      </c>
      <c r="N313">
        <v>0</v>
      </c>
      <c r="O313">
        <v>0</v>
      </c>
      <c r="P313">
        <v>1</v>
      </c>
      <c r="Q313">
        <v>0</v>
      </c>
    </row>
    <row r="314" spans="1:18" x14ac:dyDescent="0.2">
      <c r="A314" s="1" t="str">
        <f>HYPERLINK("http://www.twitter.com/Ugo_Roux/status/1243459675783409664", "1243459675783409664")</f>
        <v>1243459675783409664</v>
      </c>
      <c r="B314" t="s">
        <v>206</v>
      </c>
      <c r="C314" s="3">
        <v>43917.366469907407</v>
      </c>
      <c r="D314" s="3" t="s">
        <v>17</v>
      </c>
      <c r="E314">
        <v>2</v>
      </c>
      <c r="F314">
        <v>0</v>
      </c>
      <c r="I314" t="s">
        <v>269</v>
      </c>
      <c r="N314">
        <v>0</v>
      </c>
      <c r="O314">
        <v>0</v>
      </c>
      <c r="P314">
        <v>1</v>
      </c>
      <c r="Q314">
        <v>0</v>
      </c>
    </row>
    <row r="315" spans="1:18" x14ac:dyDescent="0.2">
      <c r="A315" s="1" t="str">
        <f>HYPERLINK("http://www.twitter.com/Ugo_Roux/status/1243435226476482560", "1243435226476482560")</f>
        <v>1243435226476482560</v>
      </c>
      <c r="B315" t="s">
        <v>285</v>
      </c>
      <c r="C315" s="3">
        <v>43917.299004629633</v>
      </c>
      <c r="D315" s="3" t="s">
        <v>17</v>
      </c>
      <c r="E315">
        <v>2</v>
      </c>
      <c r="F315">
        <v>1</v>
      </c>
      <c r="I315" t="s">
        <v>318</v>
      </c>
      <c r="N315">
        <v>0</v>
      </c>
      <c r="O315">
        <v>0</v>
      </c>
      <c r="P315">
        <v>1</v>
      </c>
      <c r="Q315">
        <v>0</v>
      </c>
    </row>
    <row r="316" spans="1:18" x14ac:dyDescent="0.2">
      <c r="A316" s="1" t="str">
        <f>HYPERLINK("http://www.twitter.com/Ugo_Roux/status/1243433833866944513", "1243433833866944513")</f>
        <v>1243433833866944513</v>
      </c>
      <c r="B316" t="s">
        <v>285</v>
      </c>
      <c r="C316" s="3">
        <v>43917.295162037037</v>
      </c>
      <c r="D316" s="3" t="s">
        <v>17</v>
      </c>
      <c r="E316">
        <v>0</v>
      </c>
      <c r="F316">
        <v>0</v>
      </c>
      <c r="I316" t="s">
        <v>319</v>
      </c>
      <c r="N316">
        <v>0</v>
      </c>
      <c r="O316">
        <v>0</v>
      </c>
      <c r="P316">
        <v>1</v>
      </c>
      <c r="Q316">
        <v>0</v>
      </c>
    </row>
    <row r="317" spans="1:18" x14ac:dyDescent="0.2">
      <c r="A317" s="1" t="str">
        <f>HYPERLINK("http://www.twitter.com/Ugo_Roux/status/1243228185665376256", "1243228185665376256")</f>
        <v>1243228185665376256</v>
      </c>
      <c r="B317" t="s">
        <v>206</v>
      </c>
      <c r="C317" s="3">
        <v>43916.727685185193</v>
      </c>
      <c r="D317" s="3" t="s">
        <v>41</v>
      </c>
      <c r="E317">
        <v>1</v>
      </c>
      <c r="F317">
        <v>0</v>
      </c>
      <c r="I317" t="s">
        <v>222</v>
      </c>
      <c r="J317" t="str">
        <f>HYPERLINK("http://pbs.twimg.com/media/EUDVazJX0AETk27.jpg", "http://pbs.twimg.com/media/EUDVazJX0AETk27.jpg")</f>
        <v>http://pbs.twimg.com/media/EUDVazJX0AETk27.jpg</v>
      </c>
      <c r="K317" t="str">
        <f>HYPERLINK("http://pbs.twimg.com/media/EUDVbx7WsAEcUbk.jpg", "http://pbs.twimg.com/media/EUDVbx7WsAEcUbk.jpg")</f>
        <v>http://pbs.twimg.com/media/EUDVbx7WsAEcUbk.jpg</v>
      </c>
      <c r="N317">
        <v>0</v>
      </c>
      <c r="O317">
        <v>0</v>
      </c>
      <c r="P317">
        <v>1</v>
      </c>
      <c r="Q317">
        <v>0</v>
      </c>
    </row>
    <row r="318" spans="1:18" x14ac:dyDescent="0.2">
      <c r="A318" s="1" t="str">
        <f>HYPERLINK("http://www.twitter.com/Ugo_Roux/status/1243216233404731395", "1243216233404731395")</f>
        <v>1243216233404731395</v>
      </c>
      <c r="B318" t="s">
        <v>206</v>
      </c>
      <c r="C318" s="3">
        <v>43916.694699074083</v>
      </c>
      <c r="D318" s="3" t="s">
        <v>17</v>
      </c>
      <c r="E318">
        <v>0</v>
      </c>
      <c r="F318">
        <v>0</v>
      </c>
      <c r="I318" t="s">
        <v>280</v>
      </c>
      <c r="N318">
        <v>0</v>
      </c>
      <c r="O318">
        <v>0</v>
      </c>
      <c r="P318">
        <v>1</v>
      </c>
      <c r="Q318">
        <v>0</v>
      </c>
    </row>
    <row r="319" spans="1:18" x14ac:dyDescent="0.2">
      <c r="A319" s="1" t="str">
        <f>HYPERLINK("http://www.twitter.com/Ugo_Roux/status/1243160239144423425", "1243160239144423425")</f>
        <v>1243160239144423425</v>
      </c>
      <c r="B319" t="s">
        <v>285</v>
      </c>
      <c r="C319" s="3">
        <v>43916.540185185193</v>
      </c>
      <c r="D319" s="3" t="s">
        <v>28</v>
      </c>
      <c r="E319">
        <v>1</v>
      </c>
      <c r="F319">
        <v>1</v>
      </c>
      <c r="I319" t="s">
        <v>286</v>
      </c>
      <c r="J319" t="str">
        <f>HYPERLINK("http://pbs.twimg.com/media/EUCXoj6XsAYo1ip.jpg", "http://pbs.twimg.com/media/EUCXoj6XsAYo1ip.jpg")</f>
        <v>http://pbs.twimg.com/media/EUCXoj6XsAYo1ip.jpg</v>
      </c>
      <c r="N319">
        <v>0</v>
      </c>
      <c r="O319">
        <v>0</v>
      </c>
      <c r="P319">
        <v>1</v>
      </c>
      <c r="Q319">
        <v>0</v>
      </c>
    </row>
    <row r="320" spans="1:18" x14ac:dyDescent="0.2">
      <c r="A320" s="1" t="str">
        <f>HYPERLINK("http://www.twitter.com/Ugo_Roux/status/1243124111683002369", "1243124111683002369")</f>
        <v>1243124111683002369</v>
      </c>
      <c r="B320" t="s">
        <v>16</v>
      </c>
      <c r="C320" s="3">
        <v>43916.440497685187</v>
      </c>
      <c r="D320" s="3" t="s">
        <v>17</v>
      </c>
      <c r="E320">
        <v>0</v>
      </c>
      <c r="F320">
        <v>0</v>
      </c>
      <c r="I320" t="s">
        <v>23</v>
      </c>
      <c r="N320">
        <v>0.4199</v>
      </c>
      <c r="O320">
        <v>0</v>
      </c>
      <c r="P320">
        <v>0.89600000000000002</v>
      </c>
      <c r="Q320">
        <v>0.104</v>
      </c>
    </row>
    <row r="321" spans="1:18" x14ac:dyDescent="0.2">
      <c r="A321" s="1" t="str">
        <f>HYPERLINK("http://www.twitter.com/Ugo_Roux/status/1243122789307031553", "1243122789307031553")</f>
        <v>1243122789307031553</v>
      </c>
      <c r="B321" t="s">
        <v>16</v>
      </c>
      <c r="C321" s="3">
        <v>43916.436840277784</v>
      </c>
      <c r="D321" s="3" t="s">
        <v>17</v>
      </c>
      <c r="E321">
        <v>0</v>
      </c>
      <c r="F321">
        <v>1</v>
      </c>
      <c r="I321" t="s">
        <v>31</v>
      </c>
      <c r="N321">
        <v>0</v>
      </c>
      <c r="O321">
        <v>0</v>
      </c>
      <c r="P321">
        <v>1</v>
      </c>
      <c r="Q321">
        <v>0</v>
      </c>
    </row>
    <row r="322" spans="1:18" x14ac:dyDescent="0.2">
      <c r="A322" s="1" t="str">
        <f>HYPERLINK("http://www.twitter.com/Ugo_Roux/status/1243104108606828545", "1243104108606828545")</f>
        <v>1243104108606828545</v>
      </c>
      <c r="B322" t="s">
        <v>47</v>
      </c>
      <c r="C322" s="3">
        <v>43916.385289351849</v>
      </c>
      <c r="D322" s="3" t="s">
        <v>17</v>
      </c>
      <c r="E322">
        <v>4</v>
      </c>
      <c r="F322">
        <v>2</v>
      </c>
      <c r="I322" t="s">
        <v>92</v>
      </c>
      <c r="N322">
        <v>0.45879999999999999</v>
      </c>
      <c r="O322">
        <v>0</v>
      </c>
      <c r="P322">
        <v>0.8</v>
      </c>
      <c r="Q322">
        <v>0.2</v>
      </c>
    </row>
    <row r="323" spans="1:18" x14ac:dyDescent="0.2">
      <c r="A323" s="1" t="str">
        <f>HYPERLINK("http://www.twitter.com/Ugo_Roux/status/1243092054936375296", "1243092054936375296")</f>
        <v>1243092054936375296</v>
      </c>
      <c r="B323" t="s">
        <v>206</v>
      </c>
      <c r="C323" s="3">
        <v>43916.352037037039</v>
      </c>
      <c r="D323" s="3" t="s">
        <v>17</v>
      </c>
      <c r="E323">
        <v>1</v>
      </c>
      <c r="F323">
        <v>1</v>
      </c>
      <c r="I323" t="s">
        <v>274</v>
      </c>
      <c r="N323">
        <v>0.20030000000000001</v>
      </c>
      <c r="O323">
        <v>4.1000000000000002E-2</v>
      </c>
      <c r="P323">
        <v>0.89700000000000002</v>
      </c>
      <c r="Q323">
        <v>6.2E-2</v>
      </c>
    </row>
    <row r="324" spans="1:18" x14ac:dyDescent="0.2">
      <c r="A324" s="1" t="str">
        <f>HYPERLINK("http://www.twitter.com/Ugo_Roux/status/1243073766562975744", "1243073766562975744")</f>
        <v>1243073766562975744</v>
      </c>
      <c r="B324" t="s">
        <v>285</v>
      </c>
      <c r="C324" s="3">
        <v>43916.301562499997</v>
      </c>
      <c r="D324" s="3" t="s">
        <v>17</v>
      </c>
      <c r="E324">
        <v>0</v>
      </c>
      <c r="F324">
        <v>0</v>
      </c>
      <c r="I324" t="s">
        <v>320</v>
      </c>
      <c r="J324" t="str">
        <f>HYPERLINK("http://pbs.twimg.com/media/EUBI-LEXYAAhynh.jpg", "http://pbs.twimg.com/media/EUBI-LEXYAAhynh.jpg")</f>
        <v>http://pbs.twimg.com/media/EUBI-LEXYAAhynh.jpg</v>
      </c>
      <c r="N324">
        <v>0</v>
      </c>
      <c r="O324">
        <v>0</v>
      </c>
      <c r="P324">
        <v>1</v>
      </c>
      <c r="Q324">
        <v>0</v>
      </c>
    </row>
    <row r="325" spans="1:18" x14ac:dyDescent="0.2">
      <c r="A325" s="1" t="str">
        <f>HYPERLINK("http://www.twitter.com/Ugo_Roux/status/1242873462886146048", "1242873462886146048")</f>
        <v>1242873462886146048</v>
      </c>
      <c r="B325" t="s">
        <v>47</v>
      </c>
      <c r="C325" s="3">
        <v>43915.748831018522</v>
      </c>
      <c r="D325" s="3" t="s">
        <v>17</v>
      </c>
      <c r="E325">
        <v>21</v>
      </c>
      <c r="F325">
        <v>9</v>
      </c>
      <c r="I325" t="s">
        <v>93</v>
      </c>
      <c r="N325">
        <v>0</v>
      </c>
      <c r="O325">
        <v>0</v>
      </c>
      <c r="P325">
        <v>1</v>
      </c>
      <c r="Q325">
        <v>0</v>
      </c>
    </row>
    <row r="326" spans="1:18" x14ac:dyDescent="0.2">
      <c r="A326" s="1" t="str">
        <f>HYPERLINK("http://www.twitter.com/Ugo_Roux/status/1242860736885506057", "1242860736885506057")</f>
        <v>1242860736885506057</v>
      </c>
      <c r="B326" t="s">
        <v>206</v>
      </c>
      <c r="C326" s="3">
        <v>43915.71371527778</v>
      </c>
      <c r="D326" s="3" t="s">
        <v>17</v>
      </c>
      <c r="E326">
        <v>3</v>
      </c>
      <c r="F326">
        <v>0</v>
      </c>
      <c r="I326" t="s">
        <v>352</v>
      </c>
      <c r="N326">
        <v>0</v>
      </c>
      <c r="O326">
        <v>0</v>
      </c>
      <c r="P326">
        <v>1</v>
      </c>
      <c r="Q326">
        <v>0</v>
      </c>
    </row>
    <row r="327" spans="1:18" x14ac:dyDescent="0.2">
      <c r="A327" s="1" t="str">
        <f>HYPERLINK("http://www.twitter.com/Ugo_Roux/status/1242818166813835265", "1242818166813835265")</f>
        <v>1242818166813835265</v>
      </c>
      <c r="B327" t="s">
        <v>206</v>
      </c>
      <c r="C327" s="3">
        <v>43915.596250000002</v>
      </c>
      <c r="D327" s="3" t="s">
        <v>17</v>
      </c>
      <c r="E327">
        <v>6</v>
      </c>
      <c r="F327">
        <v>5</v>
      </c>
      <c r="I327" t="s">
        <v>247</v>
      </c>
      <c r="N327">
        <v>0</v>
      </c>
      <c r="O327">
        <v>0</v>
      </c>
      <c r="P327">
        <v>1</v>
      </c>
      <c r="Q327">
        <v>0</v>
      </c>
    </row>
    <row r="328" spans="1:18" x14ac:dyDescent="0.2">
      <c r="A328" s="1" t="str">
        <f>HYPERLINK("http://www.twitter.com/Ugo_Roux/status/1242801536310358016", "1242801536310358016")</f>
        <v>1242801536310358016</v>
      </c>
      <c r="B328" t="s">
        <v>142</v>
      </c>
      <c r="C328" s="3">
        <v>43915.550358796303</v>
      </c>
      <c r="D328" s="3" t="s">
        <v>17</v>
      </c>
      <c r="E328">
        <v>0</v>
      </c>
      <c r="F328">
        <v>1</v>
      </c>
      <c r="I328" t="s">
        <v>191</v>
      </c>
      <c r="J328" t="str">
        <f>HYPERLINK("http://pbs.twimg.com/media/ET9RX5fXkAAIiCn.jpg", "http://pbs.twimg.com/media/ET9RX5fXkAAIiCn.jpg")</f>
        <v>http://pbs.twimg.com/media/ET9RX5fXkAAIiCn.jpg</v>
      </c>
      <c r="N328">
        <v>0.73509999999999998</v>
      </c>
      <c r="O328">
        <v>0</v>
      </c>
      <c r="P328">
        <v>0.85299999999999998</v>
      </c>
      <c r="Q328">
        <v>0.14699999999999999</v>
      </c>
    </row>
    <row r="329" spans="1:18" x14ac:dyDescent="0.2">
      <c r="A329" s="1" t="str">
        <f>HYPERLINK("http://www.twitter.com/Ugo_Roux/status/1242730905325764610", "1242730905325764610")</f>
        <v>1242730905325764610</v>
      </c>
      <c r="B329" t="s">
        <v>370</v>
      </c>
      <c r="C329" s="3">
        <v>43915.355451388888</v>
      </c>
      <c r="D329" s="3" t="s">
        <v>17</v>
      </c>
      <c r="E329">
        <v>0</v>
      </c>
      <c r="F329">
        <v>0</v>
      </c>
      <c r="I329" t="s">
        <v>408</v>
      </c>
      <c r="J329" t="str">
        <f>HYPERLINK("http://pbs.twimg.com/media/ET8RLDCX0AEae_7.jpg", "http://pbs.twimg.com/media/ET8RLDCX0AEae_7.jpg")</f>
        <v>http://pbs.twimg.com/media/ET8RLDCX0AEae_7.jpg</v>
      </c>
      <c r="N329">
        <v>-0.20030000000000001</v>
      </c>
      <c r="O329">
        <v>0.374</v>
      </c>
      <c r="P329">
        <v>0.626</v>
      </c>
      <c r="Q329">
        <v>0</v>
      </c>
    </row>
    <row r="330" spans="1:18" x14ac:dyDescent="0.2">
      <c r="A330" s="1" t="str">
        <f>HYPERLINK("http://www.twitter.com/Ugo_Roux/status/1242730831678001156", "1242730831678001156")</f>
        <v>1242730831678001156</v>
      </c>
      <c r="B330" t="s">
        <v>370</v>
      </c>
      <c r="C330" s="3">
        <v>43915.355243055557</v>
      </c>
      <c r="D330" s="3" t="s">
        <v>17</v>
      </c>
      <c r="E330">
        <v>0</v>
      </c>
      <c r="F330">
        <v>0</v>
      </c>
      <c r="I330" t="s">
        <v>409</v>
      </c>
      <c r="J330" t="str">
        <f>HYPERLINK("http://pbs.twimg.com/media/ET8RGxJXYAAuq4L.jpg", "http://pbs.twimg.com/media/ET8RGxJXYAAuq4L.jpg")</f>
        <v>http://pbs.twimg.com/media/ET8RGxJXYAAuq4L.jpg</v>
      </c>
      <c r="N330">
        <v>0</v>
      </c>
      <c r="O330">
        <v>0</v>
      </c>
      <c r="P330">
        <v>1</v>
      </c>
      <c r="Q330">
        <v>0</v>
      </c>
    </row>
    <row r="331" spans="1:18" x14ac:dyDescent="0.2">
      <c r="A331" s="1" t="str">
        <f>HYPERLINK("http://www.twitter.com/Ugo_Roux/status/1242728652867096576", "1242728652867096576")</f>
        <v>1242728652867096576</v>
      </c>
      <c r="B331" t="s">
        <v>425</v>
      </c>
      <c r="C331" s="3">
        <v>43915.349236111113</v>
      </c>
      <c r="D331" s="3" t="s">
        <v>17</v>
      </c>
      <c r="E331">
        <v>2</v>
      </c>
      <c r="F331">
        <v>0</v>
      </c>
      <c r="I331" t="s">
        <v>447</v>
      </c>
      <c r="J331" t="str">
        <f>HYPERLINK("http://pbs.twimg.com/media/ET8MR28XkAA6hwz.png", "http://pbs.twimg.com/media/ET8MR28XkAA6hwz.png")</f>
        <v>http://pbs.twimg.com/media/ET8MR28XkAA6hwz.png</v>
      </c>
      <c r="N331">
        <v>0</v>
      </c>
      <c r="O331">
        <v>0</v>
      </c>
      <c r="P331">
        <v>1</v>
      </c>
      <c r="Q331">
        <v>0</v>
      </c>
      <c r="R331">
        <f ca="1">RAND()</f>
        <v>0.41466515248080427</v>
      </c>
    </row>
    <row r="332" spans="1:18" x14ac:dyDescent="0.2">
      <c r="A332" s="1" t="str">
        <f>HYPERLINK("http://www.twitter.com/Ugo_Roux/status/1242710547621183489", "1242710547621183489")</f>
        <v>1242710547621183489</v>
      </c>
      <c r="B332" t="s">
        <v>285</v>
      </c>
      <c r="C332" s="3">
        <v>43915.299270833333</v>
      </c>
      <c r="D332" s="3" t="s">
        <v>17</v>
      </c>
      <c r="E332">
        <v>1</v>
      </c>
      <c r="F332">
        <v>0</v>
      </c>
      <c r="I332" t="s">
        <v>321</v>
      </c>
      <c r="J332" t="str">
        <f>HYPERLINK("http://pbs.twimg.com/media/ET7-cLFXgAAMui8.jpg", "http://pbs.twimg.com/media/ET7-cLFXgAAMui8.jpg")</f>
        <v>http://pbs.twimg.com/media/ET7-cLFXgAAMui8.jpg</v>
      </c>
      <c r="K332" t="str">
        <f>HYPERLINK("http://pbs.twimg.com/media/ET7-dSTWoAAwnlV.jpg", "http://pbs.twimg.com/media/ET7-dSTWoAAwnlV.jpg")</f>
        <v>http://pbs.twimg.com/media/ET7-dSTWoAAwnlV.jpg</v>
      </c>
      <c r="N332">
        <v>-7.7200000000000005E-2</v>
      </c>
      <c r="O332">
        <v>0.113</v>
      </c>
      <c r="P332">
        <v>0.78500000000000003</v>
      </c>
      <c r="Q332">
        <v>0.10199999999999999</v>
      </c>
    </row>
    <row r="333" spans="1:18" x14ac:dyDescent="0.2">
      <c r="A333" s="1" t="str">
        <f>HYPERLINK("http://www.twitter.com/Ugo_Roux/status/1242576562857238528", "1242576562857238528")</f>
        <v>1242576562857238528</v>
      </c>
      <c r="B333" t="s">
        <v>206</v>
      </c>
      <c r="C333" s="3">
        <v>43914.929548611108</v>
      </c>
      <c r="D333" s="3" t="s">
        <v>17</v>
      </c>
      <c r="E333">
        <v>2</v>
      </c>
      <c r="F333">
        <v>1</v>
      </c>
      <c r="I333" t="s">
        <v>353</v>
      </c>
      <c r="N333">
        <v>0</v>
      </c>
      <c r="O333">
        <v>0</v>
      </c>
      <c r="P333">
        <v>1</v>
      </c>
      <c r="Q333">
        <v>0</v>
      </c>
    </row>
    <row r="334" spans="1:18" x14ac:dyDescent="0.2">
      <c r="A334" s="1" t="str">
        <f>HYPERLINK("http://www.twitter.com/Ugo_Roux/status/1242549749007474688", "1242549749007474688")</f>
        <v>1242549749007474688</v>
      </c>
      <c r="B334" t="s">
        <v>97</v>
      </c>
      <c r="C334" s="3">
        <v>43914.855555555558</v>
      </c>
      <c r="D334" s="3" t="s">
        <v>17</v>
      </c>
      <c r="E334">
        <v>1</v>
      </c>
      <c r="F334">
        <v>0</v>
      </c>
      <c r="I334" t="s">
        <v>124</v>
      </c>
      <c r="J334" t="str">
        <f>HYPERLINK("http://pbs.twimg.com/media/ET5saXKXkAAvJKB.png", "http://pbs.twimg.com/media/ET5saXKXkAAvJKB.png")</f>
        <v>http://pbs.twimg.com/media/ET5saXKXkAAvJKB.png</v>
      </c>
      <c r="N334">
        <v>0</v>
      </c>
      <c r="O334">
        <v>0</v>
      </c>
      <c r="P334">
        <v>1</v>
      </c>
      <c r="Q334">
        <v>0</v>
      </c>
    </row>
    <row r="335" spans="1:18" x14ac:dyDescent="0.2">
      <c r="A335" s="1" t="str">
        <f>HYPERLINK("http://www.twitter.com/Ugo_Roux/status/1242497067869708290", "1242497067869708290")</f>
        <v>1242497067869708290</v>
      </c>
      <c r="B335" t="s">
        <v>47</v>
      </c>
      <c r="C335" s="3">
        <v>43914.710185185177</v>
      </c>
      <c r="D335" s="3" t="s">
        <v>41</v>
      </c>
      <c r="E335">
        <v>1</v>
      </c>
      <c r="F335">
        <v>0</v>
      </c>
      <c r="I335" t="s">
        <v>94</v>
      </c>
      <c r="N335">
        <v>0</v>
      </c>
      <c r="O335">
        <v>0</v>
      </c>
      <c r="P335">
        <v>1</v>
      </c>
      <c r="Q335">
        <v>0</v>
      </c>
    </row>
    <row r="336" spans="1:18" x14ac:dyDescent="0.2">
      <c r="A336" s="1" t="str">
        <f>HYPERLINK("http://www.twitter.com/Ugo_Roux/status/1242479829523419136", "1242479829523419136")</f>
        <v>1242479829523419136</v>
      </c>
      <c r="B336" t="s">
        <v>206</v>
      </c>
      <c r="C336" s="3">
        <v>43914.662615740737</v>
      </c>
      <c r="D336" s="3" t="s">
        <v>41</v>
      </c>
      <c r="E336">
        <v>4</v>
      </c>
      <c r="F336">
        <v>1</v>
      </c>
      <c r="I336" t="s">
        <v>226</v>
      </c>
      <c r="J336" t="str">
        <f>HYPERLINK("http://pbs.twimg.com/media/ET4syWJVAAEB5zd.jpg", "http://pbs.twimg.com/media/ET4syWJVAAEB5zd.jpg")</f>
        <v>http://pbs.twimg.com/media/ET4syWJVAAEB5zd.jpg</v>
      </c>
      <c r="N336">
        <v>-0.71840000000000004</v>
      </c>
      <c r="O336">
        <v>0.15</v>
      </c>
      <c r="P336">
        <v>0.85</v>
      </c>
      <c r="Q336">
        <v>0</v>
      </c>
    </row>
    <row r="337" spans="1:18" x14ac:dyDescent="0.2">
      <c r="A337" s="1" t="str">
        <f>HYPERLINK("http://www.twitter.com/Ugo_Roux/status/1242472414841163776", "1242472414841163776")</f>
        <v>1242472414841163776</v>
      </c>
      <c r="B337" t="s">
        <v>47</v>
      </c>
      <c r="C337" s="3">
        <v>43914.642152777778</v>
      </c>
      <c r="D337" s="3" t="s">
        <v>17</v>
      </c>
      <c r="E337">
        <v>14</v>
      </c>
      <c r="F337">
        <v>10</v>
      </c>
      <c r="I337" t="s">
        <v>95</v>
      </c>
      <c r="N337">
        <v>-0.33650000000000002</v>
      </c>
      <c r="O337">
        <v>9.4E-2</v>
      </c>
      <c r="P337">
        <v>0.90600000000000003</v>
      </c>
      <c r="Q337">
        <v>0</v>
      </c>
    </row>
    <row r="338" spans="1:18" x14ac:dyDescent="0.2">
      <c r="A338" s="1" t="str">
        <f>HYPERLINK("http://www.twitter.com/Ugo_Roux/status/1242471313937235968", "1242471313937235968")</f>
        <v>1242471313937235968</v>
      </c>
      <c r="B338" t="s">
        <v>16</v>
      </c>
      <c r="C338" s="3">
        <v>43914.639108796298</v>
      </c>
      <c r="D338" s="3" t="s">
        <v>28</v>
      </c>
      <c r="E338">
        <v>4</v>
      </c>
      <c r="F338">
        <v>3</v>
      </c>
      <c r="I338" t="s">
        <v>36</v>
      </c>
      <c r="J338" t="str">
        <f>HYPERLINK("http://pbs.twimg.com/media/ET4k-AzUcAMlFPq.jpg", "http://pbs.twimg.com/media/ET4k-AzUcAMlFPq.jpg")</f>
        <v>http://pbs.twimg.com/media/ET4k-AzUcAMlFPq.jpg</v>
      </c>
      <c r="N338">
        <v>0</v>
      </c>
      <c r="O338">
        <v>0</v>
      </c>
      <c r="P338">
        <v>1</v>
      </c>
      <c r="Q338">
        <v>0</v>
      </c>
    </row>
    <row r="339" spans="1:18" x14ac:dyDescent="0.2">
      <c r="A339" s="1" t="str">
        <f>HYPERLINK("http://www.twitter.com/Ugo_Roux/status/1242462071792504838", "1242462071792504838")</f>
        <v>1242462071792504838</v>
      </c>
      <c r="B339" t="s">
        <v>47</v>
      </c>
      <c r="C339" s="3">
        <v>43914.613611111112</v>
      </c>
      <c r="D339" s="3" t="s">
        <v>24</v>
      </c>
      <c r="E339">
        <v>5</v>
      </c>
      <c r="F339">
        <v>0</v>
      </c>
      <c r="I339" t="s">
        <v>96</v>
      </c>
      <c r="N339">
        <v>0</v>
      </c>
      <c r="O339">
        <v>0</v>
      </c>
      <c r="P339">
        <v>1</v>
      </c>
      <c r="Q339">
        <v>0</v>
      </c>
    </row>
    <row r="340" spans="1:18" x14ac:dyDescent="0.2">
      <c r="A340" s="1" t="str">
        <f>HYPERLINK("http://www.twitter.com/Ugo_Roux/status/1242456245019312130", "1242456245019312130")</f>
        <v>1242456245019312130</v>
      </c>
      <c r="B340" t="s">
        <v>425</v>
      </c>
      <c r="C340" s="3">
        <v>43914.597534722219</v>
      </c>
      <c r="D340" s="3" t="s">
        <v>17</v>
      </c>
      <c r="E340">
        <v>0</v>
      </c>
      <c r="F340">
        <v>0</v>
      </c>
      <c r="I340" t="s">
        <v>431</v>
      </c>
      <c r="N340">
        <v>0</v>
      </c>
      <c r="O340">
        <v>0</v>
      </c>
      <c r="P340">
        <v>1</v>
      </c>
      <c r="Q340">
        <v>0</v>
      </c>
      <c r="R340">
        <f ca="1">RAND()</f>
        <v>0.83975371472558424</v>
      </c>
    </row>
    <row r="341" spans="1:18" x14ac:dyDescent="0.2">
      <c r="A341" s="1" t="str">
        <f>HYPERLINK("http://www.twitter.com/Ugo_Roux/status/1242442534015696898", "1242442534015696898")</f>
        <v>1242442534015696898</v>
      </c>
      <c r="B341" t="s">
        <v>142</v>
      </c>
      <c r="C341" s="3">
        <v>43914.559699074067</v>
      </c>
      <c r="D341" s="3" t="s">
        <v>17</v>
      </c>
      <c r="E341">
        <v>0</v>
      </c>
      <c r="F341">
        <v>1</v>
      </c>
      <c r="I341" t="s">
        <v>165</v>
      </c>
      <c r="J341" t="str">
        <f>HYPERLINK("http://pbs.twimg.com/media/ET4K5JgXkAADnKy.jpg", "http://pbs.twimg.com/media/ET4K5JgXkAADnKy.jpg")</f>
        <v>http://pbs.twimg.com/media/ET4K5JgXkAADnKy.jpg</v>
      </c>
      <c r="N341">
        <v>0</v>
      </c>
      <c r="O341">
        <v>0</v>
      </c>
      <c r="P341">
        <v>1</v>
      </c>
      <c r="Q341">
        <v>0</v>
      </c>
    </row>
    <row r="342" spans="1:18" x14ac:dyDescent="0.2">
      <c r="A342" s="1" t="str">
        <f>HYPERLINK("http://www.twitter.com/Ugo_Roux/status/1242429512182358016", "1242429512182358016")</f>
        <v>1242429512182358016</v>
      </c>
      <c r="B342" t="s">
        <v>142</v>
      </c>
      <c r="C342" s="3">
        <v>43914.523761574077</v>
      </c>
      <c r="D342" s="3" t="s">
        <v>17</v>
      </c>
      <c r="E342">
        <v>0</v>
      </c>
      <c r="F342">
        <v>1</v>
      </c>
      <c r="I342" t="s">
        <v>176</v>
      </c>
      <c r="N342">
        <v>0</v>
      </c>
      <c r="O342">
        <v>0</v>
      </c>
      <c r="P342">
        <v>1</v>
      </c>
      <c r="Q342">
        <v>0</v>
      </c>
    </row>
    <row r="343" spans="1:18" x14ac:dyDescent="0.2">
      <c r="A343" s="1" t="str">
        <f>HYPERLINK("http://www.twitter.com/Ugo_Roux/status/1242428888170532866", "1242428888170532866")</f>
        <v>1242428888170532866</v>
      </c>
      <c r="B343" t="s">
        <v>142</v>
      </c>
      <c r="C343" s="3">
        <v>43914.522037037037</v>
      </c>
      <c r="D343" s="3" t="s">
        <v>17</v>
      </c>
      <c r="E343">
        <v>0</v>
      </c>
      <c r="F343">
        <v>0</v>
      </c>
      <c r="I343" t="s">
        <v>189</v>
      </c>
      <c r="N343">
        <v>-0.128</v>
      </c>
      <c r="O343">
        <v>7.6999999999999999E-2</v>
      </c>
      <c r="P343">
        <v>0.92300000000000004</v>
      </c>
      <c r="Q343">
        <v>0</v>
      </c>
    </row>
    <row r="344" spans="1:18" x14ac:dyDescent="0.2">
      <c r="A344" s="1" t="str">
        <f>HYPERLINK("http://www.twitter.com/Ugo_Roux/status/1242391068219289601", "1242391068219289601")</f>
        <v>1242391068219289601</v>
      </c>
      <c r="B344" t="s">
        <v>97</v>
      </c>
      <c r="C344" s="3">
        <v>43914.417673611111</v>
      </c>
      <c r="D344" s="3" t="s">
        <v>17</v>
      </c>
      <c r="E344">
        <v>1</v>
      </c>
      <c r="F344">
        <v>0</v>
      </c>
      <c r="I344" t="s">
        <v>125</v>
      </c>
      <c r="J344" t="str">
        <f>HYPERLINK("http://pbs.twimg.com/media/ET3cF7vU4AA-014.jpg", "http://pbs.twimg.com/media/ET3cF7vU4AA-014.jpg")</f>
        <v>http://pbs.twimg.com/media/ET3cF7vU4AA-014.jpg</v>
      </c>
      <c r="N344">
        <v>0</v>
      </c>
      <c r="O344">
        <v>0</v>
      </c>
      <c r="P344">
        <v>1</v>
      </c>
      <c r="Q344">
        <v>0</v>
      </c>
    </row>
    <row r="345" spans="1:18" x14ac:dyDescent="0.2">
      <c r="A345" s="1" t="str">
        <f>HYPERLINK("http://www.twitter.com/Ugo_Roux/status/1242379519169835009", "1242379519169835009")</f>
        <v>1242379519169835009</v>
      </c>
      <c r="B345" t="s">
        <v>285</v>
      </c>
      <c r="C345" s="3">
        <v>43914.385810185187</v>
      </c>
      <c r="D345" s="3" t="s">
        <v>17</v>
      </c>
      <c r="E345">
        <v>0</v>
      </c>
      <c r="F345">
        <v>0</v>
      </c>
      <c r="I345" t="s">
        <v>322</v>
      </c>
      <c r="J345" t="str">
        <f>HYPERLINK("http://pbs.twimg.com/media/ET3RblaX0AEeha8.jpg", "http://pbs.twimg.com/media/ET3RblaX0AEeha8.jpg")</f>
        <v>http://pbs.twimg.com/media/ET3RblaX0AEeha8.jpg</v>
      </c>
      <c r="N345">
        <v>0</v>
      </c>
      <c r="O345">
        <v>0</v>
      </c>
      <c r="P345">
        <v>1</v>
      </c>
      <c r="Q345">
        <v>0</v>
      </c>
    </row>
    <row r="346" spans="1:18" x14ac:dyDescent="0.2">
      <c r="A346" s="1" t="str">
        <f>HYPERLINK("http://www.twitter.com/Ugo_Roux/status/1242346938592382976", "1242346938592382976")</f>
        <v>1242346938592382976</v>
      </c>
      <c r="B346" t="s">
        <v>285</v>
      </c>
      <c r="C346" s="3">
        <v>43914.295902777783</v>
      </c>
      <c r="D346" s="3" t="s">
        <v>17</v>
      </c>
      <c r="E346">
        <v>0</v>
      </c>
      <c r="F346">
        <v>0</v>
      </c>
      <c r="I346" t="s">
        <v>323</v>
      </c>
      <c r="N346">
        <v>0</v>
      </c>
      <c r="O346">
        <v>0</v>
      </c>
      <c r="P346">
        <v>1</v>
      </c>
      <c r="Q346">
        <v>0</v>
      </c>
    </row>
    <row r="347" spans="1:18" x14ac:dyDescent="0.2">
      <c r="A347" s="1" t="str">
        <f>HYPERLINK("http://www.twitter.com/Ugo_Roux/status/1242346111542706178", "1242346111542706178")</f>
        <v>1242346111542706178</v>
      </c>
      <c r="B347" t="s">
        <v>285</v>
      </c>
      <c r="C347" s="3">
        <v>43914.293622685182</v>
      </c>
      <c r="D347" s="3" t="s">
        <v>17</v>
      </c>
      <c r="E347">
        <v>2</v>
      </c>
      <c r="F347">
        <v>0</v>
      </c>
      <c r="I347" t="s">
        <v>324</v>
      </c>
      <c r="N347">
        <v>0.2732</v>
      </c>
      <c r="O347">
        <v>0</v>
      </c>
      <c r="P347">
        <v>0.92300000000000004</v>
      </c>
      <c r="Q347">
        <v>7.6999999999999999E-2</v>
      </c>
    </row>
    <row r="348" spans="1:18" x14ac:dyDescent="0.2">
      <c r="A348" s="1" t="str">
        <f>HYPERLINK("http://www.twitter.com/Ugo_Roux/status/1242343017387896832", "1242343017387896832")</f>
        <v>1242343017387896832</v>
      </c>
      <c r="B348" t="s">
        <v>285</v>
      </c>
      <c r="C348" s="3">
        <v>43914.285081018519</v>
      </c>
      <c r="D348" s="3" t="s">
        <v>17</v>
      </c>
      <c r="E348">
        <v>6</v>
      </c>
      <c r="F348">
        <v>1</v>
      </c>
      <c r="I348" t="s">
        <v>325</v>
      </c>
      <c r="J348" t="str">
        <f>HYPERLINK("http://pbs.twimg.com/media/ET2wX74WoAEk5D8.jpg", "http://pbs.twimg.com/media/ET2wX74WoAEk5D8.jpg")</f>
        <v>http://pbs.twimg.com/media/ET2wX74WoAEk5D8.jpg</v>
      </c>
      <c r="N348">
        <v>0</v>
      </c>
      <c r="O348">
        <v>0</v>
      </c>
      <c r="P348">
        <v>1</v>
      </c>
      <c r="Q348">
        <v>0</v>
      </c>
    </row>
    <row r="349" spans="1:18" x14ac:dyDescent="0.2">
      <c r="A349" s="1" t="str">
        <f>HYPERLINK("http://www.twitter.com/Ugo_Roux/status/1242170674912862223", "1242170674912862223")</f>
        <v>1242170674912862223</v>
      </c>
      <c r="B349" t="s">
        <v>206</v>
      </c>
      <c r="C349" s="3">
        <v>43913.809502314813</v>
      </c>
      <c r="D349" s="3" t="s">
        <v>17</v>
      </c>
      <c r="E349">
        <v>0</v>
      </c>
      <c r="F349">
        <v>1</v>
      </c>
      <c r="I349" t="s">
        <v>354</v>
      </c>
      <c r="N349">
        <v>-0.41839999999999999</v>
      </c>
      <c r="O349">
        <v>0.112</v>
      </c>
      <c r="P349">
        <v>0.88800000000000001</v>
      </c>
      <c r="Q349">
        <v>0</v>
      </c>
    </row>
    <row r="350" spans="1:18" x14ac:dyDescent="0.2">
      <c r="A350" s="1" t="str">
        <f>HYPERLINK("http://www.twitter.com/Ugo_Roux/status/1242153970510057472", "1242153970510057472")</f>
        <v>1242153970510057472</v>
      </c>
      <c r="B350" t="s">
        <v>414</v>
      </c>
      <c r="C350" s="3">
        <v>43913.763414351852</v>
      </c>
      <c r="D350" s="3" t="s">
        <v>24</v>
      </c>
      <c r="E350">
        <v>0</v>
      </c>
      <c r="F350">
        <v>0</v>
      </c>
      <c r="I350" t="s">
        <v>419</v>
      </c>
      <c r="J350" t="str">
        <f>HYPERLINK("http://pbs.twimg.com/media/ET0EbS2XsAE1I3P.jpg", "http://pbs.twimg.com/media/ET0EbS2XsAE1I3P.jpg")</f>
        <v>http://pbs.twimg.com/media/ET0EbS2XsAE1I3P.jpg</v>
      </c>
      <c r="N350">
        <v>0</v>
      </c>
      <c r="O350">
        <v>0</v>
      </c>
      <c r="P350">
        <v>1</v>
      </c>
      <c r="Q350">
        <v>0</v>
      </c>
    </row>
    <row r="351" spans="1:18" x14ac:dyDescent="0.2">
      <c r="A351" s="1" t="str">
        <f>HYPERLINK("http://www.twitter.com/Ugo_Roux/status/1242142736020635648", "1242142736020635648")</f>
        <v>1242142736020635648</v>
      </c>
      <c r="B351" t="s">
        <v>206</v>
      </c>
      <c r="C351" s="3">
        <v>43913.732407407413</v>
      </c>
      <c r="D351" s="3" t="s">
        <v>17</v>
      </c>
      <c r="E351">
        <v>0</v>
      </c>
      <c r="F351">
        <v>0</v>
      </c>
      <c r="I351" t="s">
        <v>267</v>
      </c>
      <c r="J351" t="str">
        <f>HYPERLINK("http://pbs.twimg.com/media/ETz5TJnXgAEY_3-.jpg", "http://pbs.twimg.com/media/ETz5TJnXgAEY_3-.jpg")</f>
        <v>http://pbs.twimg.com/media/ETz5TJnXgAEY_3-.jpg</v>
      </c>
      <c r="N351">
        <v>0</v>
      </c>
      <c r="O351">
        <v>0</v>
      </c>
      <c r="P351">
        <v>1</v>
      </c>
      <c r="Q351">
        <v>0</v>
      </c>
    </row>
    <row r="352" spans="1:18" x14ac:dyDescent="0.2">
      <c r="A352" s="1" t="str">
        <f>HYPERLINK("http://www.twitter.com/Ugo_Roux/status/1242134104277053457", "1242134104277053457")</f>
        <v>1242134104277053457</v>
      </c>
      <c r="B352" t="s">
        <v>97</v>
      </c>
      <c r="C352" s="3">
        <v>43913.708587962959</v>
      </c>
      <c r="D352" s="3" t="s">
        <v>41</v>
      </c>
      <c r="E352">
        <v>0</v>
      </c>
      <c r="F352">
        <v>0</v>
      </c>
      <c r="I352" t="s">
        <v>126</v>
      </c>
      <c r="N352">
        <v>0</v>
      </c>
      <c r="O352">
        <v>0</v>
      </c>
      <c r="P352">
        <v>1</v>
      </c>
      <c r="Q352">
        <v>0</v>
      </c>
    </row>
    <row r="353" spans="1:18" x14ac:dyDescent="0.2">
      <c r="A353" s="1" t="str">
        <f>HYPERLINK("http://www.twitter.com/Ugo_Roux/status/1242116048201138176", "1242116048201138176")</f>
        <v>1242116048201138176</v>
      </c>
      <c r="B353" t="s">
        <v>206</v>
      </c>
      <c r="C353" s="3">
        <v>43913.658761574072</v>
      </c>
      <c r="D353" s="3" t="s">
        <v>239</v>
      </c>
      <c r="E353">
        <v>5</v>
      </c>
      <c r="F353">
        <v>1</v>
      </c>
      <c r="I353" t="s">
        <v>240</v>
      </c>
      <c r="N353">
        <v>0</v>
      </c>
      <c r="O353">
        <v>0</v>
      </c>
      <c r="P353">
        <v>1</v>
      </c>
      <c r="Q353">
        <v>0</v>
      </c>
    </row>
    <row r="354" spans="1:18" x14ac:dyDescent="0.2">
      <c r="A354" s="1" t="str">
        <f>HYPERLINK("http://www.twitter.com/Ugo_Roux/status/1242104204858138625", "1242104204858138625")</f>
        <v>1242104204858138625</v>
      </c>
      <c r="B354" t="s">
        <v>142</v>
      </c>
      <c r="C354" s="3">
        <v>43913.626087962963</v>
      </c>
      <c r="D354" s="3" t="s">
        <v>17</v>
      </c>
      <c r="E354">
        <v>2</v>
      </c>
      <c r="F354">
        <v>3</v>
      </c>
      <c r="I354" t="s">
        <v>179</v>
      </c>
      <c r="J354" t="str">
        <f>HYPERLINK("http://pbs.twimg.com/media/ETzXLBOXgAMRca-.jpg", "http://pbs.twimg.com/media/ETzXLBOXgAMRca-.jpg")</f>
        <v>http://pbs.twimg.com/media/ETzXLBOXgAMRca-.jpg</v>
      </c>
      <c r="N354">
        <v>0</v>
      </c>
      <c r="O354">
        <v>0</v>
      </c>
      <c r="P354">
        <v>1</v>
      </c>
      <c r="Q354">
        <v>0</v>
      </c>
    </row>
    <row r="355" spans="1:18" x14ac:dyDescent="0.2">
      <c r="A355" s="1" t="str">
        <f>HYPERLINK("http://www.twitter.com/Ugo_Roux/status/1242091897683836928", "1242091897683836928")</f>
        <v>1242091897683836928</v>
      </c>
      <c r="B355" t="s">
        <v>425</v>
      </c>
      <c r="C355" s="3">
        <v>43913.592129629629</v>
      </c>
      <c r="D355" s="3" t="s">
        <v>17</v>
      </c>
      <c r="E355">
        <v>0</v>
      </c>
      <c r="F355">
        <v>0</v>
      </c>
      <c r="I355" t="s">
        <v>441</v>
      </c>
      <c r="J355" t="str">
        <f>HYPERLINK("http://pbs.twimg.com/media/ETzL-CtXYAIqODR.jpg", "http://pbs.twimg.com/media/ETzL-CtXYAIqODR.jpg")</f>
        <v>http://pbs.twimg.com/media/ETzL-CtXYAIqODR.jpg</v>
      </c>
      <c r="N355">
        <v>0.20230000000000001</v>
      </c>
      <c r="O355">
        <v>0</v>
      </c>
      <c r="P355">
        <v>0.95099999999999996</v>
      </c>
      <c r="Q355">
        <v>4.9000000000000002E-2</v>
      </c>
      <c r="R355">
        <f ca="1">RAND()</f>
        <v>0.63071982467027832</v>
      </c>
    </row>
    <row r="356" spans="1:18" x14ac:dyDescent="0.2">
      <c r="A356" s="1" t="str">
        <f>HYPERLINK("http://www.twitter.com/Ugo_Roux/status/1242034943016001536", "1242034943016001536")</f>
        <v>1242034943016001536</v>
      </c>
      <c r="B356" t="s">
        <v>414</v>
      </c>
      <c r="C356" s="3">
        <v>43913.434953703712</v>
      </c>
      <c r="D356" s="3" t="s">
        <v>17</v>
      </c>
      <c r="E356">
        <v>0</v>
      </c>
      <c r="F356">
        <v>0</v>
      </c>
      <c r="I356" t="s">
        <v>423</v>
      </c>
      <c r="J356" t="str">
        <f>HYPERLINK("http://pbs.twimg.com/media/ETyYJ_cWkAEkH_5.png", "http://pbs.twimg.com/media/ETyYJ_cWkAEkH_5.png")</f>
        <v>http://pbs.twimg.com/media/ETyYJ_cWkAEkH_5.png</v>
      </c>
      <c r="N356">
        <v>0</v>
      </c>
      <c r="O356">
        <v>0</v>
      </c>
      <c r="P356">
        <v>1</v>
      </c>
      <c r="Q356">
        <v>0</v>
      </c>
    </row>
    <row r="357" spans="1:18" x14ac:dyDescent="0.2">
      <c r="A357" s="1" t="str">
        <f>HYPERLINK("http://www.twitter.com/Ugo_Roux/status/1242005610868150272", "1242005610868150272")</f>
        <v>1242005610868150272</v>
      </c>
      <c r="B357" t="s">
        <v>285</v>
      </c>
      <c r="C357" s="3">
        <v>43913.354016203702</v>
      </c>
      <c r="D357" s="3" t="s">
        <v>17</v>
      </c>
      <c r="E357">
        <v>0</v>
      </c>
      <c r="F357">
        <v>0</v>
      </c>
      <c r="I357" t="s">
        <v>326</v>
      </c>
      <c r="N357">
        <v>0</v>
      </c>
      <c r="O357">
        <v>0</v>
      </c>
      <c r="P357">
        <v>1</v>
      </c>
      <c r="Q357">
        <v>0</v>
      </c>
    </row>
    <row r="358" spans="1:18" x14ac:dyDescent="0.2">
      <c r="A358" s="1" t="str">
        <f>HYPERLINK("http://www.twitter.com/Ugo_Roux/status/1242004399154704384", "1242004399154704384")</f>
        <v>1242004399154704384</v>
      </c>
      <c r="B358" t="s">
        <v>285</v>
      </c>
      <c r="C358" s="3">
        <v>43913.350671296299</v>
      </c>
      <c r="D358" s="3" t="s">
        <v>17</v>
      </c>
      <c r="E358">
        <v>2</v>
      </c>
      <c r="F358">
        <v>0</v>
      </c>
      <c r="I358" t="s">
        <v>327</v>
      </c>
      <c r="N358">
        <v>0.57189999999999996</v>
      </c>
      <c r="O358">
        <v>0</v>
      </c>
      <c r="P358">
        <v>0.85599999999999998</v>
      </c>
      <c r="Q358">
        <v>0.14399999999999999</v>
      </c>
    </row>
    <row r="359" spans="1:18" x14ac:dyDescent="0.2">
      <c r="A359" s="1" t="str">
        <f>HYPERLINK("http://www.twitter.com/Ugo_Roux/status/1241984066775367680", "1241984066775367680")</f>
        <v>1241984066775367680</v>
      </c>
      <c r="B359" t="s">
        <v>206</v>
      </c>
      <c r="C359" s="3">
        <v>43913.294571759259</v>
      </c>
      <c r="D359" s="3" t="s">
        <v>17</v>
      </c>
      <c r="E359">
        <v>2</v>
      </c>
      <c r="F359">
        <v>0</v>
      </c>
      <c r="I359" t="s">
        <v>253</v>
      </c>
      <c r="N359">
        <v>0</v>
      </c>
      <c r="O359">
        <v>0</v>
      </c>
      <c r="P359">
        <v>1</v>
      </c>
      <c r="Q359">
        <v>0</v>
      </c>
    </row>
    <row r="360" spans="1:18" x14ac:dyDescent="0.2">
      <c r="A360" s="1" t="str">
        <f>HYPERLINK("http://www.twitter.com/Ugo_Roux/status/1241752728747065349", "1241752728747065349")</f>
        <v>1241752728747065349</v>
      </c>
      <c r="B360" t="s">
        <v>206</v>
      </c>
      <c r="C360" s="3">
        <v>43912.656192129631</v>
      </c>
      <c r="D360" s="3" t="s">
        <v>41</v>
      </c>
      <c r="E360">
        <v>2</v>
      </c>
      <c r="F360">
        <v>0</v>
      </c>
      <c r="I360" t="s">
        <v>227</v>
      </c>
      <c r="N360">
        <v>0.54110000000000003</v>
      </c>
      <c r="O360">
        <v>0</v>
      </c>
      <c r="P360">
        <v>0.69599999999999995</v>
      </c>
      <c r="Q360">
        <v>0.30399999999999999</v>
      </c>
    </row>
    <row r="361" spans="1:18" x14ac:dyDescent="0.2">
      <c r="A361" s="1" t="str">
        <f>HYPERLINK("http://www.twitter.com/Ugo_Roux/status/1241676006919987201", "1241676006919987201")</f>
        <v>1241676006919987201</v>
      </c>
      <c r="B361" t="s">
        <v>206</v>
      </c>
      <c r="C361" s="3">
        <v>43912.444479166668</v>
      </c>
      <c r="D361" s="3" t="s">
        <v>17</v>
      </c>
      <c r="E361">
        <v>4</v>
      </c>
      <c r="F361">
        <v>0</v>
      </c>
      <c r="I361" t="s">
        <v>279</v>
      </c>
      <c r="J361" t="str">
        <f>HYPERLINK("http://pbs.twimg.com/media/ETtRtjdXkAAARSR.jpg", "http://pbs.twimg.com/media/ETtRtjdXkAAARSR.jpg")</f>
        <v>http://pbs.twimg.com/media/ETtRtjdXkAAARSR.jpg</v>
      </c>
      <c r="N361">
        <v>0</v>
      </c>
      <c r="O361">
        <v>0</v>
      </c>
      <c r="P361">
        <v>1</v>
      </c>
      <c r="Q361">
        <v>0</v>
      </c>
    </row>
    <row r="362" spans="1:18" x14ac:dyDescent="0.2">
      <c r="A362" s="1" t="str">
        <f>HYPERLINK("http://www.twitter.com/Ugo_Roux/status/1241654403276460039", "1241654403276460039")</f>
        <v>1241654403276460039</v>
      </c>
      <c r="B362" t="s">
        <v>285</v>
      </c>
      <c r="C362" s="3">
        <v>43912.384872685187</v>
      </c>
      <c r="D362" s="3" t="s">
        <v>17</v>
      </c>
      <c r="E362">
        <v>1</v>
      </c>
      <c r="F362">
        <v>0</v>
      </c>
      <c r="I362" t="s">
        <v>328</v>
      </c>
      <c r="N362">
        <v>0</v>
      </c>
      <c r="O362">
        <v>0</v>
      </c>
      <c r="P362">
        <v>1</v>
      </c>
      <c r="Q362">
        <v>0</v>
      </c>
    </row>
    <row r="363" spans="1:18" x14ac:dyDescent="0.2">
      <c r="A363" s="1" t="str">
        <f>HYPERLINK("http://www.twitter.com/Ugo_Roux/status/1241644936782471168", "1241644936782471168")</f>
        <v>1241644936782471168</v>
      </c>
      <c r="B363" t="s">
        <v>97</v>
      </c>
      <c r="C363" s="3">
        <v>43912.358749999999</v>
      </c>
      <c r="D363" s="3" t="s">
        <v>17</v>
      </c>
      <c r="E363">
        <v>1</v>
      </c>
      <c r="F363">
        <v>0</v>
      </c>
      <c r="I363" t="s">
        <v>127</v>
      </c>
      <c r="J363" t="str">
        <f>HYPERLINK("http://pbs.twimg.com/media/ETs1fU-UUAEW-rl.jpg", "http://pbs.twimg.com/media/ETs1fU-UUAEW-rl.jpg")</f>
        <v>http://pbs.twimg.com/media/ETs1fU-UUAEW-rl.jpg</v>
      </c>
      <c r="N363">
        <v>0</v>
      </c>
      <c r="O363">
        <v>0</v>
      </c>
      <c r="P363">
        <v>1</v>
      </c>
      <c r="Q363">
        <v>0</v>
      </c>
    </row>
    <row r="364" spans="1:18" x14ac:dyDescent="0.2">
      <c r="A364" s="1" t="str">
        <f>HYPERLINK("http://www.twitter.com/Ugo_Roux/status/1241618277501227009", "1241618277501227009")</f>
        <v>1241618277501227009</v>
      </c>
      <c r="B364" t="s">
        <v>285</v>
      </c>
      <c r="C364" s="3">
        <v>43912.285185185188</v>
      </c>
      <c r="D364" s="3" t="s">
        <v>17</v>
      </c>
      <c r="E364">
        <v>0</v>
      </c>
      <c r="F364">
        <v>0</v>
      </c>
      <c r="I364" t="s">
        <v>329</v>
      </c>
      <c r="N364">
        <v>0</v>
      </c>
      <c r="O364">
        <v>0</v>
      </c>
      <c r="P364">
        <v>1</v>
      </c>
      <c r="Q364">
        <v>0</v>
      </c>
    </row>
    <row r="365" spans="1:18" x14ac:dyDescent="0.2">
      <c r="A365" s="1" t="str">
        <f>HYPERLINK("http://www.twitter.com/Ugo_Roux/status/1241503815314092035", "1241503815314092035")</f>
        <v>1241503815314092035</v>
      </c>
      <c r="B365" t="s">
        <v>206</v>
      </c>
      <c r="C365" s="3">
        <v>43911.969328703701</v>
      </c>
      <c r="D365" s="3" t="s">
        <v>17</v>
      </c>
      <c r="E365">
        <v>6</v>
      </c>
      <c r="F365">
        <v>0</v>
      </c>
      <c r="I365" t="s">
        <v>281</v>
      </c>
      <c r="N365">
        <v>-0.35949999999999999</v>
      </c>
      <c r="O365">
        <v>0.14199999999999999</v>
      </c>
      <c r="P365">
        <v>0.85799999999999998</v>
      </c>
      <c r="Q365">
        <v>0</v>
      </c>
    </row>
    <row r="366" spans="1:18" x14ac:dyDescent="0.2">
      <c r="A366" s="1" t="str">
        <f>HYPERLINK("http://www.twitter.com/Ugo_Roux/status/1241393695011811335", "1241393695011811335")</f>
        <v>1241393695011811335</v>
      </c>
      <c r="B366" t="s">
        <v>206</v>
      </c>
      <c r="C366" s="3">
        <v>43911.665451388893</v>
      </c>
      <c r="D366" s="3" t="s">
        <v>17</v>
      </c>
      <c r="E366">
        <v>5</v>
      </c>
      <c r="F366">
        <v>2</v>
      </c>
      <c r="I366" t="s">
        <v>355</v>
      </c>
      <c r="J366" t="str">
        <f>HYPERLINK("http://pbs.twimg.com/media/ETpNyLTWsAAZfYV.jpg", "http://pbs.twimg.com/media/ETpNyLTWsAAZfYV.jpg")</f>
        <v>http://pbs.twimg.com/media/ETpNyLTWsAAZfYV.jpg</v>
      </c>
      <c r="N366">
        <v>0</v>
      </c>
      <c r="O366">
        <v>0</v>
      </c>
      <c r="P366">
        <v>1</v>
      </c>
      <c r="Q366">
        <v>0</v>
      </c>
    </row>
    <row r="367" spans="1:18" x14ac:dyDescent="0.2">
      <c r="A367" s="1" t="str">
        <f>HYPERLINK("http://www.twitter.com/Ugo_Roux/status/1241392938711764994", "1241392938711764994")</f>
        <v>1241392938711764994</v>
      </c>
      <c r="B367" t="s">
        <v>142</v>
      </c>
      <c r="C367" s="3">
        <v>43911.663368055553</v>
      </c>
      <c r="D367" s="3" t="s">
        <v>17</v>
      </c>
      <c r="E367">
        <v>1</v>
      </c>
      <c r="F367">
        <v>1</v>
      </c>
      <c r="I367" t="s">
        <v>156</v>
      </c>
      <c r="J367" t="str">
        <f>HYPERLINK("http://pbs.twimg.com/media/ETpQRJzXYAAKgwX.jpg", "http://pbs.twimg.com/media/ETpQRJzXYAAKgwX.jpg")</f>
        <v>http://pbs.twimg.com/media/ETpQRJzXYAAKgwX.jpg</v>
      </c>
      <c r="N367">
        <v>0</v>
      </c>
      <c r="O367">
        <v>0</v>
      </c>
      <c r="P367">
        <v>1</v>
      </c>
      <c r="Q367">
        <v>0</v>
      </c>
    </row>
    <row r="368" spans="1:18" x14ac:dyDescent="0.2">
      <c r="A368" s="1" t="str">
        <f>HYPERLINK("http://www.twitter.com/Ugo_Roux/status/1241391644261453825", "1241391644261453825")</f>
        <v>1241391644261453825</v>
      </c>
      <c r="B368" t="s">
        <v>16</v>
      </c>
      <c r="C368" s="3">
        <v>43911.659791666672</v>
      </c>
      <c r="D368" s="3" t="s">
        <v>17</v>
      </c>
      <c r="E368">
        <v>1</v>
      </c>
      <c r="F368">
        <v>3</v>
      </c>
      <c r="I368" t="s">
        <v>18</v>
      </c>
      <c r="N368">
        <v>0</v>
      </c>
      <c r="O368">
        <v>0</v>
      </c>
      <c r="P368">
        <v>1</v>
      </c>
      <c r="Q368">
        <v>0</v>
      </c>
    </row>
    <row r="369" spans="1:17" x14ac:dyDescent="0.2">
      <c r="A369" s="1" t="str">
        <f>HYPERLINK("http://www.twitter.com/Ugo_Roux/status/1241382836105592836", "1241382836105592836")</f>
        <v>1241382836105592836</v>
      </c>
      <c r="B369" t="s">
        <v>16</v>
      </c>
      <c r="C369" s="3">
        <v>43911.63548611111</v>
      </c>
      <c r="D369" s="3" t="s">
        <v>17</v>
      </c>
      <c r="E369">
        <v>5</v>
      </c>
      <c r="F369">
        <v>2</v>
      </c>
      <c r="I369" t="s">
        <v>21</v>
      </c>
      <c r="N369">
        <v>0</v>
      </c>
      <c r="O369">
        <v>0</v>
      </c>
      <c r="P369">
        <v>1</v>
      </c>
      <c r="Q369">
        <v>0</v>
      </c>
    </row>
    <row r="370" spans="1:17" x14ac:dyDescent="0.2">
      <c r="A370" s="1" t="str">
        <f>HYPERLINK("http://www.twitter.com/Ugo_Roux/status/1241361808012828673", "1241361808012828673")</f>
        <v>1241361808012828673</v>
      </c>
      <c r="B370" t="s">
        <v>206</v>
      </c>
      <c r="C370" s="3">
        <v>43911.577465277784</v>
      </c>
      <c r="D370" s="3" t="s">
        <v>41</v>
      </c>
      <c r="E370">
        <v>3</v>
      </c>
      <c r="F370">
        <v>0</v>
      </c>
      <c r="I370" t="s">
        <v>208</v>
      </c>
      <c r="N370">
        <v>-0.26950000000000002</v>
      </c>
      <c r="O370">
        <v>0.14799999999999999</v>
      </c>
      <c r="P370">
        <v>0.85199999999999998</v>
      </c>
      <c r="Q370">
        <v>0</v>
      </c>
    </row>
    <row r="371" spans="1:17" x14ac:dyDescent="0.2">
      <c r="A371" s="1" t="str">
        <f>HYPERLINK("http://www.twitter.com/Ugo_Roux/status/1241335536373174274", "1241335536373174274")</f>
        <v>1241335536373174274</v>
      </c>
      <c r="B371" t="s">
        <v>142</v>
      </c>
      <c r="C371" s="3">
        <v>43911.504965277767</v>
      </c>
      <c r="D371" s="3" t="s">
        <v>17</v>
      </c>
      <c r="E371">
        <v>4</v>
      </c>
      <c r="F371">
        <v>3</v>
      </c>
      <c r="I371" t="s">
        <v>182</v>
      </c>
      <c r="J371" t="str">
        <f>HYPERLINK("http://pbs.twimg.com/media/ETocFMaXYAEeAua.jpg", "http://pbs.twimg.com/media/ETocFMaXYAEeAua.jpg")</f>
        <v>http://pbs.twimg.com/media/ETocFMaXYAEeAua.jpg</v>
      </c>
      <c r="N371">
        <v>0</v>
      </c>
      <c r="O371">
        <v>0</v>
      </c>
      <c r="P371">
        <v>1</v>
      </c>
      <c r="Q371">
        <v>0</v>
      </c>
    </row>
    <row r="372" spans="1:17" x14ac:dyDescent="0.2">
      <c r="A372" s="1" t="str">
        <f>HYPERLINK("http://www.twitter.com/Ugo_Roux/status/1241317046631178240", "1241317046631178240")</f>
        <v>1241317046631178240</v>
      </c>
      <c r="B372" t="s">
        <v>206</v>
      </c>
      <c r="C372" s="3">
        <v>43911.453946759262</v>
      </c>
      <c r="D372" s="3" t="s">
        <v>41</v>
      </c>
      <c r="E372">
        <v>7</v>
      </c>
      <c r="F372">
        <v>2</v>
      </c>
      <c r="I372" t="s">
        <v>217</v>
      </c>
      <c r="J372" t="str">
        <f>HYPERLINK("http://pbs.twimg.com/media/EToLOTdXgAAub1G.jpg", "http://pbs.twimg.com/media/EToLOTdXgAAub1G.jpg")</f>
        <v>http://pbs.twimg.com/media/EToLOTdXgAAub1G.jpg</v>
      </c>
      <c r="N372">
        <v>0.48709999999999998</v>
      </c>
      <c r="O372">
        <v>0</v>
      </c>
      <c r="P372">
        <v>0.80400000000000005</v>
      </c>
      <c r="Q372">
        <v>0.19600000000000001</v>
      </c>
    </row>
    <row r="373" spans="1:17" x14ac:dyDescent="0.2">
      <c r="A373" s="1" t="str">
        <f>HYPERLINK("http://www.twitter.com/Ugo_Roux/status/1241290778347032577", "1241290778347032577")</f>
        <v>1241290778347032577</v>
      </c>
      <c r="B373" t="s">
        <v>285</v>
      </c>
      <c r="C373" s="3">
        <v>43911.381458333337</v>
      </c>
      <c r="D373" s="3" t="s">
        <v>17</v>
      </c>
      <c r="E373">
        <v>0</v>
      </c>
      <c r="F373">
        <v>0</v>
      </c>
      <c r="I373" t="s">
        <v>330</v>
      </c>
      <c r="N373">
        <v>0</v>
      </c>
      <c r="O373">
        <v>0</v>
      </c>
      <c r="P373">
        <v>1</v>
      </c>
      <c r="Q373">
        <v>0</v>
      </c>
    </row>
    <row r="374" spans="1:17" x14ac:dyDescent="0.2">
      <c r="A374" s="1" t="str">
        <f>HYPERLINK("http://www.twitter.com/Ugo_Roux/status/1241053209998868482", "1241053209998868482")</f>
        <v>1241053209998868482</v>
      </c>
      <c r="B374" t="s">
        <v>206</v>
      </c>
      <c r="C374" s="3">
        <v>43910.725891203707</v>
      </c>
      <c r="D374" s="3" t="s">
        <v>17</v>
      </c>
      <c r="E374">
        <v>2</v>
      </c>
      <c r="F374">
        <v>2</v>
      </c>
      <c r="I374" t="s">
        <v>249</v>
      </c>
      <c r="N374">
        <v>0</v>
      </c>
      <c r="O374">
        <v>0</v>
      </c>
      <c r="P374">
        <v>1</v>
      </c>
      <c r="Q374">
        <v>0</v>
      </c>
    </row>
    <row r="375" spans="1:17" x14ac:dyDescent="0.2">
      <c r="A375" s="1" t="str">
        <f>HYPERLINK("http://www.twitter.com/Ugo_Roux/status/1241041830071934980", "1241041830071934980")</f>
        <v>1241041830071934980</v>
      </c>
      <c r="B375" t="s">
        <v>285</v>
      </c>
      <c r="C375" s="3">
        <v>43910.694490740738</v>
      </c>
      <c r="D375" s="3" t="s">
        <v>17</v>
      </c>
      <c r="E375">
        <v>0</v>
      </c>
      <c r="F375">
        <v>0</v>
      </c>
      <c r="I375" t="s">
        <v>331</v>
      </c>
      <c r="N375">
        <v>0</v>
      </c>
      <c r="O375">
        <v>0</v>
      </c>
      <c r="P375">
        <v>1</v>
      </c>
      <c r="Q375">
        <v>0</v>
      </c>
    </row>
    <row r="376" spans="1:17" x14ac:dyDescent="0.2">
      <c r="A376" s="1" t="str">
        <f>HYPERLINK("http://www.twitter.com/Ugo_Roux/status/1241041679530033152", "1241041679530033152")</f>
        <v>1241041679530033152</v>
      </c>
      <c r="B376" t="s">
        <v>285</v>
      </c>
      <c r="C376" s="3">
        <v>43910.694074074083</v>
      </c>
      <c r="D376" s="3" t="s">
        <v>17</v>
      </c>
      <c r="E376">
        <v>0</v>
      </c>
      <c r="F376">
        <v>0</v>
      </c>
      <c r="I376" t="s">
        <v>332</v>
      </c>
      <c r="N376">
        <v>0</v>
      </c>
      <c r="O376">
        <v>0</v>
      </c>
      <c r="P376">
        <v>1</v>
      </c>
      <c r="Q376">
        <v>0</v>
      </c>
    </row>
    <row r="377" spans="1:17" x14ac:dyDescent="0.2">
      <c r="A377" s="1" t="str">
        <f>HYPERLINK("http://www.twitter.com/Ugo_Roux/status/1241041538983038979", "1241041538983038979")</f>
        <v>1241041538983038979</v>
      </c>
      <c r="B377" t="s">
        <v>285</v>
      </c>
      <c r="C377" s="3">
        <v>43910.693680555552</v>
      </c>
      <c r="D377" s="3" t="s">
        <v>17</v>
      </c>
      <c r="E377">
        <v>0</v>
      </c>
      <c r="F377">
        <v>0</v>
      </c>
      <c r="I377" t="s">
        <v>333</v>
      </c>
      <c r="N377">
        <v>0</v>
      </c>
      <c r="O377">
        <v>0</v>
      </c>
      <c r="P377">
        <v>1</v>
      </c>
      <c r="Q377">
        <v>0</v>
      </c>
    </row>
    <row r="378" spans="1:17" x14ac:dyDescent="0.2">
      <c r="A378" s="1" t="str">
        <f>HYPERLINK("http://www.twitter.com/Ugo_Roux/status/1241013869914591235", "1241013869914591235")</f>
        <v>1241013869914591235</v>
      </c>
      <c r="B378" t="s">
        <v>206</v>
      </c>
      <c r="C378" s="3">
        <v>43910.617337962962</v>
      </c>
      <c r="D378" s="3" t="s">
        <v>41</v>
      </c>
      <c r="E378">
        <v>11</v>
      </c>
      <c r="F378">
        <v>2</v>
      </c>
      <c r="I378" t="s">
        <v>224</v>
      </c>
      <c r="J378" t="str">
        <f>HYPERLINK("http://pbs.twimg.com/media/ETj3hbsWAAQkat2.jpg", "http://pbs.twimg.com/media/ETj3hbsWAAQkat2.jpg")</f>
        <v>http://pbs.twimg.com/media/ETj3hbsWAAQkat2.jpg</v>
      </c>
      <c r="N378">
        <v>0.5514</v>
      </c>
      <c r="O378">
        <v>0</v>
      </c>
      <c r="P378">
        <v>0.9</v>
      </c>
      <c r="Q378">
        <v>0.1</v>
      </c>
    </row>
    <row r="379" spans="1:17" x14ac:dyDescent="0.2">
      <c r="A379" s="1" t="str">
        <f>HYPERLINK("http://www.twitter.com/Ugo_Roux/status/1241007287248072705", "1241007287248072705")</f>
        <v>1241007287248072705</v>
      </c>
      <c r="B379" t="s">
        <v>16</v>
      </c>
      <c r="C379" s="3">
        <v>43910.599166666667</v>
      </c>
      <c r="D379" s="3" t="s">
        <v>17</v>
      </c>
      <c r="E379">
        <v>0</v>
      </c>
      <c r="F379">
        <v>0</v>
      </c>
      <c r="I379" t="s">
        <v>22</v>
      </c>
      <c r="N379">
        <v>0</v>
      </c>
      <c r="O379">
        <v>0</v>
      </c>
      <c r="P379">
        <v>1</v>
      </c>
      <c r="Q379">
        <v>0</v>
      </c>
    </row>
    <row r="380" spans="1:17" x14ac:dyDescent="0.2">
      <c r="A380" s="1" t="str">
        <f>HYPERLINK("http://www.twitter.com/Ugo_Roux/status/1240976608284065796", "1240976608284065796")</f>
        <v>1240976608284065796</v>
      </c>
      <c r="B380" t="s">
        <v>142</v>
      </c>
      <c r="C380" s="3">
        <v>43910.514513888891</v>
      </c>
      <c r="D380" s="3" t="s">
        <v>17</v>
      </c>
      <c r="E380">
        <v>11</v>
      </c>
      <c r="F380">
        <v>12</v>
      </c>
      <c r="I380" t="s">
        <v>173</v>
      </c>
      <c r="J380" t="str">
        <f>HYPERLINK("http://pbs.twimg.com/media/ETjVojoWAAAEVkN.jpg", "http://pbs.twimg.com/media/ETjVojoWAAAEVkN.jpg")</f>
        <v>http://pbs.twimg.com/media/ETjVojoWAAAEVkN.jpg</v>
      </c>
      <c r="N380">
        <v>0.63600000000000001</v>
      </c>
      <c r="O380">
        <v>0</v>
      </c>
      <c r="P380">
        <v>0.87</v>
      </c>
      <c r="Q380">
        <v>0.13</v>
      </c>
    </row>
    <row r="381" spans="1:17" x14ac:dyDescent="0.2">
      <c r="A381" s="1" t="str">
        <f>HYPERLINK("http://www.twitter.com/Ugo_Roux/status/1240975723256520705", "1240975723256520705")</f>
        <v>1240975723256520705</v>
      </c>
      <c r="B381" t="s">
        <v>142</v>
      </c>
      <c r="C381" s="3">
        <v>43910.512071759258</v>
      </c>
      <c r="D381" s="3" t="s">
        <v>17</v>
      </c>
      <c r="E381">
        <v>2</v>
      </c>
      <c r="F381">
        <v>1</v>
      </c>
      <c r="I381" t="s">
        <v>369</v>
      </c>
      <c r="J381" t="str">
        <f>HYPERLINK("http://pbs.twimg.com/media/ETjU1qGXYAAQE9Y.jpg", "http://pbs.twimg.com/media/ETjU1qGXYAAQE9Y.jpg")</f>
        <v>http://pbs.twimg.com/media/ETjU1qGXYAAQE9Y.jpg</v>
      </c>
      <c r="N381">
        <v>0</v>
      </c>
      <c r="O381">
        <v>0</v>
      </c>
      <c r="P381">
        <v>1</v>
      </c>
      <c r="Q381">
        <v>0</v>
      </c>
    </row>
    <row r="382" spans="1:17" x14ac:dyDescent="0.2">
      <c r="A382" s="1" t="str">
        <f>HYPERLINK("http://www.twitter.com/Ugo_Roux/status/1240957138823974912", "1240957138823974912")</f>
        <v>1240957138823974912</v>
      </c>
      <c r="B382" t="s">
        <v>206</v>
      </c>
      <c r="C382" s="3">
        <v>43910.460787037038</v>
      </c>
      <c r="D382" s="3" t="s">
        <v>17</v>
      </c>
      <c r="E382">
        <v>1</v>
      </c>
      <c r="F382">
        <v>0</v>
      </c>
      <c r="I382" t="s">
        <v>356</v>
      </c>
      <c r="N382">
        <v>0</v>
      </c>
      <c r="O382">
        <v>0</v>
      </c>
      <c r="P382">
        <v>1</v>
      </c>
      <c r="Q382">
        <v>0</v>
      </c>
    </row>
    <row r="383" spans="1:17" x14ac:dyDescent="0.2">
      <c r="A383" s="1" t="str">
        <f>HYPERLINK("http://www.twitter.com/Ugo_Roux/status/1240936784080617472", "1240936784080617472")</f>
        <v>1240936784080617472</v>
      </c>
      <c r="B383" t="s">
        <v>206</v>
      </c>
      <c r="C383" s="3">
        <v>43910.404618055552</v>
      </c>
      <c r="D383" s="3" t="s">
        <v>17</v>
      </c>
      <c r="E383">
        <v>2</v>
      </c>
      <c r="F383">
        <v>1</v>
      </c>
      <c r="I383" t="s">
        <v>243</v>
      </c>
      <c r="N383">
        <v>0</v>
      </c>
      <c r="O383">
        <v>0</v>
      </c>
      <c r="P383">
        <v>1</v>
      </c>
      <c r="Q383">
        <v>0</v>
      </c>
    </row>
    <row r="384" spans="1:17" x14ac:dyDescent="0.2">
      <c r="A384" s="1" t="str">
        <f>HYPERLINK("http://www.twitter.com/Ugo_Roux/status/1240926755659096064", "1240926755659096064")</f>
        <v>1240926755659096064</v>
      </c>
      <c r="B384" t="s">
        <v>97</v>
      </c>
      <c r="C384" s="3">
        <v>43910.376944444448</v>
      </c>
      <c r="D384" s="3" t="s">
        <v>17</v>
      </c>
      <c r="E384">
        <v>0</v>
      </c>
      <c r="F384">
        <v>0</v>
      </c>
      <c r="I384" t="s">
        <v>128</v>
      </c>
      <c r="J384" t="str">
        <f>HYPERLINK("http://pbs.twimg.com/media/ETioTudXkAAMrVp.png", "http://pbs.twimg.com/media/ETioTudXkAAMrVp.png")</f>
        <v>http://pbs.twimg.com/media/ETioTudXkAAMrVp.png</v>
      </c>
      <c r="N384">
        <v>0</v>
      </c>
      <c r="O384">
        <v>0</v>
      </c>
      <c r="P384">
        <v>1</v>
      </c>
      <c r="Q384">
        <v>0</v>
      </c>
    </row>
    <row r="385" spans="1:17" x14ac:dyDescent="0.2">
      <c r="A385" s="1" t="str">
        <f>HYPERLINK("http://www.twitter.com/Ugo_Roux/status/1240918958531887104", "1240918958531887104")</f>
        <v>1240918958531887104</v>
      </c>
      <c r="B385" t="s">
        <v>16</v>
      </c>
      <c r="C385" s="3">
        <v>43910.355428240742</v>
      </c>
      <c r="D385" s="3" t="s">
        <v>17</v>
      </c>
      <c r="E385">
        <v>5</v>
      </c>
      <c r="F385">
        <v>6</v>
      </c>
      <c r="I385" t="s">
        <v>33</v>
      </c>
      <c r="N385">
        <v>0</v>
      </c>
      <c r="O385">
        <v>0</v>
      </c>
      <c r="P385">
        <v>1</v>
      </c>
      <c r="Q385">
        <v>0</v>
      </c>
    </row>
    <row r="386" spans="1:17" x14ac:dyDescent="0.2">
      <c r="A386" s="1" t="str">
        <f>HYPERLINK("http://www.twitter.com/Ugo_Roux/status/1240898329858490371", "1240898329858490371")</f>
        <v>1240898329858490371</v>
      </c>
      <c r="B386" t="s">
        <v>285</v>
      </c>
      <c r="C386" s="3">
        <v>43910.298506944448</v>
      </c>
      <c r="D386" s="3" t="s">
        <v>17</v>
      </c>
      <c r="E386">
        <v>0</v>
      </c>
      <c r="F386">
        <v>0</v>
      </c>
      <c r="I386" t="s">
        <v>334</v>
      </c>
      <c r="J386" t="str">
        <f>HYPERLINK("http://pbs.twimg.com/media/ETiOXInWsAAVC9s.jpg", "http://pbs.twimg.com/media/ETiOXInWsAAVC9s.jpg")</f>
        <v>http://pbs.twimg.com/media/ETiOXInWsAAVC9s.jpg</v>
      </c>
      <c r="N386">
        <v>0</v>
      </c>
      <c r="O386">
        <v>0</v>
      </c>
      <c r="P386">
        <v>1</v>
      </c>
      <c r="Q386">
        <v>0</v>
      </c>
    </row>
    <row r="387" spans="1:17" x14ac:dyDescent="0.2">
      <c r="A387" s="1" t="str">
        <f>HYPERLINK("http://www.twitter.com/Ugo_Roux/status/1240767851142750209", "1240767851142750209")</f>
        <v>1240767851142750209</v>
      </c>
      <c r="B387" t="s">
        <v>206</v>
      </c>
      <c r="C387" s="3">
        <v>43909.938449074078</v>
      </c>
      <c r="D387" s="3" t="s">
        <v>17</v>
      </c>
      <c r="E387">
        <v>4</v>
      </c>
      <c r="F387">
        <v>0</v>
      </c>
      <c r="I387" t="s">
        <v>241</v>
      </c>
      <c r="N387">
        <v>0</v>
      </c>
      <c r="O387">
        <v>0</v>
      </c>
      <c r="P387">
        <v>1</v>
      </c>
      <c r="Q387">
        <v>0</v>
      </c>
    </row>
    <row r="388" spans="1:17" x14ac:dyDescent="0.2">
      <c r="A388" s="1" t="str">
        <f>HYPERLINK("http://www.twitter.com/Ugo_Roux/status/1240675893594460161", "1240675893594460161")</f>
        <v>1240675893594460161</v>
      </c>
      <c r="B388" t="s">
        <v>206</v>
      </c>
      <c r="C388" s="3">
        <v>43909.684699074067</v>
      </c>
      <c r="D388" s="3" t="s">
        <v>41</v>
      </c>
      <c r="E388">
        <v>4</v>
      </c>
      <c r="F388">
        <v>3</v>
      </c>
      <c r="I388" t="s">
        <v>219</v>
      </c>
      <c r="J388" t="str">
        <f>HYPERLINK("https://video.twimg.com/ext_tw_video/1240675391548928004/pu/vid/640x352/engzl5nZRjuYgmzG.mp4?tag=10", "https://video.twimg.com/ext_tw_video/1240675391548928004/pu/vid/640x352/engzl5nZRjuYgmzG.mp4?tag=10")</f>
        <v>https://video.twimg.com/ext_tw_video/1240675391548928004/pu/vid/640x352/engzl5nZRjuYgmzG.mp4?tag=10</v>
      </c>
      <c r="N388">
        <v>0</v>
      </c>
      <c r="O388">
        <v>0</v>
      </c>
      <c r="P388">
        <v>1</v>
      </c>
      <c r="Q388">
        <v>0</v>
      </c>
    </row>
    <row r="389" spans="1:17" x14ac:dyDescent="0.2">
      <c r="A389" s="1" t="str">
        <f>HYPERLINK("http://www.twitter.com/Ugo_Roux/status/1240651460850913282", "1240651460850913282")</f>
        <v>1240651460850913282</v>
      </c>
      <c r="B389" t="s">
        <v>370</v>
      </c>
      <c r="C389" s="3">
        <v>43909.617280092592</v>
      </c>
      <c r="D389" s="3" t="s">
        <v>17</v>
      </c>
      <c r="E389">
        <v>0</v>
      </c>
      <c r="F389">
        <v>0</v>
      </c>
      <c r="I389" t="s">
        <v>410</v>
      </c>
      <c r="J389" t="str">
        <f>HYPERLINK("http://pbs.twimg.com/media/ETet7cJXYAIYnSZ.jpg", "http://pbs.twimg.com/media/ETet7cJXYAIYnSZ.jpg")</f>
        <v>http://pbs.twimg.com/media/ETet7cJXYAIYnSZ.jpg</v>
      </c>
      <c r="N389">
        <v>0</v>
      </c>
      <c r="O389">
        <v>0</v>
      </c>
      <c r="P389">
        <v>1</v>
      </c>
      <c r="Q389">
        <v>0</v>
      </c>
    </row>
    <row r="390" spans="1:17" x14ac:dyDescent="0.2">
      <c r="A390" s="1" t="str">
        <f>HYPERLINK("http://www.twitter.com/Ugo_Roux/status/1240645063153246208", "1240645063153246208")</f>
        <v>1240645063153246208</v>
      </c>
      <c r="B390" t="s">
        <v>142</v>
      </c>
      <c r="C390" s="3">
        <v>43909.599618055552</v>
      </c>
      <c r="D390" s="3" t="s">
        <v>17</v>
      </c>
      <c r="E390">
        <v>3</v>
      </c>
      <c r="F390">
        <v>1</v>
      </c>
      <c r="I390" t="s">
        <v>184</v>
      </c>
      <c r="J390" t="str">
        <f>HYPERLINK("http://pbs.twimg.com/media/ETeoGoCWsAAGM0D.jpg", "http://pbs.twimg.com/media/ETeoGoCWsAAGM0D.jpg")</f>
        <v>http://pbs.twimg.com/media/ETeoGoCWsAAGM0D.jpg</v>
      </c>
      <c r="N390">
        <v>0</v>
      </c>
      <c r="O390">
        <v>0</v>
      </c>
      <c r="P390">
        <v>1</v>
      </c>
      <c r="Q390">
        <v>0</v>
      </c>
    </row>
    <row r="391" spans="1:17" x14ac:dyDescent="0.2">
      <c r="A391" s="1" t="str">
        <f>HYPERLINK("http://www.twitter.com/Ugo_Roux/status/1240629698427867136", "1240629698427867136")</f>
        <v>1240629698427867136</v>
      </c>
      <c r="B391" t="s">
        <v>370</v>
      </c>
      <c r="C391" s="3">
        <v>43909.557222222233</v>
      </c>
      <c r="D391" s="3" t="s">
        <v>28</v>
      </c>
      <c r="E391">
        <v>1</v>
      </c>
      <c r="F391">
        <v>0</v>
      </c>
      <c r="I391" t="s">
        <v>411</v>
      </c>
      <c r="J391" t="str">
        <f>HYPERLINK("http://pbs.twimg.com/media/ETeaItvWAAA4wjZ.jpg", "http://pbs.twimg.com/media/ETeaItvWAAA4wjZ.jpg")</f>
        <v>http://pbs.twimg.com/media/ETeaItvWAAA4wjZ.jpg</v>
      </c>
      <c r="N391">
        <v>0</v>
      </c>
      <c r="O391">
        <v>0</v>
      </c>
      <c r="P391">
        <v>1</v>
      </c>
      <c r="Q391">
        <v>0</v>
      </c>
    </row>
    <row r="392" spans="1:17" x14ac:dyDescent="0.2">
      <c r="A392" s="1" t="str">
        <f>HYPERLINK("http://www.twitter.com/Ugo_Roux/status/1240622537555533826", "1240622537555533826")</f>
        <v>1240622537555533826</v>
      </c>
      <c r="B392" t="s">
        <v>370</v>
      </c>
      <c r="C392" s="3">
        <v>43909.537465277783</v>
      </c>
      <c r="D392" s="3" t="s">
        <v>24</v>
      </c>
      <c r="E392">
        <v>0</v>
      </c>
      <c r="F392">
        <v>0</v>
      </c>
      <c r="I392" t="s">
        <v>412</v>
      </c>
      <c r="N392">
        <v>0</v>
      </c>
      <c r="O392">
        <v>0</v>
      </c>
      <c r="P392">
        <v>1</v>
      </c>
      <c r="Q392">
        <v>0</v>
      </c>
    </row>
    <row r="393" spans="1:17" x14ac:dyDescent="0.2">
      <c r="A393" s="1" t="str">
        <f>HYPERLINK("http://www.twitter.com/Ugo_Roux/status/1240620406517780483", "1240620406517780483")</f>
        <v>1240620406517780483</v>
      </c>
      <c r="B393" t="s">
        <v>206</v>
      </c>
      <c r="C393" s="3">
        <v>43909.531585648147</v>
      </c>
      <c r="D393" s="3" t="s">
        <v>17</v>
      </c>
      <c r="E393">
        <v>4</v>
      </c>
      <c r="F393">
        <v>0</v>
      </c>
      <c r="I393" t="s">
        <v>258</v>
      </c>
      <c r="N393">
        <v>0</v>
      </c>
      <c r="O393">
        <v>0</v>
      </c>
      <c r="P393">
        <v>1</v>
      </c>
      <c r="Q393">
        <v>0</v>
      </c>
    </row>
    <row r="394" spans="1:17" x14ac:dyDescent="0.2">
      <c r="A394" s="1" t="str">
        <f>HYPERLINK("http://www.twitter.com/Ugo_Roux/status/1240589550587727872", "1240589550587727872")</f>
        <v>1240589550587727872</v>
      </c>
      <c r="B394" t="s">
        <v>16</v>
      </c>
      <c r="C394" s="3">
        <v>43909.446435185193</v>
      </c>
      <c r="D394" s="3" t="s">
        <v>17</v>
      </c>
      <c r="E394">
        <v>0</v>
      </c>
      <c r="F394">
        <v>0</v>
      </c>
      <c r="I394" t="s">
        <v>44</v>
      </c>
      <c r="N394">
        <v>0</v>
      </c>
      <c r="O394">
        <v>0</v>
      </c>
      <c r="P394">
        <v>1</v>
      </c>
      <c r="Q394">
        <v>0</v>
      </c>
    </row>
    <row r="395" spans="1:17" x14ac:dyDescent="0.2">
      <c r="A395" s="1" t="str">
        <f>HYPERLINK("http://www.twitter.com/Ugo_Roux/status/1240579966615552000", "1240579966615552000")</f>
        <v>1240579966615552000</v>
      </c>
      <c r="B395" t="s">
        <v>130</v>
      </c>
      <c r="C395" s="3">
        <v>43909.419988425929</v>
      </c>
      <c r="D395" s="3" t="s">
        <v>17</v>
      </c>
      <c r="E395">
        <v>1</v>
      </c>
      <c r="F395">
        <v>0</v>
      </c>
      <c r="I395" t="s">
        <v>140</v>
      </c>
      <c r="J395" t="str">
        <f>HYPERLINK("http://pbs.twimg.com/media/ETdsuvcWkAA8okP.jpg", "http://pbs.twimg.com/media/ETdsuvcWkAA8okP.jpg")</f>
        <v>http://pbs.twimg.com/media/ETdsuvcWkAA8okP.jpg</v>
      </c>
      <c r="N395">
        <v>0</v>
      </c>
      <c r="O395">
        <v>0</v>
      </c>
      <c r="P395">
        <v>1</v>
      </c>
      <c r="Q395">
        <v>0</v>
      </c>
    </row>
    <row r="396" spans="1:17" x14ac:dyDescent="0.2">
      <c r="A396" s="1" t="str">
        <f>HYPERLINK("http://www.twitter.com/Ugo_Roux/status/1240576493249576960", "1240576493249576960")</f>
        <v>1240576493249576960</v>
      </c>
      <c r="B396" t="s">
        <v>414</v>
      </c>
      <c r="C396" s="3">
        <v>43909.410405092603</v>
      </c>
      <c r="D396" s="3" t="s">
        <v>17</v>
      </c>
      <c r="E396">
        <v>1</v>
      </c>
      <c r="F396">
        <v>0</v>
      </c>
      <c r="I396" t="s">
        <v>424</v>
      </c>
      <c r="J396" t="str">
        <f>HYPERLINK("http://pbs.twimg.com/media/ETdpiClXYAAZ0Pk.jpg", "http://pbs.twimg.com/media/ETdpiClXYAAZ0Pk.jpg")</f>
        <v>http://pbs.twimg.com/media/ETdpiClXYAAZ0Pk.jpg</v>
      </c>
      <c r="N396">
        <v>0</v>
      </c>
      <c r="O396">
        <v>0</v>
      </c>
      <c r="P396">
        <v>1</v>
      </c>
      <c r="Q396">
        <v>0</v>
      </c>
    </row>
    <row r="397" spans="1:17" x14ac:dyDescent="0.2">
      <c r="A397" s="1" t="str">
        <f>HYPERLINK("http://www.twitter.com/Ugo_Roux/status/1240571891024310274", "1240571891024310274")</f>
        <v>1240571891024310274</v>
      </c>
      <c r="B397" t="s">
        <v>206</v>
      </c>
      <c r="C397" s="3">
        <v>43909.39770833333</v>
      </c>
      <c r="D397" s="3" t="s">
        <v>17</v>
      </c>
      <c r="E397">
        <v>11</v>
      </c>
      <c r="F397">
        <v>7</v>
      </c>
      <c r="I397" t="s">
        <v>357</v>
      </c>
      <c r="N397">
        <v>0</v>
      </c>
      <c r="O397">
        <v>0</v>
      </c>
      <c r="P397">
        <v>1</v>
      </c>
      <c r="Q397">
        <v>0</v>
      </c>
    </row>
    <row r="398" spans="1:17" x14ac:dyDescent="0.2">
      <c r="A398" s="1" t="str">
        <f>HYPERLINK("http://www.twitter.com/Ugo_Roux/status/1240548345120280576", "1240548345120280576")</f>
        <v>1240548345120280576</v>
      </c>
      <c r="B398" t="s">
        <v>16</v>
      </c>
      <c r="C398" s="3">
        <v>43909.332731481481</v>
      </c>
      <c r="D398" s="3" t="s">
        <v>17</v>
      </c>
      <c r="E398">
        <v>1</v>
      </c>
      <c r="F398">
        <v>0</v>
      </c>
      <c r="I398" t="s">
        <v>46</v>
      </c>
      <c r="J398" t="str">
        <f>HYPERLINK("http://pbs.twimg.com/media/ETdQIb9XgAETVyJ.jpg", "http://pbs.twimg.com/media/ETdQIb9XgAETVyJ.jpg")</f>
        <v>http://pbs.twimg.com/media/ETdQIb9XgAETVyJ.jpg</v>
      </c>
      <c r="N398">
        <v>0</v>
      </c>
      <c r="O398">
        <v>0</v>
      </c>
      <c r="P398">
        <v>1</v>
      </c>
      <c r="Q398">
        <v>0</v>
      </c>
    </row>
    <row r="399" spans="1:17" x14ac:dyDescent="0.2">
      <c r="A399" s="1" t="str">
        <f>HYPERLINK("http://www.twitter.com/Ugo_Roux/status/1240533617153134593", "1240533617153134593")</f>
        <v>1240533617153134593</v>
      </c>
      <c r="B399" t="s">
        <v>285</v>
      </c>
      <c r="C399" s="3">
        <v>43909.292083333326</v>
      </c>
      <c r="D399" s="3" t="s">
        <v>17</v>
      </c>
      <c r="E399">
        <v>0</v>
      </c>
      <c r="F399">
        <v>0</v>
      </c>
      <c r="I399" t="s">
        <v>335</v>
      </c>
      <c r="J399" t="str">
        <f>HYPERLINK("http://pbs.twimg.com/media/ETdB5QNWsAA-5Wc.jpg", "http://pbs.twimg.com/media/ETdB5QNWsAA-5Wc.jpg")</f>
        <v>http://pbs.twimg.com/media/ETdB5QNWsAA-5Wc.jpg</v>
      </c>
      <c r="N399">
        <v>0</v>
      </c>
      <c r="O399">
        <v>0</v>
      </c>
      <c r="P399">
        <v>1</v>
      </c>
      <c r="Q399">
        <v>0</v>
      </c>
    </row>
    <row r="400" spans="1:17" x14ac:dyDescent="0.2">
      <c r="A400" s="1" t="str">
        <f>HYPERLINK("http://www.twitter.com/Ugo_Roux/status/1240332465333587969", "1240332465333587969")</f>
        <v>1240332465333587969</v>
      </c>
      <c r="B400" t="s">
        <v>206</v>
      </c>
      <c r="C400" s="3">
        <v>43908.737013888887</v>
      </c>
      <c r="D400" s="3" t="s">
        <v>17</v>
      </c>
      <c r="E400">
        <v>2</v>
      </c>
      <c r="F400">
        <v>1</v>
      </c>
      <c r="I400" t="s">
        <v>262</v>
      </c>
      <c r="J400" t="str">
        <f>HYPERLINK("http://pbs.twimg.com/media/ETaLyPsXkAI5JOo.jpg", "http://pbs.twimg.com/media/ETaLyPsXkAI5JOo.jpg")</f>
        <v>http://pbs.twimg.com/media/ETaLyPsXkAI5JOo.jpg</v>
      </c>
      <c r="N400">
        <v>-0.20030000000000001</v>
      </c>
      <c r="O400">
        <v>5.2999999999999999E-2</v>
      </c>
      <c r="P400">
        <v>0.94699999999999995</v>
      </c>
      <c r="Q400">
        <v>0</v>
      </c>
    </row>
    <row r="401" spans="1:17" x14ac:dyDescent="0.2">
      <c r="A401" s="1" t="str">
        <f>HYPERLINK("http://www.twitter.com/Ugo_Roux/status/1240316400935329792", "1240316400935329792")</f>
        <v>1240316400935329792</v>
      </c>
      <c r="B401" t="s">
        <v>16</v>
      </c>
      <c r="C401" s="3">
        <v>43908.692685185182</v>
      </c>
      <c r="D401" s="3" t="s">
        <v>17</v>
      </c>
      <c r="E401">
        <v>2</v>
      </c>
      <c r="F401">
        <v>0</v>
      </c>
      <c r="I401" t="s">
        <v>26</v>
      </c>
      <c r="N401">
        <v>0</v>
      </c>
      <c r="O401">
        <v>0</v>
      </c>
      <c r="P401">
        <v>1</v>
      </c>
      <c r="Q401">
        <v>0</v>
      </c>
    </row>
    <row r="402" spans="1:17" x14ac:dyDescent="0.2">
      <c r="A402" s="1" t="str">
        <f>HYPERLINK("http://www.twitter.com/Ugo_Roux/status/1240313231148814340", "1240313231148814340")</f>
        <v>1240313231148814340</v>
      </c>
      <c r="B402" t="s">
        <v>16</v>
      </c>
      <c r="C402" s="3">
        <v>43908.683935185189</v>
      </c>
      <c r="D402" s="3" t="s">
        <v>17</v>
      </c>
      <c r="E402">
        <v>1</v>
      </c>
      <c r="F402">
        <v>1</v>
      </c>
      <c r="I402" t="s">
        <v>40</v>
      </c>
      <c r="N402">
        <v>0</v>
      </c>
      <c r="O402">
        <v>0</v>
      </c>
      <c r="P402">
        <v>1</v>
      </c>
      <c r="Q402">
        <v>0</v>
      </c>
    </row>
    <row r="403" spans="1:17" x14ac:dyDescent="0.2">
      <c r="A403" s="1" t="str">
        <f>HYPERLINK("http://www.twitter.com/Ugo_Roux/status/1240285519415738370", "1240285519415738370")</f>
        <v>1240285519415738370</v>
      </c>
      <c r="B403" t="s">
        <v>16</v>
      </c>
      <c r="C403" s="3">
        <v>43908.607465277782</v>
      </c>
      <c r="D403" s="3" t="s">
        <v>41</v>
      </c>
      <c r="E403">
        <v>1</v>
      </c>
      <c r="F403">
        <v>0</v>
      </c>
      <c r="I403" t="s">
        <v>42</v>
      </c>
      <c r="N403">
        <v>0</v>
      </c>
      <c r="O403">
        <v>0</v>
      </c>
      <c r="P403">
        <v>1</v>
      </c>
      <c r="Q403">
        <v>0</v>
      </c>
    </row>
    <row r="404" spans="1:17" x14ac:dyDescent="0.2">
      <c r="A404" s="1" t="str">
        <f>HYPERLINK("http://www.twitter.com/Ugo_Roux/status/1240277310177230849", "1240277310177230849")</f>
        <v>1240277310177230849</v>
      </c>
      <c r="B404" t="s">
        <v>206</v>
      </c>
      <c r="C404" s="3">
        <v>43908.584814814807</v>
      </c>
      <c r="D404" s="3" t="s">
        <v>41</v>
      </c>
      <c r="E404">
        <v>3</v>
      </c>
      <c r="F404">
        <v>2</v>
      </c>
      <c r="I404" t="s">
        <v>218</v>
      </c>
      <c r="J404" t="str">
        <f>HYPERLINK("http://pbs.twimg.com/media/ETZZb6QXsAQRKaY.jpg", "http://pbs.twimg.com/media/ETZZb6QXsAQRKaY.jpg")</f>
        <v>http://pbs.twimg.com/media/ETZZb6QXsAQRKaY.jpg</v>
      </c>
      <c r="N404">
        <v>0</v>
      </c>
      <c r="O404">
        <v>0</v>
      </c>
      <c r="P404">
        <v>1</v>
      </c>
      <c r="Q404">
        <v>0</v>
      </c>
    </row>
    <row r="405" spans="1:17" x14ac:dyDescent="0.2">
      <c r="A405" s="1" t="str">
        <f>HYPERLINK("http://www.twitter.com/Ugo_Roux/status/1240275443821010946", "1240275443821010946")</f>
        <v>1240275443821010946</v>
      </c>
      <c r="B405" t="s">
        <v>206</v>
      </c>
      <c r="C405" s="3">
        <v>43908.579664351862</v>
      </c>
      <c r="D405" s="3" t="s">
        <v>41</v>
      </c>
      <c r="E405">
        <v>10</v>
      </c>
      <c r="F405">
        <v>4</v>
      </c>
      <c r="I405" t="s">
        <v>216</v>
      </c>
      <c r="N405">
        <v>0</v>
      </c>
      <c r="O405">
        <v>0</v>
      </c>
      <c r="P405">
        <v>1</v>
      </c>
      <c r="Q405">
        <v>0</v>
      </c>
    </row>
    <row r="406" spans="1:17" x14ac:dyDescent="0.2">
      <c r="A406" s="1" t="str">
        <f>HYPERLINK("http://www.twitter.com/Ugo_Roux/status/1240271120588255232", "1240271120588255232")</f>
        <v>1240271120588255232</v>
      </c>
      <c r="B406" t="s">
        <v>142</v>
      </c>
      <c r="C406" s="3">
        <v>43908.567731481482</v>
      </c>
      <c r="D406" s="3" t="s">
        <v>17</v>
      </c>
      <c r="E406">
        <v>2</v>
      </c>
      <c r="F406">
        <v>0</v>
      </c>
      <c r="I406" t="s">
        <v>199</v>
      </c>
      <c r="N406">
        <v>0</v>
      </c>
      <c r="O406">
        <v>0</v>
      </c>
      <c r="P406">
        <v>1</v>
      </c>
      <c r="Q406">
        <v>0</v>
      </c>
    </row>
    <row r="407" spans="1:17" x14ac:dyDescent="0.2">
      <c r="A407" s="1" t="str">
        <f>HYPERLINK("http://www.twitter.com/Ugo_Roux/status/1240270420798050307", "1240270420798050307")</f>
        <v>1240270420798050307</v>
      </c>
      <c r="B407" t="s">
        <v>142</v>
      </c>
      <c r="C407" s="3">
        <v>43908.565810185188</v>
      </c>
      <c r="D407" s="3" t="s">
        <v>17</v>
      </c>
      <c r="E407">
        <v>0</v>
      </c>
      <c r="F407">
        <v>1</v>
      </c>
      <c r="I407" t="s">
        <v>202</v>
      </c>
      <c r="J407" t="str">
        <f>HYPERLINK("http://pbs.twimg.com/media/ETZTXowWsAg8fNQ.jpg", "http://pbs.twimg.com/media/ETZTXowWsAg8fNQ.jpg")</f>
        <v>http://pbs.twimg.com/media/ETZTXowWsAg8fNQ.jpg</v>
      </c>
      <c r="N407">
        <v>0</v>
      </c>
      <c r="O407">
        <v>0</v>
      </c>
      <c r="P407">
        <v>1</v>
      </c>
      <c r="Q407">
        <v>0</v>
      </c>
    </row>
    <row r="408" spans="1:17" x14ac:dyDescent="0.2">
      <c r="A408" s="1" t="str">
        <f>HYPERLINK("http://www.twitter.com/Ugo_Roux/status/1240261204280578049", "1240261204280578049")</f>
        <v>1240261204280578049</v>
      </c>
      <c r="B408" t="s">
        <v>285</v>
      </c>
      <c r="C408" s="3">
        <v>43908.540370370371</v>
      </c>
      <c r="D408" s="3" t="s">
        <v>24</v>
      </c>
      <c r="E408">
        <v>0</v>
      </c>
      <c r="F408">
        <v>0</v>
      </c>
      <c r="I408" t="s">
        <v>288</v>
      </c>
      <c r="N408">
        <v>0</v>
      </c>
      <c r="O408">
        <v>0</v>
      </c>
      <c r="P408">
        <v>1</v>
      </c>
      <c r="Q408">
        <v>0</v>
      </c>
    </row>
    <row r="409" spans="1:17" x14ac:dyDescent="0.2">
      <c r="A409" s="1" t="str">
        <f>HYPERLINK("http://www.twitter.com/Ugo_Roux/status/1240257459786338304", "1240257459786338304")</f>
        <v>1240257459786338304</v>
      </c>
      <c r="B409" t="s">
        <v>16</v>
      </c>
      <c r="C409" s="3">
        <v>43908.530034722222</v>
      </c>
      <c r="D409" s="3" t="s">
        <v>17</v>
      </c>
      <c r="E409">
        <v>2</v>
      </c>
      <c r="F409">
        <v>1</v>
      </c>
      <c r="I409" t="s">
        <v>19</v>
      </c>
      <c r="N409">
        <v>0</v>
      </c>
      <c r="O409">
        <v>0</v>
      </c>
      <c r="P409">
        <v>1</v>
      </c>
      <c r="Q409">
        <v>0</v>
      </c>
    </row>
    <row r="410" spans="1:17" x14ac:dyDescent="0.2">
      <c r="A410" s="1" t="str">
        <f>HYPERLINK("http://www.twitter.com/Ugo_Roux/status/1240252328390938626", "1240252328390938626")</f>
        <v>1240252328390938626</v>
      </c>
      <c r="B410" t="s">
        <v>16</v>
      </c>
      <c r="C410" s="3">
        <v>43908.515879629631</v>
      </c>
      <c r="D410" s="3" t="s">
        <v>17</v>
      </c>
      <c r="E410">
        <v>1</v>
      </c>
      <c r="F410">
        <v>1</v>
      </c>
      <c r="I410" t="s">
        <v>45</v>
      </c>
      <c r="N410">
        <v>0</v>
      </c>
      <c r="O410">
        <v>0</v>
      </c>
      <c r="P410">
        <v>1</v>
      </c>
      <c r="Q410">
        <v>0</v>
      </c>
    </row>
    <row r="411" spans="1:17" x14ac:dyDescent="0.2">
      <c r="A411" s="1" t="str">
        <f>HYPERLINK("http://www.twitter.com/Ugo_Roux/status/1240219861688750080", "1240219861688750080")</f>
        <v>1240219861688750080</v>
      </c>
      <c r="B411" t="s">
        <v>97</v>
      </c>
      <c r="C411" s="3">
        <v>43908.42628472222</v>
      </c>
      <c r="D411" s="3" t="s">
        <v>41</v>
      </c>
      <c r="E411">
        <v>0</v>
      </c>
      <c r="F411">
        <v>0</v>
      </c>
      <c r="I411" t="s">
        <v>129</v>
      </c>
      <c r="J411" t="str">
        <f>HYPERLINK("http://pbs.twimg.com/media/ETYlZCmWAAA5g3-.jpg", "http://pbs.twimg.com/media/ETYlZCmWAAA5g3-.jpg")</f>
        <v>http://pbs.twimg.com/media/ETYlZCmWAAA5g3-.jpg</v>
      </c>
      <c r="N411">
        <v>0</v>
      </c>
      <c r="O411">
        <v>0</v>
      </c>
      <c r="P411">
        <v>1</v>
      </c>
      <c r="Q411">
        <v>0</v>
      </c>
    </row>
    <row r="412" spans="1:17" x14ac:dyDescent="0.2">
      <c r="A412" s="1" t="str">
        <f>HYPERLINK("http://www.twitter.com/Ugo_Roux/status/1240207486055047168", "1240207486055047168")</f>
        <v>1240207486055047168</v>
      </c>
      <c r="B412" t="s">
        <v>130</v>
      </c>
      <c r="C412" s="3">
        <v>43908.392141203702</v>
      </c>
      <c r="D412" s="3" t="s">
        <v>17</v>
      </c>
      <c r="E412">
        <v>0</v>
      </c>
      <c r="F412">
        <v>0</v>
      </c>
      <c r="I412" t="s">
        <v>141</v>
      </c>
      <c r="J412" t="str">
        <f>HYPERLINK("http://pbs.twimg.com/media/ETYZZntWsAEfca-.png", "http://pbs.twimg.com/media/ETYZZntWsAEfca-.png")</f>
        <v>http://pbs.twimg.com/media/ETYZZntWsAEfca-.png</v>
      </c>
      <c r="N412">
        <v>0</v>
      </c>
      <c r="O412">
        <v>0</v>
      </c>
      <c r="P412">
        <v>1</v>
      </c>
      <c r="Q412">
        <v>0</v>
      </c>
    </row>
    <row r="413" spans="1:17" x14ac:dyDescent="0.2">
      <c r="A413" s="1" t="str">
        <f>HYPERLINK("http://www.twitter.com/Ugo_Roux/status/1240199149859061760", "1240199149859061760")</f>
        <v>1240199149859061760</v>
      </c>
      <c r="B413" t="s">
        <v>16</v>
      </c>
      <c r="C413" s="3">
        <v>43908.369131944448</v>
      </c>
      <c r="D413" s="3" t="s">
        <v>17</v>
      </c>
      <c r="E413">
        <v>2</v>
      </c>
      <c r="F413">
        <v>1</v>
      </c>
      <c r="I413" t="s">
        <v>34</v>
      </c>
      <c r="N413">
        <v>0</v>
      </c>
      <c r="O413">
        <v>0</v>
      </c>
      <c r="P413">
        <v>1</v>
      </c>
      <c r="Q413">
        <v>0</v>
      </c>
    </row>
    <row r="414" spans="1:17" x14ac:dyDescent="0.2">
      <c r="A414" s="1" t="str">
        <f>HYPERLINK("http://www.twitter.com/Ugo_Roux/status/1240186624115343360", "1240186624115343360")</f>
        <v>1240186624115343360</v>
      </c>
      <c r="B414" t="s">
        <v>16</v>
      </c>
      <c r="C414" s="3">
        <v>43908.33457175926</v>
      </c>
      <c r="D414" s="3" t="s">
        <v>17</v>
      </c>
      <c r="E414">
        <v>4</v>
      </c>
      <c r="F414">
        <v>2</v>
      </c>
      <c r="I414" t="s">
        <v>20</v>
      </c>
      <c r="N414">
        <v>0.24809999999999999</v>
      </c>
      <c r="O414">
        <v>0</v>
      </c>
      <c r="P414">
        <v>0.86699999999999999</v>
      </c>
      <c r="Q414">
        <v>0.13300000000000001</v>
      </c>
    </row>
    <row r="415" spans="1:17" x14ac:dyDescent="0.2">
      <c r="A415" s="1" t="str">
        <f>HYPERLINK("http://www.twitter.com/Ugo_Roux/status/1240173898861338624", "1240173898861338624")</f>
        <v>1240173898861338624</v>
      </c>
      <c r="B415" t="s">
        <v>285</v>
      </c>
      <c r="C415" s="3">
        <v>43908.299456018518</v>
      </c>
      <c r="D415" s="3" t="s">
        <v>17</v>
      </c>
      <c r="E415">
        <v>1</v>
      </c>
      <c r="F415">
        <v>0</v>
      </c>
      <c r="I415" t="s">
        <v>336</v>
      </c>
      <c r="J415" t="str">
        <f>HYPERLINK("http://pbs.twimg.com/media/ETX7k7kXgAAI_MH.jpg", "http://pbs.twimg.com/media/ETX7k7kXgAAI_MH.jpg")</f>
        <v>http://pbs.twimg.com/media/ETX7k7kXgAAI_MH.jpg</v>
      </c>
      <c r="N415">
        <v>0</v>
      </c>
      <c r="O415">
        <v>0</v>
      </c>
      <c r="P415">
        <v>1</v>
      </c>
      <c r="Q415">
        <v>0</v>
      </c>
    </row>
    <row r="416" spans="1:17" x14ac:dyDescent="0.2">
      <c r="A416" s="1" t="str">
        <f>HYPERLINK("http://www.twitter.com/Ugo_Roux/status/1239921771882692613", "1239921771882692613")</f>
        <v>1239921771882692613</v>
      </c>
      <c r="B416" t="s">
        <v>16</v>
      </c>
      <c r="C416" s="3">
        <v>43907.603715277779</v>
      </c>
      <c r="D416" s="3" t="s">
        <v>17</v>
      </c>
      <c r="E416">
        <v>2</v>
      </c>
      <c r="F416">
        <v>0</v>
      </c>
      <c r="I416" t="s">
        <v>30</v>
      </c>
      <c r="J416" t="str">
        <f>HYPERLINK("http://pbs.twimg.com/media/ETUVvXYXgAYyxJ6.jpg", "http://pbs.twimg.com/media/ETUVvXYXgAYyxJ6.jpg")</f>
        <v>http://pbs.twimg.com/media/ETUVvXYXgAYyxJ6.jpg</v>
      </c>
      <c r="N416">
        <v>0</v>
      </c>
      <c r="O416">
        <v>0</v>
      </c>
      <c r="P416">
        <v>1</v>
      </c>
      <c r="Q416">
        <v>0</v>
      </c>
    </row>
    <row r="417" spans="1:17" x14ac:dyDescent="0.2">
      <c r="A417" s="1" t="str">
        <f>HYPERLINK("http://www.twitter.com/Ugo_Roux/status/1239914112022458374", "1239914112022458374")</f>
        <v>1239914112022458374</v>
      </c>
      <c r="B417" t="s">
        <v>16</v>
      </c>
      <c r="C417" s="3">
        <v>43907.58258101852</v>
      </c>
      <c r="D417" s="3" t="s">
        <v>17</v>
      </c>
      <c r="E417">
        <v>2</v>
      </c>
      <c r="F417">
        <v>0</v>
      </c>
      <c r="I417" t="s">
        <v>37</v>
      </c>
      <c r="N417">
        <v>0.4738</v>
      </c>
      <c r="O417">
        <v>0</v>
      </c>
      <c r="P417">
        <v>0.86</v>
      </c>
      <c r="Q417">
        <v>0.14000000000000001</v>
      </c>
    </row>
    <row r="418" spans="1:17" x14ac:dyDescent="0.2">
      <c r="A418" s="1" t="str">
        <f>HYPERLINK("http://www.twitter.com/Ugo_Roux/status/1239867829341519872", "1239867829341519872")</f>
        <v>1239867829341519872</v>
      </c>
      <c r="B418" t="s">
        <v>16</v>
      </c>
      <c r="C418" s="3">
        <v>43907.454861111109</v>
      </c>
      <c r="D418" s="3" t="s">
        <v>24</v>
      </c>
      <c r="E418">
        <v>0</v>
      </c>
      <c r="F418">
        <v>0</v>
      </c>
      <c r="I418" t="s">
        <v>25</v>
      </c>
      <c r="N418">
        <v>0</v>
      </c>
      <c r="O418">
        <v>0</v>
      </c>
      <c r="P418">
        <v>1</v>
      </c>
      <c r="Q418">
        <v>0</v>
      </c>
    </row>
    <row r="419" spans="1:17" x14ac:dyDescent="0.2">
      <c r="A419" s="1" t="str">
        <f>HYPERLINK("http://www.twitter.com/Ugo_Roux/status/1239859509197254656", "1239859509197254656")</f>
        <v>1239859509197254656</v>
      </c>
      <c r="B419" t="s">
        <v>285</v>
      </c>
      <c r="C419" s="3">
        <v>43907.431909722232</v>
      </c>
      <c r="D419" s="3" t="s">
        <v>17</v>
      </c>
      <c r="E419">
        <v>1</v>
      </c>
      <c r="F419">
        <v>3</v>
      </c>
      <c r="I419" t="s">
        <v>337</v>
      </c>
      <c r="N419">
        <v>0</v>
      </c>
      <c r="O419">
        <v>0</v>
      </c>
      <c r="P419">
        <v>1</v>
      </c>
      <c r="Q419">
        <v>0</v>
      </c>
    </row>
    <row r="420" spans="1:17" x14ac:dyDescent="0.2">
      <c r="A420" s="1" t="str">
        <f>HYPERLINK("http://www.twitter.com/Ugo_Roux/status/1239810633488613376", "1239810633488613376")</f>
        <v>1239810633488613376</v>
      </c>
      <c r="B420" t="s">
        <v>285</v>
      </c>
      <c r="C420" s="3">
        <v>43907.297037037039</v>
      </c>
      <c r="D420" s="3" t="s">
        <v>17</v>
      </c>
      <c r="E420">
        <v>2</v>
      </c>
      <c r="F420">
        <v>1</v>
      </c>
      <c r="I420" t="s">
        <v>338</v>
      </c>
      <c r="J420" t="str">
        <f>HYPERLINK("http://pbs.twimg.com/media/ETSw9wLX0AAM0yc.jpg", "http://pbs.twimg.com/media/ETSw9wLX0AAM0yc.jpg")</f>
        <v>http://pbs.twimg.com/media/ETSw9wLX0AAM0yc.jpg</v>
      </c>
      <c r="N420">
        <v>0</v>
      </c>
      <c r="O420">
        <v>0</v>
      </c>
      <c r="P420">
        <v>1</v>
      </c>
      <c r="Q420">
        <v>0</v>
      </c>
    </row>
    <row r="421" spans="1:17" x14ac:dyDescent="0.2">
      <c r="A421" s="1" t="str">
        <f>HYPERLINK("http://www.twitter.com/Ugo_Roux/status/1239614077703462912", "1239614077703462912")</f>
        <v>1239614077703462912</v>
      </c>
      <c r="B421" t="s">
        <v>285</v>
      </c>
      <c r="C421" s="3">
        <v>43906.754641203697</v>
      </c>
      <c r="D421" s="3" t="s">
        <v>24</v>
      </c>
      <c r="E421">
        <v>0</v>
      </c>
      <c r="F421">
        <v>0</v>
      </c>
      <c r="I421" t="s">
        <v>289</v>
      </c>
      <c r="J421" t="str">
        <f>HYPERLINK("http://pbs.twimg.com/media/ETP-bF5XYAElEzN.jpg", "http://pbs.twimg.com/media/ETP-bF5XYAElEzN.jpg")</f>
        <v>http://pbs.twimg.com/media/ETP-bF5XYAElEzN.jpg</v>
      </c>
      <c r="N421">
        <v>0</v>
      </c>
      <c r="O421">
        <v>0</v>
      </c>
      <c r="P421">
        <v>1</v>
      </c>
      <c r="Q421">
        <v>0</v>
      </c>
    </row>
    <row r="422" spans="1:17" x14ac:dyDescent="0.2">
      <c r="A422" s="1" t="str">
        <f>HYPERLINK("http://www.twitter.com/Ugo_Roux/status/1239614009147633665", "1239614009147633665")</f>
        <v>1239614009147633665</v>
      </c>
      <c r="B422" t="s">
        <v>285</v>
      </c>
      <c r="C422" s="3">
        <v>43906.75445601852</v>
      </c>
      <c r="D422" s="3" t="s">
        <v>17</v>
      </c>
      <c r="E422">
        <v>0</v>
      </c>
      <c r="F422">
        <v>0</v>
      </c>
      <c r="I422" t="s">
        <v>339</v>
      </c>
      <c r="N422">
        <v>0</v>
      </c>
      <c r="O422">
        <v>0</v>
      </c>
      <c r="P422">
        <v>1</v>
      </c>
      <c r="Q422">
        <v>0</v>
      </c>
    </row>
    <row r="423" spans="1:17" x14ac:dyDescent="0.2">
      <c r="A423" s="1" t="str">
        <f>HYPERLINK("http://www.twitter.com/Ugo_Roux/status/1239594450285998081", "1239594450285998081")</f>
        <v>1239594450285998081</v>
      </c>
      <c r="B423" t="s">
        <v>285</v>
      </c>
      <c r="C423" s="3">
        <v>43906.700486111113</v>
      </c>
      <c r="D423" s="3" t="s">
        <v>24</v>
      </c>
      <c r="E423">
        <v>0</v>
      </c>
      <c r="F423">
        <v>0</v>
      </c>
      <c r="I423" t="s">
        <v>290</v>
      </c>
      <c r="J423" t="str">
        <f>HYPERLINK("http://pbs.twimg.com/media/ETPsjlYXkAECprr.jpg", "http://pbs.twimg.com/media/ETPsjlYXkAECprr.jpg")</f>
        <v>http://pbs.twimg.com/media/ETPsjlYXkAECprr.jpg</v>
      </c>
      <c r="N423">
        <v>0</v>
      </c>
      <c r="O423">
        <v>0</v>
      </c>
      <c r="P423">
        <v>1</v>
      </c>
      <c r="Q423">
        <v>0</v>
      </c>
    </row>
    <row r="424" spans="1:17" x14ac:dyDescent="0.2">
      <c r="A424" s="1" t="str">
        <f>HYPERLINK("http://www.twitter.com/Ugo_Roux/status/1239550190132039681", "1239550190132039681")</f>
        <v>1239550190132039681</v>
      </c>
      <c r="B424" t="s">
        <v>370</v>
      </c>
      <c r="C424" s="3">
        <v>43906.578344907408</v>
      </c>
      <c r="D424" s="3" t="s">
        <v>24</v>
      </c>
      <c r="E424">
        <v>0</v>
      </c>
      <c r="F424">
        <v>0</v>
      </c>
      <c r="I424" t="s">
        <v>413</v>
      </c>
      <c r="N424">
        <v>0</v>
      </c>
      <c r="O424">
        <v>0</v>
      </c>
      <c r="P424">
        <v>1</v>
      </c>
      <c r="Q424">
        <v>0</v>
      </c>
    </row>
    <row r="425" spans="1:17" x14ac:dyDescent="0.2">
      <c r="A425" s="1" t="str">
        <f>HYPERLINK("http://www.twitter.com/Ugo_Roux/status/1239520321658642433", "1239520321658642433")</f>
        <v>1239520321658642433</v>
      </c>
      <c r="B425" t="s">
        <v>130</v>
      </c>
      <c r="C425" s="3">
        <v>43906.495925925927</v>
      </c>
      <c r="D425" s="3" t="s">
        <v>24</v>
      </c>
      <c r="E425">
        <v>0</v>
      </c>
      <c r="F425">
        <v>0</v>
      </c>
      <c r="I425" t="s">
        <v>132</v>
      </c>
      <c r="N425">
        <v>0</v>
      </c>
      <c r="O425">
        <v>0</v>
      </c>
      <c r="P425">
        <v>1</v>
      </c>
      <c r="Q425">
        <v>0</v>
      </c>
    </row>
    <row r="426" spans="1:17" x14ac:dyDescent="0.2">
      <c r="A426" s="1" t="str">
        <f>HYPERLINK("http://www.twitter.com/Ugo_Roux/status/1239182408546766849", "1239182408546766849")</f>
        <v>1239182408546766849</v>
      </c>
      <c r="B426" t="s">
        <v>142</v>
      </c>
      <c r="C426" s="3">
        <v>43905.563460648147</v>
      </c>
      <c r="D426" s="3" t="s">
        <v>17</v>
      </c>
      <c r="E426">
        <v>2</v>
      </c>
      <c r="F426">
        <v>5</v>
      </c>
      <c r="I426" t="s">
        <v>160</v>
      </c>
      <c r="J426" t="str">
        <f>HYPERLINK("http://pbs.twimg.com/media/ETJ11G3X0AIVlnB.jpg", "http://pbs.twimg.com/media/ETJ11G3X0AIVlnB.jpg")</f>
        <v>http://pbs.twimg.com/media/ETJ11G3X0AIVlnB.jpg</v>
      </c>
      <c r="N426">
        <v>0</v>
      </c>
      <c r="O426">
        <v>0</v>
      </c>
      <c r="P426">
        <v>1</v>
      </c>
      <c r="Q426">
        <v>0</v>
      </c>
    </row>
    <row r="427" spans="1:17" x14ac:dyDescent="0.2">
      <c r="A427" s="1" t="str">
        <f>HYPERLINK("http://www.twitter.com/Ugo_Roux/status/1238504811311648768", "1238504811311648768")</f>
        <v>1238504811311648768</v>
      </c>
      <c r="B427" t="s">
        <v>456</v>
      </c>
      <c r="C427" s="3">
        <v>43903.693645833337</v>
      </c>
      <c r="D427" s="4" t="s">
        <v>24</v>
      </c>
      <c r="E427">
        <v>0</v>
      </c>
      <c r="F427">
        <v>0</v>
      </c>
      <c r="G427">
        <v>0</v>
      </c>
      <c r="I427" t="s">
        <v>457</v>
      </c>
      <c r="J427" t="str">
        <f>HYPERLINK("http://pbs.twimg.com/media/ETANi0NXsAA9hCa.jpg", "http://pbs.twimg.com/media/ETANi0NXsAA9hCa.jpg")</f>
        <v>http://pbs.twimg.com/media/ETANi0NXsAA9hCa.jpg</v>
      </c>
      <c r="N427">
        <v>0</v>
      </c>
      <c r="O427">
        <v>0</v>
      </c>
      <c r="P427">
        <v>1</v>
      </c>
      <c r="Q427">
        <v>0</v>
      </c>
    </row>
    <row r="428" spans="1:17" x14ac:dyDescent="0.2">
      <c r="A428" s="1" t="str">
        <f>HYPERLINK("http://www.twitter.com/Ugo_Roux/status/1238423511510790147", "1238423511510790147")</f>
        <v>1238423511510790147</v>
      </c>
      <c r="B428" t="s">
        <v>97</v>
      </c>
      <c r="C428" s="3">
        <v>43903.469305555547</v>
      </c>
      <c r="D428" s="5" t="s">
        <v>24</v>
      </c>
      <c r="E428">
        <v>0</v>
      </c>
      <c r="F428">
        <v>0</v>
      </c>
      <c r="G428">
        <v>0</v>
      </c>
      <c r="I428" t="s">
        <v>458</v>
      </c>
      <c r="N428">
        <v>0</v>
      </c>
      <c r="O428">
        <v>0</v>
      </c>
      <c r="P428">
        <v>1</v>
      </c>
      <c r="Q428">
        <v>0</v>
      </c>
    </row>
    <row r="429" spans="1:17" x14ac:dyDescent="0.2">
      <c r="A429" s="1" t="str">
        <f>HYPERLINK("http://www.twitter.com/Ugo_Roux/status/1238406423027093505", "1238406423027093505")</f>
        <v>1238406423027093505</v>
      </c>
      <c r="B429" t="s">
        <v>414</v>
      </c>
      <c r="C429" s="3">
        <v>43903.422152777777</v>
      </c>
      <c r="D429" s="5" t="s">
        <v>24</v>
      </c>
      <c r="E429">
        <v>0</v>
      </c>
      <c r="F429">
        <v>0</v>
      </c>
      <c r="G429">
        <v>0</v>
      </c>
      <c r="I429" t="s">
        <v>459</v>
      </c>
      <c r="J429" t="str">
        <f>HYPERLINK("http://pbs.twimg.com/media/ES-zs9yXYAIGVfd.jpg", "http://pbs.twimg.com/media/ES-zs9yXYAIGVfd.jpg")</f>
        <v>http://pbs.twimg.com/media/ES-zs9yXYAIGVfd.jpg</v>
      </c>
      <c r="N429">
        <v>-0.51600000000000001</v>
      </c>
      <c r="O429">
        <v>0.20399999999999999</v>
      </c>
      <c r="P429">
        <v>0.79600000000000004</v>
      </c>
      <c r="Q429">
        <v>0</v>
      </c>
    </row>
    <row r="430" spans="1:17" x14ac:dyDescent="0.2">
      <c r="A430" s="1" t="str">
        <f>HYPERLINK("http://www.twitter.com/Ugo_Roux/status/1238396823598964736", "1238396823598964736")</f>
        <v>1238396823598964736</v>
      </c>
      <c r="B430" t="s">
        <v>414</v>
      </c>
      <c r="C430" s="3">
        <v>43903.39565972222</v>
      </c>
      <c r="D430" s="5" t="s">
        <v>460</v>
      </c>
      <c r="E430">
        <v>1</v>
      </c>
      <c r="F430">
        <v>2</v>
      </c>
      <c r="G430">
        <v>0</v>
      </c>
      <c r="I430" t="s">
        <v>461</v>
      </c>
      <c r="J430" t="str">
        <f>HYPERLINK("http://pbs.twimg.com/media/ES-rFfxWkAEChlX.jpg", "http://pbs.twimg.com/media/ES-rFfxWkAEChlX.jpg")</f>
        <v>http://pbs.twimg.com/media/ES-rFfxWkAEChlX.jpg</v>
      </c>
      <c r="N430">
        <v>0</v>
      </c>
      <c r="O430">
        <v>0</v>
      </c>
      <c r="P430">
        <v>1</v>
      </c>
      <c r="Q430">
        <v>0</v>
      </c>
    </row>
    <row r="431" spans="1:17" x14ac:dyDescent="0.2">
      <c r="A431" s="1" t="str">
        <f>HYPERLINK("http://www.twitter.com/Ugo_Roux/status/1238375511262453762", "1238375511262453762")</f>
        <v>1238375511262453762</v>
      </c>
      <c r="B431" t="s">
        <v>285</v>
      </c>
      <c r="C431" s="3">
        <v>43903.336851851847</v>
      </c>
      <c r="D431" s="5" t="s">
        <v>28</v>
      </c>
      <c r="E431">
        <v>0</v>
      </c>
      <c r="F431">
        <v>0</v>
      </c>
      <c r="G431">
        <v>0</v>
      </c>
      <c r="I431" t="s">
        <v>462</v>
      </c>
      <c r="J431" t="str">
        <f>HYPERLINK("http://pbs.twimg.com/media/ES-X9WWWsAUmHDu.jpg", "http://pbs.twimg.com/media/ES-X9WWWsAUmHDu.jpg")</f>
        <v>http://pbs.twimg.com/media/ES-X9WWWsAUmHDu.jpg</v>
      </c>
      <c r="N431">
        <v>0</v>
      </c>
      <c r="O431">
        <v>0</v>
      </c>
      <c r="P431">
        <v>1</v>
      </c>
      <c r="Q431">
        <v>0</v>
      </c>
    </row>
    <row r="432" spans="1:17" x14ac:dyDescent="0.2">
      <c r="A432" s="1" t="str">
        <f>HYPERLINK("http://www.twitter.com/Ugo_Roux/status/1238089664793399298", "1238089664793399298")</f>
        <v>1238089664793399298</v>
      </c>
      <c r="B432" t="s">
        <v>370</v>
      </c>
      <c r="C432" s="3">
        <v>43902.548067129632</v>
      </c>
      <c r="D432" s="3" t="s">
        <v>24</v>
      </c>
      <c r="E432">
        <v>1</v>
      </c>
      <c r="F432">
        <v>0</v>
      </c>
      <c r="G432">
        <v>0</v>
      </c>
      <c r="I432" t="s">
        <v>463</v>
      </c>
      <c r="J432" t="str">
        <f>HYPERLINK("http://pbs.twimg.com/media/ES6T_RqWoAElC2r.jpg", "http://pbs.twimg.com/media/ES6T_RqWoAElC2r.jpg")</f>
        <v>http://pbs.twimg.com/media/ES6T_RqWoAElC2r.jpg</v>
      </c>
      <c r="N432">
        <v>0</v>
      </c>
      <c r="O432">
        <v>0</v>
      </c>
      <c r="P432">
        <v>1</v>
      </c>
      <c r="Q432">
        <v>0</v>
      </c>
    </row>
    <row r="433" spans="1:17" x14ac:dyDescent="0.2">
      <c r="A433" s="1" t="str">
        <f>HYPERLINK("http://www.twitter.com/Ugo_Roux/status/1237697635005464577", "1237697635005464577")</f>
        <v>1237697635005464577</v>
      </c>
      <c r="B433" t="s">
        <v>425</v>
      </c>
      <c r="C433" s="3">
        <v>43901.466273148151</v>
      </c>
      <c r="D433" s="5" t="s">
        <v>24</v>
      </c>
      <c r="E433">
        <v>1</v>
      </c>
      <c r="F433">
        <v>0</v>
      </c>
      <c r="G433">
        <v>0</v>
      </c>
      <c r="I433" t="s">
        <v>464</v>
      </c>
      <c r="N433">
        <v>0</v>
      </c>
      <c r="O433">
        <v>0</v>
      </c>
      <c r="P433">
        <v>1</v>
      </c>
      <c r="Q433">
        <v>0</v>
      </c>
    </row>
    <row r="434" spans="1:17" x14ac:dyDescent="0.2">
      <c r="A434" s="1" t="str">
        <f>HYPERLINK("http://www.twitter.com/Ugo_Roux/status/1237697521079783425", "1237697521079783425")</f>
        <v>1237697521079783425</v>
      </c>
      <c r="B434" t="s">
        <v>425</v>
      </c>
      <c r="C434" s="3">
        <v>43901.465949074067</v>
      </c>
      <c r="D434" s="5" t="s">
        <v>24</v>
      </c>
      <c r="E434">
        <v>0</v>
      </c>
      <c r="F434">
        <v>0</v>
      </c>
      <c r="G434">
        <v>0</v>
      </c>
      <c r="I434" t="s">
        <v>465</v>
      </c>
      <c r="J434" t="str">
        <f>HYPERLINK("http://pbs.twimg.com/media/ES0vRTPXYAEmlIe.jpg", "http://pbs.twimg.com/media/ES0vRTPXYAEmlIe.jpg")</f>
        <v>http://pbs.twimg.com/media/ES0vRTPXYAEmlIe.jpg</v>
      </c>
      <c r="K434" t="str">
        <f>HYPERLINK("http://pbs.twimg.com/media/ES0vTI8XQAAtdm8.jpg", "http://pbs.twimg.com/media/ES0vTI8XQAAtdm8.jpg")</f>
        <v>http://pbs.twimg.com/media/ES0vTI8XQAAtdm8.jpg</v>
      </c>
      <c r="N434">
        <v>0</v>
      </c>
      <c r="O434">
        <v>0</v>
      </c>
      <c r="P434">
        <v>1</v>
      </c>
      <c r="Q434">
        <v>0</v>
      </c>
    </row>
    <row r="435" spans="1:17" x14ac:dyDescent="0.2">
      <c r="A435" s="1" t="str">
        <f>HYPERLINK("http://www.twitter.com/Ugo_Roux/status/1237691683158069249", "1237691683158069249")</f>
        <v>1237691683158069249</v>
      </c>
      <c r="B435" t="s">
        <v>97</v>
      </c>
      <c r="C435" s="3">
        <v>43901.449849537043</v>
      </c>
      <c r="D435" s="5" t="s">
        <v>17</v>
      </c>
      <c r="E435">
        <v>1</v>
      </c>
      <c r="F435">
        <v>0</v>
      </c>
      <c r="G435">
        <v>0</v>
      </c>
      <c r="I435" t="s">
        <v>466</v>
      </c>
      <c r="J435" t="str">
        <f>HYPERLINK("http://pbs.twimg.com/media/ES0qBrVXQAEpqZR.jpg", "http://pbs.twimg.com/media/ES0qBrVXQAEpqZR.jpg")</f>
        <v>http://pbs.twimg.com/media/ES0qBrVXQAEpqZR.jpg</v>
      </c>
      <c r="N435">
        <v>0</v>
      </c>
      <c r="O435">
        <v>0</v>
      </c>
      <c r="P435">
        <v>1</v>
      </c>
      <c r="Q435">
        <v>0</v>
      </c>
    </row>
    <row r="436" spans="1:17" x14ac:dyDescent="0.2">
      <c r="A436" s="1" t="str">
        <f>HYPERLINK("http://www.twitter.com/Ugo_Roux/status/1237370618896691200", "1237370618896691200")</f>
        <v>1237370618896691200</v>
      </c>
      <c r="B436" t="s">
        <v>456</v>
      </c>
      <c r="C436" s="3">
        <v>43900.563877314817</v>
      </c>
      <c r="D436" s="4" t="s">
        <v>28</v>
      </c>
      <c r="E436">
        <v>1</v>
      </c>
      <c r="F436">
        <v>0</v>
      </c>
      <c r="G436">
        <v>0</v>
      </c>
      <c r="I436" t="s">
        <v>467</v>
      </c>
      <c r="J436" t="str">
        <f>HYPERLINK("http://pbs.twimg.com/media/ESwGAojWoAExgfM.jpg", "http://pbs.twimg.com/media/ESwGAojWoAExgfM.jpg")</f>
        <v>http://pbs.twimg.com/media/ESwGAojWoAExgfM.jpg</v>
      </c>
      <c r="N436">
        <v>0</v>
      </c>
      <c r="O436">
        <v>0</v>
      </c>
      <c r="P436">
        <v>1</v>
      </c>
      <c r="Q436">
        <v>0</v>
      </c>
    </row>
    <row r="437" spans="1:17" x14ac:dyDescent="0.2">
      <c r="A437" s="1" t="str">
        <f>HYPERLINK("http://www.twitter.com/Ugo_Roux/status/1237369344511877126", "1237369344511877126")</f>
        <v>1237369344511877126</v>
      </c>
      <c r="B437" t="s">
        <v>456</v>
      </c>
      <c r="C437" s="3">
        <v>43900.560358796298</v>
      </c>
      <c r="D437" s="4" t="s">
        <v>28</v>
      </c>
      <c r="E437">
        <v>1</v>
      </c>
      <c r="F437">
        <v>0</v>
      </c>
      <c r="G437">
        <v>0</v>
      </c>
      <c r="I437" t="s">
        <v>468</v>
      </c>
      <c r="J437" t="str">
        <f>HYPERLINK("http://pbs.twimg.com/media/ESwEuRbXgAAWWYq.jpg", "http://pbs.twimg.com/media/ESwEuRbXgAAWWYq.jpg")</f>
        <v>http://pbs.twimg.com/media/ESwEuRbXgAAWWYq.jpg</v>
      </c>
      <c r="N437">
        <v>0</v>
      </c>
      <c r="O437">
        <v>0</v>
      </c>
      <c r="P437">
        <v>1</v>
      </c>
      <c r="Q437">
        <v>0</v>
      </c>
    </row>
    <row r="438" spans="1:17" x14ac:dyDescent="0.2">
      <c r="A438" s="1" t="str">
        <f>HYPERLINK("http://www.twitter.com/Ugo_Roux/status/1237368567655514113", "1237368567655514113")</f>
        <v>1237368567655514113</v>
      </c>
      <c r="B438" t="s">
        <v>456</v>
      </c>
      <c r="C438" s="3">
        <v>43900.558217592603</v>
      </c>
      <c r="D438" s="4" t="s">
        <v>17</v>
      </c>
      <c r="E438">
        <v>0</v>
      </c>
      <c r="F438">
        <v>0</v>
      </c>
      <c r="G438">
        <v>0</v>
      </c>
      <c r="I438" t="s">
        <v>469</v>
      </c>
      <c r="J438" t="str">
        <f>HYPERLINK("http://pbs.twimg.com/media/ESwEJKlWoAEyipH.jpg", "http://pbs.twimg.com/media/ESwEJKlWoAEyipH.jpg")</f>
        <v>http://pbs.twimg.com/media/ESwEJKlWoAEyipH.jpg</v>
      </c>
      <c r="N438">
        <v>0</v>
      </c>
      <c r="O438">
        <v>0</v>
      </c>
      <c r="P438">
        <v>1</v>
      </c>
      <c r="Q438">
        <v>0</v>
      </c>
    </row>
    <row r="439" spans="1:17" x14ac:dyDescent="0.2">
      <c r="A439" s="1" t="str">
        <f>HYPERLINK("http://www.twitter.com/Ugo_Roux/status/1237319505371693057", "1237319505371693057")</f>
        <v>1237319505371693057</v>
      </c>
      <c r="B439" t="s">
        <v>285</v>
      </c>
      <c r="C439" s="3">
        <v>43900.422835648147</v>
      </c>
      <c r="D439" s="5" t="s">
        <v>28</v>
      </c>
      <c r="E439">
        <v>0</v>
      </c>
      <c r="F439">
        <v>0</v>
      </c>
      <c r="G439">
        <v>0</v>
      </c>
      <c r="I439" t="s">
        <v>470</v>
      </c>
      <c r="J439" t="str">
        <f>HYPERLINK("http://pbs.twimg.com/media/ESvXc1SX0AAg-HY.jpg", "http://pbs.twimg.com/media/ESvXc1SX0AAg-HY.jpg")</f>
        <v>http://pbs.twimg.com/media/ESvXc1SX0AAg-HY.jpg</v>
      </c>
      <c r="N439">
        <v>0</v>
      </c>
      <c r="O439">
        <v>0</v>
      </c>
      <c r="P439">
        <v>1</v>
      </c>
      <c r="Q439">
        <v>0</v>
      </c>
    </row>
    <row r="440" spans="1:17" x14ac:dyDescent="0.2">
      <c r="A440" s="1" t="str">
        <f>HYPERLINK("http://www.twitter.com/Ugo_Roux/status/1237273051131150336", "1237273051131150336")</f>
        <v>1237273051131150336</v>
      </c>
      <c r="B440" t="s">
        <v>471</v>
      </c>
      <c r="C440" s="3">
        <v>43900.294641203713</v>
      </c>
      <c r="D440" s="3" t="s">
        <v>28</v>
      </c>
      <c r="E440">
        <v>0</v>
      </c>
      <c r="F440">
        <v>0</v>
      </c>
      <c r="G440">
        <v>0</v>
      </c>
      <c r="I440" t="s">
        <v>472</v>
      </c>
      <c r="J440" t="str">
        <f>HYPERLINK("http://pbs.twimg.com/media/ESutRMaXgAEkjYy.jpg", "http://pbs.twimg.com/media/ESutRMaXgAEkjYy.jpg")</f>
        <v>http://pbs.twimg.com/media/ESutRMaXgAEkjYy.jpg</v>
      </c>
      <c r="N440">
        <v>0</v>
      </c>
      <c r="O440">
        <v>0</v>
      </c>
      <c r="P440">
        <v>1</v>
      </c>
      <c r="Q440">
        <v>0</v>
      </c>
    </row>
    <row r="441" spans="1:17" x14ac:dyDescent="0.2">
      <c r="A441" s="1" t="str">
        <f>HYPERLINK("http://www.twitter.com/Ugo_Roux/status/1236233110490095623", "1236233110490095623")</f>
        <v>1236233110490095623</v>
      </c>
      <c r="B441" t="s">
        <v>206</v>
      </c>
      <c r="C441" s="3">
        <v>43897.424953703703</v>
      </c>
      <c r="D441" s="5" t="s">
        <v>28</v>
      </c>
      <c r="E441">
        <v>2</v>
      </c>
      <c r="F441">
        <v>0</v>
      </c>
      <c r="G441">
        <v>0</v>
      </c>
      <c r="I441" t="s">
        <v>473</v>
      </c>
      <c r="J441" t="str">
        <f>HYPERLINK("http://pbs.twimg.com/media/ESf6rLiXkAIhA3S.jpg", "http://pbs.twimg.com/media/ESf6rLiXkAIhA3S.jpg")</f>
        <v>http://pbs.twimg.com/media/ESf6rLiXkAIhA3S.jpg</v>
      </c>
      <c r="K441" t="str">
        <f>HYPERLINK("http://pbs.twimg.com/media/ESf7EgxX0AEVOP4.jpg", "http://pbs.twimg.com/media/ESf7EgxX0AEVOP4.jpg")</f>
        <v>http://pbs.twimg.com/media/ESf7EgxX0AEVOP4.jpg</v>
      </c>
      <c r="L441" t="str">
        <f>HYPERLINK("http://pbs.twimg.com/media/ESf7I5PXQAAq9e4.jpg", "http://pbs.twimg.com/media/ESf7I5PXQAAq9e4.jpg")</f>
        <v>http://pbs.twimg.com/media/ESf7I5PXQAAq9e4.jpg</v>
      </c>
      <c r="M441" t="str">
        <f>HYPERLINK("http://pbs.twimg.com/media/ESf7Wy5XkAAa-n4.jpg", "http://pbs.twimg.com/media/ESf7Wy5XkAAa-n4.jpg")</f>
        <v>http://pbs.twimg.com/media/ESf7Wy5XkAAa-n4.jpg</v>
      </c>
      <c r="N441">
        <v>0</v>
      </c>
      <c r="O441">
        <v>0</v>
      </c>
      <c r="P441">
        <v>1</v>
      </c>
      <c r="Q441">
        <v>0</v>
      </c>
    </row>
    <row r="442" spans="1:17" x14ac:dyDescent="0.2">
      <c r="A442" s="1" t="str">
        <f>HYPERLINK("http://www.twitter.com/Ugo_Roux/status/1236228941968523265", "1236228941968523265")</f>
        <v>1236228941968523265</v>
      </c>
      <c r="B442" t="s">
        <v>414</v>
      </c>
      <c r="C442" s="3">
        <v>43897.413449074083</v>
      </c>
      <c r="D442" s="5" t="s">
        <v>28</v>
      </c>
      <c r="E442">
        <v>0</v>
      </c>
      <c r="F442">
        <v>0</v>
      </c>
      <c r="G442">
        <v>0</v>
      </c>
      <c r="I442" t="s">
        <v>474</v>
      </c>
      <c r="J442" t="str">
        <f>HYPERLINK("http://pbs.twimg.com/media/ESf3klpWsAA5WKy.jpg", "http://pbs.twimg.com/media/ESf3klpWsAA5WKy.jpg")</f>
        <v>http://pbs.twimg.com/media/ESf3klpWsAA5WKy.jpg</v>
      </c>
      <c r="N442">
        <v>0</v>
      </c>
      <c r="O442">
        <v>0</v>
      </c>
      <c r="P442">
        <v>1</v>
      </c>
      <c r="Q442">
        <v>0</v>
      </c>
    </row>
    <row r="443" spans="1:17" x14ac:dyDescent="0.2">
      <c r="A443" s="1" t="str">
        <f>HYPERLINK("http://www.twitter.com/Ugo_Roux/status/1235879335611035648", "1235879335611035648")</f>
        <v>1235879335611035648</v>
      </c>
      <c r="B443" t="s">
        <v>16</v>
      </c>
      <c r="C443" s="3">
        <v>43896.44871527778</v>
      </c>
      <c r="D443" s="3" t="s">
        <v>24</v>
      </c>
      <c r="E443">
        <v>0</v>
      </c>
      <c r="F443">
        <v>0</v>
      </c>
      <c r="G443">
        <v>0</v>
      </c>
      <c r="I443" t="s">
        <v>475</v>
      </c>
      <c r="N443">
        <v>0</v>
      </c>
      <c r="O443">
        <v>0</v>
      </c>
      <c r="P443">
        <v>1</v>
      </c>
      <c r="Q443">
        <v>0</v>
      </c>
    </row>
    <row r="444" spans="1:17" x14ac:dyDescent="0.2">
      <c r="A444" s="1" t="str">
        <f>HYPERLINK("http://www.twitter.com/Ugo_Roux/status/1235853373074575360", "1235853373074575360")</f>
        <v>1235853373074575360</v>
      </c>
      <c r="B444" t="s">
        <v>476</v>
      </c>
      <c r="C444" s="3">
        <v>43896.377071759263</v>
      </c>
      <c r="D444" s="3" t="s">
        <v>28</v>
      </c>
      <c r="E444">
        <v>0</v>
      </c>
      <c r="F444">
        <v>0</v>
      </c>
      <c r="G444">
        <v>0</v>
      </c>
      <c r="I444" t="s">
        <v>477</v>
      </c>
      <c r="N444">
        <v>0</v>
      </c>
      <c r="O444">
        <v>0</v>
      </c>
      <c r="P444">
        <v>1</v>
      </c>
      <c r="Q444">
        <v>0</v>
      </c>
    </row>
    <row r="445" spans="1:17" x14ac:dyDescent="0.2">
      <c r="A445" s="1" t="str">
        <f>HYPERLINK("http://www.twitter.com/Ugo_Roux/status/1235500296023011328", "1235500296023011328")</f>
        <v>1235500296023011328</v>
      </c>
      <c r="B445" t="s">
        <v>47</v>
      </c>
      <c r="C445" s="3">
        <v>43895.402766203697</v>
      </c>
      <c r="D445" s="5" t="s">
        <v>17</v>
      </c>
      <c r="E445">
        <v>8</v>
      </c>
      <c r="F445">
        <v>1</v>
      </c>
      <c r="G445">
        <v>0</v>
      </c>
      <c r="I445" t="s">
        <v>478</v>
      </c>
      <c r="J445" t="str">
        <f>HYPERLINK("http://pbs.twimg.com/media/ESVg71JXcAIjFPn.jpg", "http://pbs.twimg.com/media/ESVg71JXcAIjFPn.jpg")</f>
        <v>http://pbs.twimg.com/media/ESVg71JXcAIjFPn.jpg</v>
      </c>
      <c r="N445">
        <v>0</v>
      </c>
      <c r="O445">
        <v>0</v>
      </c>
      <c r="P445">
        <v>1</v>
      </c>
      <c r="Q445">
        <v>0</v>
      </c>
    </row>
    <row r="446" spans="1:17" x14ac:dyDescent="0.2">
      <c r="A446" s="1" t="str">
        <f>HYPERLINK("http://www.twitter.com/Ugo_Roux/status/1235143947447676928", "1235143947447676928")</f>
        <v>1235143947447676928</v>
      </c>
      <c r="B446" t="s">
        <v>425</v>
      </c>
      <c r="C446" s="3">
        <v>43894.419432870367</v>
      </c>
      <c r="D446" s="5" t="s">
        <v>24</v>
      </c>
      <c r="E446">
        <v>1</v>
      </c>
      <c r="F446">
        <v>0</v>
      </c>
      <c r="G446">
        <v>0</v>
      </c>
      <c r="I446" t="s">
        <v>479</v>
      </c>
      <c r="N446">
        <v>0</v>
      </c>
      <c r="O446">
        <v>0</v>
      </c>
      <c r="P446">
        <v>1</v>
      </c>
      <c r="Q446">
        <v>0</v>
      </c>
    </row>
    <row r="447" spans="1:17" x14ac:dyDescent="0.2">
      <c r="A447" s="1" t="str">
        <f>HYPERLINK("http://www.twitter.com/Ugo_Roux/status/1234781987510116353", "1234781987510116353")</f>
        <v>1234781987510116353</v>
      </c>
      <c r="B447" t="s">
        <v>425</v>
      </c>
      <c r="C447" s="3">
        <v>43893.420613425929</v>
      </c>
      <c r="D447" s="5" t="s">
        <v>24</v>
      </c>
      <c r="E447">
        <v>1</v>
      </c>
      <c r="F447">
        <v>0</v>
      </c>
      <c r="G447">
        <v>0</v>
      </c>
      <c r="I447" t="s">
        <v>480</v>
      </c>
      <c r="J447" t="str">
        <f>HYPERLINK("http://pbs.twimg.com/media/ESLTiatWAAI5idm.jpg", "http://pbs.twimg.com/media/ESLTiatWAAI5idm.jpg")</f>
        <v>http://pbs.twimg.com/media/ESLTiatWAAI5idm.jpg</v>
      </c>
      <c r="N447">
        <v>0</v>
      </c>
      <c r="O447">
        <v>0</v>
      </c>
      <c r="P447">
        <v>1</v>
      </c>
      <c r="Q447">
        <v>0</v>
      </c>
    </row>
    <row r="448" spans="1:17" x14ac:dyDescent="0.2">
      <c r="A448" s="1" t="str">
        <f>HYPERLINK("http://www.twitter.com/Ugo_Roux/status/1233395878947246081", "1233395878947246081")</f>
        <v>1233395878947246081</v>
      </c>
      <c r="B448" t="s">
        <v>142</v>
      </c>
      <c r="C448" s="3">
        <v>43889.595682870371</v>
      </c>
      <c r="D448" s="5" t="s">
        <v>17</v>
      </c>
      <c r="E448">
        <v>0</v>
      </c>
      <c r="F448">
        <v>1</v>
      </c>
      <c r="G448">
        <v>0</v>
      </c>
      <c r="I448" t="s">
        <v>481</v>
      </c>
      <c r="J448" t="str">
        <f>HYPERLINK("http://pbs.twimg.com/media/ER3nAYVUUAAlabm.jpg", "http://pbs.twimg.com/media/ER3nAYVUUAAlabm.jpg")</f>
        <v>http://pbs.twimg.com/media/ER3nAYVUUAAlabm.jpg</v>
      </c>
      <c r="N448">
        <v>0</v>
      </c>
      <c r="O448">
        <v>0</v>
      </c>
      <c r="P448">
        <v>1</v>
      </c>
      <c r="Q448">
        <v>0</v>
      </c>
    </row>
    <row r="449" spans="1:17" x14ac:dyDescent="0.2">
      <c r="A449" s="1" t="str">
        <f>HYPERLINK("http://www.twitter.com/Ugo_Roux/status/1233353810162180098", "1233353810162180098")</f>
        <v>1233353810162180098</v>
      </c>
      <c r="B449" t="s">
        <v>206</v>
      </c>
      <c r="C449" s="3">
        <v>43889.479594907411</v>
      </c>
      <c r="D449" s="5" t="s">
        <v>28</v>
      </c>
      <c r="E449">
        <v>5</v>
      </c>
      <c r="F449">
        <v>1</v>
      </c>
      <c r="G449">
        <v>1</v>
      </c>
      <c r="I449" t="s">
        <v>482</v>
      </c>
      <c r="J449" t="str">
        <f>HYPERLINK("http://pbs.twimg.com/media/ER21dahXYAEOi7Y.jpg", "http://pbs.twimg.com/media/ER21dahXYAEOi7Y.jpg")</f>
        <v>http://pbs.twimg.com/media/ER21dahXYAEOi7Y.jpg</v>
      </c>
      <c r="K449" t="str">
        <f>HYPERLINK("http://pbs.twimg.com/media/ER2-U5JX0AA10lp.jpg", "http://pbs.twimg.com/media/ER2-U5JX0AA10lp.jpg")</f>
        <v>http://pbs.twimg.com/media/ER2-U5JX0AA10lp.jpg</v>
      </c>
      <c r="N449">
        <v>0.42149999999999999</v>
      </c>
      <c r="O449">
        <v>0</v>
      </c>
      <c r="P449">
        <v>0.93799999999999994</v>
      </c>
      <c r="Q449">
        <v>6.2E-2</v>
      </c>
    </row>
    <row r="450" spans="1:17" x14ac:dyDescent="0.2">
      <c r="A450" s="1" t="str">
        <f>HYPERLINK("http://www.twitter.com/Ugo_Roux/status/1233345752547692550", "1233345752547692550")</f>
        <v>1233345752547692550</v>
      </c>
      <c r="B450" t="s">
        <v>47</v>
      </c>
      <c r="C450" s="3">
        <v>43889.457361111112</v>
      </c>
      <c r="D450" s="5" t="s">
        <v>17</v>
      </c>
      <c r="E450">
        <v>25</v>
      </c>
      <c r="F450">
        <v>4</v>
      </c>
      <c r="G450">
        <v>1</v>
      </c>
      <c r="I450" t="s">
        <v>483</v>
      </c>
      <c r="J450" t="str">
        <f>HYPERLINK("http://pbs.twimg.com/media/ER21UqyWkAAGg2S.jpg", "http://pbs.twimg.com/media/ER21UqyWkAAGg2S.jpg")</f>
        <v>http://pbs.twimg.com/media/ER21UqyWkAAGg2S.jpg</v>
      </c>
      <c r="N450">
        <v>0</v>
      </c>
      <c r="O450">
        <v>0</v>
      </c>
      <c r="P450">
        <v>1</v>
      </c>
      <c r="Q450">
        <v>0</v>
      </c>
    </row>
    <row r="451" spans="1:17" x14ac:dyDescent="0.2">
      <c r="A451" s="1" t="str">
        <f>HYPERLINK("http://www.twitter.com/Ugo_Roux/status/1233326796608765952", "1233326796608765952")</f>
        <v>1233326796608765952</v>
      </c>
      <c r="B451" t="s">
        <v>425</v>
      </c>
      <c r="C451" s="3">
        <v>43889.405057870368</v>
      </c>
      <c r="D451" s="5" t="s">
        <v>28</v>
      </c>
      <c r="E451">
        <v>1</v>
      </c>
      <c r="F451">
        <v>0</v>
      </c>
      <c r="G451">
        <v>0</v>
      </c>
      <c r="I451" t="s">
        <v>484</v>
      </c>
      <c r="J451" t="str">
        <f>HYPERLINK("http://pbs.twimg.com/media/ER2oGEgXUAAorHs.jpg", "http://pbs.twimg.com/media/ER2oGEgXUAAorHs.jpg")</f>
        <v>http://pbs.twimg.com/media/ER2oGEgXUAAorHs.jpg</v>
      </c>
      <c r="N451">
        <v>0</v>
      </c>
      <c r="O451">
        <v>0</v>
      </c>
      <c r="P451">
        <v>1</v>
      </c>
      <c r="Q451">
        <v>0</v>
      </c>
    </row>
    <row r="452" spans="1:17" x14ac:dyDescent="0.2">
      <c r="A452" s="1" t="str">
        <f>HYPERLINK("http://www.twitter.com/Ugo_Roux/status/1233306134188036098", "1233306134188036098")</f>
        <v>1233306134188036098</v>
      </c>
      <c r="B452" t="s">
        <v>425</v>
      </c>
      <c r="C452" s="3">
        <v>43889.348032407397</v>
      </c>
      <c r="D452" s="5" t="s">
        <v>28</v>
      </c>
      <c r="E452">
        <v>0</v>
      </c>
      <c r="F452">
        <v>0</v>
      </c>
      <c r="G452">
        <v>0</v>
      </c>
      <c r="I452" t="s">
        <v>485</v>
      </c>
      <c r="J452" t="str">
        <f>HYPERLINK("http://pbs.twimg.com/media/ER2U_31XkAA7fyK.jpg", "http://pbs.twimg.com/media/ER2U_31XkAA7fyK.jpg")</f>
        <v>http://pbs.twimg.com/media/ER2U_31XkAA7fyK.jpg</v>
      </c>
      <c r="N452">
        <v>0</v>
      </c>
      <c r="O452">
        <v>0</v>
      </c>
      <c r="P452">
        <v>1</v>
      </c>
      <c r="Q452">
        <v>0</v>
      </c>
    </row>
    <row r="453" spans="1:17" x14ac:dyDescent="0.2">
      <c r="A453" s="1" t="str">
        <f>HYPERLINK("http://www.twitter.com/Ugo_Roux/status/1232697398771642369", "1232697398771642369")</f>
        <v>1232697398771642369</v>
      </c>
      <c r="B453" t="s">
        <v>142</v>
      </c>
      <c r="C453" s="3">
        <v>43887.668240740742</v>
      </c>
      <c r="D453" s="5" t="s">
        <v>17</v>
      </c>
      <c r="E453">
        <v>0</v>
      </c>
      <c r="F453">
        <v>1</v>
      </c>
      <c r="G453">
        <v>0</v>
      </c>
      <c r="I453" t="s">
        <v>486</v>
      </c>
      <c r="J453" t="str">
        <f>HYPERLINK("http://pbs.twimg.com/media/ERtrvwnUcAAvHuX.jpg", "http://pbs.twimg.com/media/ERtrvwnUcAAvHuX.jpg")</f>
        <v>http://pbs.twimg.com/media/ERtrvwnUcAAvHuX.jpg</v>
      </c>
      <c r="N453">
        <v>0</v>
      </c>
      <c r="O453">
        <v>0</v>
      </c>
      <c r="P453">
        <v>1</v>
      </c>
      <c r="Q453">
        <v>0</v>
      </c>
    </row>
    <row r="454" spans="1:17" x14ac:dyDescent="0.2">
      <c r="A454" s="1" t="str">
        <f>HYPERLINK("http://www.twitter.com/Ugo_Roux/status/1232607328639254532", "1232607328639254532")</f>
        <v>1232607328639254532</v>
      </c>
      <c r="B454" t="s">
        <v>425</v>
      </c>
      <c r="C454" s="3">
        <v>43887.419699074067</v>
      </c>
      <c r="D454" s="5" t="s">
        <v>28</v>
      </c>
      <c r="E454">
        <v>0</v>
      </c>
      <c r="F454">
        <v>0</v>
      </c>
      <c r="G454">
        <v>0</v>
      </c>
      <c r="I454" t="s">
        <v>487</v>
      </c>
      <c r="J454" t="str">
        <f>HYPERLINK("http://pbs.twimg.com/media/ERsZfvpWoAApuwJ.jpg", "http://pbs.twimg.com/media/ERsZfvpWoAApuwJ.jpg")</f>
        <v>http://pbs.twimg.com/media/ERsZfvpWoAApuwJ.jpg</v>
      </c>
      <c r="N454">
        <v>0</v>
      </c>
      <c r="O454">
        <v>0</v>
      </c>
      <c r="P454">
        <v>1</v>
      </c>
      <c r="Q454">
        <v>0</v>
      </c>
    </row>
    <row r="455" spans="1:17" x14ac:dyDescent="0.2">
      <c r="A455" s="1" t="str">
        <f>HYPERLINK("http://www.twitter.com/Ugo_Roux/status/1232603325096505345", "1232603325096505345")</f>
        <v>1232603325096505345</v>
      </c>
      <c r="B455" t="s">
        <v>370</v>
      </c>
      <c r="C455" s="3">
        <v>43887.40865740741</v>
      </c>
      <c r="D455" s="3" t="s">
        <v>28</v>
      </c>
      <c r="E455">
        <v>0</v>
      </c>
      <c r="F455">
        <v>0</v>
      </c>
      <c r="G455">
        <v>0</v>
      </c>
      <c r="I455" t="s">
        <v>488</v>
      </c>
      <c r="J455" t="str">
        <f>HYPERLINK("http://pbs.twimg.com/media/ERsWMS2W4AANI5d.jpg", "http://pbs.twimg.com/media/ERsWMS2W4AANI5d.jpg")</f>
        <v>http://pbs.twimg.com/media/ERsWMS2W4AANI5d.jpg</v>
      </c>
      <c r="N455">
        <v>0</v>
      </c>
      <c r="O455">
        <v>0</v>
      </c>
      <c r="P455">
        <v>1</v>
      </c>
      <c r="Q455">
        <v>0</v>
      </c>
    </row>
    <row r="456" spans="1:17" x14ac:dyDescent="0.2">
      <c r="A456" s="1" t="str">
        <f>HYPERLINK("http://www.twitter.com/Ugo_Roux/status/1232602762900385794", "1232602762900385794")</f>
        <v>1232602762900385794</v>
      </c>
      <c r="B456" t="s">
        <v>370</v>
      </c>
      <c r="C456" s="3">
        <v>43887.407094907408</v>
      </c>
      <c r="D456" s="3" t="s">
        <v>28</v>
      </c>
      <c r="E456">
        <v>0</v>
      </c>
      <c r="F456">
        <v>0</v>
      </c>
      <c r="G456">
        <v>0</v>
      </c>
      <c r="I456" t="s">
        <v>489</v>
      </c>
      <c r="J456" t="str">
        <f>HYPERLINK("http://pbs.twimg.com/media/ERsVrkdW4AA_yBq.jpg", "http://pbs.twimg.com/media/ERsVrkdW4AA_yBq.jpg")</f>
        <v>http://pbs.twimg.com/media/ERsVrkdW4AA_yBq.jpg</v>
      </c>
      <c r="N456">
        <v>0</v>
      </c>
      <c r="O456">
        <v>0</v>
      </c>
      <c r="P456">
        <v>1</v>
      </c>
      <c r="Q456">
        <v>0</v>
      </c>
    </row>
    <row r="457" spans="1:17" x14ac:dyDescent="0.2">
      <c r="A457" s="1" t="str">
        <f>HYPERLINK("http://www.twitter.com/Ugo_Roux/status/1232599417305358336", "1232599417305358336")</f>
        <v>1232599417305358336</v>
      </c>
      <c r="B457" t="s">
        <v>370</v>
      </c>
      <c r="C457" s="3">
        <v>43887.397870370369</v>
      </c>
      <c r="D457" s="5" t="s">
        <v>28</v>
      </c>
      <c r="E457">
        <v>0</v>
      </c>
      <c r="F457">
        <v>0</v>
      </c>
      <c r="G457">
        <v>0</v>
      </c>
      <c r="I457" t="s">
        <v>490</v>
      </c>
      <c r="J457" t="str">
        <f>HYPERLINK("http://pbs.twimg.com/media/ERsSo0lWsAEQkpE.jpg", "http://pbs.twimg.com/media/ERsSo0lWsAEQkpE.jpg")</f>
        <v>http://pbs.twimg.com/media/ERsSo0lWsAEQkpE.jpg</v>
      </c>
      <c r="N457">
        <v>0</v>
      </c>
      <c r="O457">
        <v>0</v>
      </c>
      <c r="P457">
        <v>1</v>
      </c>
      <c r="Q457">
        <v>0</v>
      </c>
    </row>
    <row r="458" spans="1:17" x14ac:dyDescent="0.2">
      <c r="A458" s="1" t="str">
        <f>HYPERLINK("http://www.twitter.com/Ugo_Roux/status/1232598189997465601", "1232598189997465601")</f>
        <v>1232598189997465601</v>
      </c>
      <c r="B458" t="s">
        <v>370</v>
      </c>
      <c r="C458" s="3">
        <v>43887.394479166673</v>
      </c>
      <c r="D458" s="5" t="s">
        <v>28</v>
      </c>
      <c r="E458">
        <v>1</v>
      </c>
      <c r="F458">
        <v>0</v>
      </c>
      <c r="G458">
        <v>0</v>
      </c>
      <c r="I458" t="s">
        <v>491</v>
      </c>
      <c r="J458" t="str">
        <f>HYPERLINK("http://pbs.twimg.com/media/ERsRhZLXkAAERWm.jpg", "http://pbs.twimg.com/media/ERsRhZLXkAAERWm.jpg")</f>
        <v>http://pbs.twimg.com/media/ERsRhZLXkAAERWm.jpg</v>
      </c>
      <c r="N458">
        <v>0</v>
      </c>
      <c r="O458">
        <v>0</v>
      </c>
      <c r="P458">
        <v>1</v>
      </c>
      <c r="Q458">
        <v>0</v>
      </c>
    </row>
    <row r="459" spans="1:17" x14ac:dyDescent="0.2">
      <c r="A459" s="1" t="str">
        <f>HYPERLINK("http://www.twitter.com/Ugo_Roux/status/1231173371880202241", "1231173371880202241")</f>
        <v>1231173371880202241</v>
      </c>
      <c r="B459" t="s">
        <v>425</v>
      </c>
      <c r="C459" s="3">
        <v>43883.462731481479</v>
      </c>
      <c r="D459" s="5" t="s">
        <v>28</v>
      </c>
      <c r="E459">
        <v>0</v>
      </c>
      <c r="F459">
        <v>0</v>
      </c>
      <c r="G459">
        <v>0</v>
      </c>
      <c r="I459" t="s">
        <v>492</v>
      </c>
      <c r="J459" t="str">
        <f>HYPERLINK("http://pbs.twimg.com/media/ERYBd_QXYAA28SX.jpg", "http://pbs.twimg.com/media/ERYBd_QXYAA28SX.jpg")</f>
        <v>http://pbs.twimg.com/media/ERYBd_QXYAA28SX.jpg</v>
      </c>
      <c r="N459">
        <v>0</v>
      </c>
      <c r="O459">
        <v>0</v>
      </c>
      <c r="P459">
        <v>1</v>
      </c>
      <c r="Q459">
        <v>0</v>
      </c>
    </row>
    <row r="460" spans="1:17" x14ac:dyDescent="0.2">
      <c r="A460" s="1" t="str">
        <f>HYPERLINK("http://www.twitter.com/Ugo_Roux/status/1231168223510441984", "1231168223510441984")</f>
        <v>1231168223510441984</v>
      </c>
      <c r="B460" t="s">
        <v>425</v>
      </c>
      <c r="C460" s="3">
        <v>43883.448530092603</v>
      </c>
      <c r="D460" s="5" t="s">
        <v>28</v>
      </c>
      <c r="E460">
        <v>0</v>
      </c>
      <c r="F460">
        <v>0</v>
      </c>
      <c r="G460">
        <v>0</v>
      </c>
      <c r="I460" t="s">
        <v>493</v>
      </c>
      <c r="J460" t="str">
        <f>HYPERLINK("http://pbs.twimg.com/media/ERX861LXkAAsgDr.jpg", "http://pbs.twimg.com/media/ERX861LXkAAsgDr.jpg")</f>
        <v>http://pbs.twimg.com/media/ERX861LXkAAsgDr.jpg</v>
      </c>
      <c r="N460">
        <v>0</v>
      </c>
      <c r="O460">
        <v>0</v>
      </c>
      <c r="P460">
        <v>1</v>
      </c>
      <c r="Q460">
        <v>0</v>
      </c>
    </row>
    <row r="461" spans="1:17" x14ac:dyDescent="0.2">
      <c r="A461" s="1" t="str">
        <f>HYPERLINK("http://www.twitter.com/Ugo_Roux/status/1230810074022584321", "1230810074022584321")</f>
        <v>1230810074022584321</v>
      </c>
      <c r="B461" t="s">
        <v>425</v>
      </c>
      <c r="C461" s="3">
        <v>43882.460219907407</v>
      </c>
      <c r="D461" s="5" t="s">
        <v>41</v>
      </c>
      <c r="E461">
        <v>0</v>
      </c>
      <c r="F461">
        <v>0</v>
      </c>
      <c r="G461">
        <v>0</v>
      </c>
      <c r="I461" t="s">
        <v>494</v>
      </c>
      <c r="J461" t="str">
        <f>HYPERLINK("https://video.twimg.com/ext_tw_video/1230810011850485763/pu/vid/898x720/2u57iiRc9dpzGvE_.mp4?tag=10", "https://video.twimg.com/ext_tw_video/1230810011850485763/pu/vid/898x720/2u57iiRc9dpzGvE_.mp4?tag=10")</f>
        <v>https://video.twimg.com/ext_tw_video/1230810011850485763/pu/vid/898x720/2u57iiRc9dpzGvE_.mp4?tag=10</v>
      </c>
      <c r="N461">
        <v>0</v>
      </c>
      <c r="O461">
        <v>0</v>
      </c>
      <c r="P461">
        <v>1</v>
      </c>
      <c r="Q461">
        <v>0</v>
      </c>
    </row>
    <row r="462" spans="1:17" x14ac:dyDescent="0.2">
      <c r="A462" s="1" t="str">
        <f>HYPERLINK("http://www.twitter.com/Ugo_Roux/status/1230774197602770946", "1230774197602770946")</f>
        <v>1230774197602770946</v>
      </c>
      <c r="B462" t="s">
        <v>414</v>
      </c>
      <c r="C462" s="3">
        <v>43882.361226851863</v>
      </c>
      <c r="D462" s="5" t="s">
        <v>28</v>
      </c>
      <c r="E462">
        <v>1</v>
      </c>
      <c r="F462">
        <v>1</v>
      </c>
      <c r="G462">
        <v>0</v>
      </c>
      <c r="I462" t="s">
        <v>495</v>
      </c>
      <c r="J462" t="str">
        <f>HYPERLINK("http://pbs.twimg.com/media/ERSWmetVUAkG4OB.jpg", "http://pbs.twimg.com/media/ERSWmetVUAkG4OB.jpg")</f>
        <v>http://pbs.twimg.com/media/ERSWmetVUAkG4OB.jpg</v>
      </c>
      <c r="K462" t="str">
        <f>HYPERLINK("http://pbs.twimg.com/media/ERSWmesUUAELSFY.jpg", "http://pbs.twimg.com/media/ERSWmesUUAELSFY.jpg")</f>
        <v>http://pbs.twimg.com/media/ERSWmesUUAELSFY.jpg</v>
      </c>
      <c r="N462">
        <v>0</v>
      </c>
      <c r="O462">
        <v>0</v>
      </c>
      <c r="P462">
        <v>1</v>
      </c>
      <c r="Q462">
        <v>0</v>
      </c>
    </row>
    <row r="463" spans="1:17" x14ac:dyDescent="0.2">
      <c r="A463" s="1" t="str">
        <f>HYPERLINK("http://www.twitter.com/Ugo_Roux/status/1230433161190027265", "1230433161190027265")</f>
        <v>1230433161190027265</v>
      </c>
      <c r="B463" t="s">
        <v>142</v>
      </c>
      <c r="C463" s="3">
        <v>43881.420138888891</v>
      </c>
      <c r="D463" s="5" t="s">
        <v>17</v>
      </c>
      <c r="E463">
        <v>1</v>
      </c>
      <c r="F463">
        <v>2</v>
      </c>
      <c r="G463">
        <v>0</v>
      </c>
      <c r="I463" t="s">
        <v>496</v>
      </c>
      <c r="J463" t="str">
        <f>HYPERLINK("http://pbs.twimg.com/media/ERNgRwGWkAEvl2i.jpg", "http://pbs.twimg.com/media/ERNgRwGWkAEvl2i.jpg")</f>
        <v>http://pbs.twimg.com/media/ERNgRwGWkAEvl2i.jpg</v>
      </c>
      <c r="N463">
        <v>0</v>
      </c>
      <c r="O463">
        <v>0</v>
      </c>
      <c r="P463">
        <v>1</v>
      </c>
      <c r="Q463">
        <v>0</v>
      </c>
    </row>
    <row r="464" spans="1:17" x14ac:dyDescent="0.2">
      <c r="A464" s="1" t="str">
        <f>HYPERLINK("http://www.twitter.com/Ugo_Roux/status/1230083869388312577", "1230083869388312577")</f>
        <v>1230083869388312577</v>
      </c>
      <c r="B464" t="s">
        <v>142</v>
      </c>
      <c r="C464" s="3">
        <v>43880.456273148149</v>
      </c>
      <c r="D464" s="5" t="s">
        <v>17</v>
      </c>
      <c r="E464">
        <v>1</v>
      </c>
      <c r="F464">
        <v>3</v>
      </c>
      <c r="G464">
        <v>0</v>
      </c>
      <c r="I464" t="s">
        <v>497</v>
      </c>
      <c r="J464" t="str">
        <f>HYPERLINK("http://pbs.twimg.com/media/ERIivXWUUAAgs2P.jpg", "http://pbs.twimg.com/media/ERIivXWUUAAgs2P.jpg")</f>
        <v>http://pbs.twimg.com/media/ERIivXWUUAAgs2P.jpg</v>
      </c>
      <c r="N464">
        <v>-0.34</v>
      </c>
      <c r="O464">
        <v>6.2E-2</v>
      </c>
      <c r="P464">
        <v>0.93799999999999994</v>
      </c>
      <c r="Q464">
        <v>0</v>
      </c>
    </row>
    <row r="465" spans="1:17" x14ac:dyDescent="0.2">
      <c r="A465" s="1" t="str">
        <f>HYPERLINK("http://www.twitter.com/Ugo_Roux/status/1229713950331297794", "1229713950331297794")</f>
        <v>1229713950331297794</v>
      </c>
      <c r="B465" t="s">
        <v>414</v>
      </c>
      <c r="C465" s="3">
        <v>43879.435497685183</v>
      </c>
      <c r="D465" s="5" t="s">
        <v>17</v>
      </c>
      <c r="E465">
        <v>0</v>
      </c>
      <c r="F465">
        <v>0</v>
      </c>
      <c r="G465">
        <v>0</v>
      </c>
      <c r="I465" t="s">
        <v>498</v>
      </c>
      <c r="J465" t="str">
        <f>HYPERLINK("http://pbs.twimg.com/media/ERDSUDKW4AAzOLE.jpg", "http://pbs.twimg.com/media/ERDSUDKW4AAzOLE.jpg")</f>
        <v>http://pbs.twimg.com/media/ERDSUDKW4AAzOLE.jpg</v>
      </c>
      <c r="N465">
        <v>0</v>
      </c>
      <c r="O465">
        <v>0</v>
      </c>
      <c r="P465">
        <v>1</v>
      </c>
      <c r="Q465">
        <v>0</v>
      </c>
    </row>
    <row r="466" spans="1:17" x14ac:dyDescent="0.2">
      <c r="A466" s="1" t="str">
        <f>HYPERLINK("http://www.twitter.com/Ugo_Roux/status/1228359270804213761", "1228359270804213761")</f>
        <v>1228359270804213761</v>
      </c>
      <c r="B466" t="s">
        <v>130</v>
      </c>
      <c r="C466" s="3">
        <v>43875.697291666656</v>
      </c>
      <c r="D466" s="5" t="s">
        <v>24</v>
      </c>
      <c r="E466">
        <v>0</v>
      </c>
      <c r="F466">
        <v>0</v>
      </c>
      <c r="G466">
        <v>0</v>
      </c>
      <c r="I466" t="s">
        <v>499</v>
      </c>
      <c r="J466" t="str">
        <f>HYPERLINK("http://pbs.twimg.com/media/EQwCD2EXYAE8_0a.jpg", "http://pbs.twimg.com/media/EQwCD2EXYAE8_0a.jpg")</f>
        <v>http://pbs.twimg.com/media/EQwCD2EXYAE8_0a.jpg</v>
      </c>
      <c r="N466">
        <v>0</v>
      </c>
      <c r="O466">
        <v>0</v>
      </c>
      <c r="P466">
        <v>1</v>
      </c>
      <c r="Q466">
        <v>0</v>
      </c>
    </row>
    <row r="467" spans="1:17" x14ac:dyDescent="0.2">
      <c r="A467" s="1" t="str">
        <f>HYPERLINK("http://www.twitter.com/Ugo_Roux/status/1228267295815929856", "1228267295815929856")</f>
        <v>1228267295815929856</v>
      </c>
      <c r="B467" t="s">
        <v>206</v>
      </c>
      <c r="C467" s="3">
        <v>43875.443495370368</v>
      </c>
      <c r="D467" s="5" t="s">
        <v>17</v>
      </c>
      <c r="E467">
        <v>2</v>
      </c>
      <c r="F467">
        <v>1</v>
      </c>
      <c r="G467">
        <v>0</v>
      </c>
      <c r="I467" t="s">
        <v>500</v>
      </c>
      <c r="J467" t="str">
        <f>HYPERLINK("http://pbs.twimg.com/media/EQuulleWkAAJGb7.jpg", "http://pbs.twimg.com/media/EQuulleWkAAJGb7.jpg")</f>
        <v>http://pbs.twimg.com/media/EQuulleWkAAJGb7.jpg</v>
      </c>
      <c r="K467" t="str">
        <f>HYPERLINK("http://pbs.twimg.com/media/EQuulnPX0AAU7AJ.jpg", "http://pbs.twimg.com/media/EQuulnPX0AAU7AJ.jpg")</f>
        <v>http://pbs.twimg.com/media/EQuulnPX0AAU7AJ.jpg</v>
      </c>
      <c r="L467" t="str">
        <f>HYPERLINK("http://pbs.twimg.com/media/EQuulo9WkAAqmR9.jpg", "http://pbs.twimg.com/media/EQuulo9WkAAqmR9.jpg")</f>
        <v>http://pbs.twimg.com/media/EQuulo9WkAAqmR9.jpg</v>
      </c>
      <c r="M467" t="str">
        <f>HYPERLINK("http://pbs.twimg.com/media/EQuulp6XsAAcRP1.jpg", "http://pbs.twimg.com/media/EQuulp6XsAAcRP1.jpg")</f>
        <v>http://pbs.twimg.com/media/EQuulp6XsAAcRP1.jpg</v>
      </c>
      <c r="N467">
        <v>0</v>
      </c>
      <c r="O467">
        <v>0</v>
      </c>
      <c r="P467">
        <v>1</v>
      </c>
      <c r="Q467">
        <v>0</v>
      </c>
    </row>
    <row r="468" spans="1:17" x14ac:dyDescent="0.2">
      <c r="A468" s="1" t="str">
        <f>HYPERLINK("http://www.twitter.com/Ugo_Roux/status/1228252724338286593", "1228252724338286593")</f>
        <v>1228252724338286593</v>
      </c>
      <c r="B468" t="s">
        <v>97</v>
      </c>
      <c r="C468" s="3">
        <v>43875.403275462973</v>
      </c>
      <c r="D468" s="5" t="s">
        <v>28</v>
      </c>
      <c r="E468">
        <v>1</v>
      </c>
      <c r="F468">
        <v>0</v>
      </c>
      <c r="G468">
        <v>0</v>
      </c>
      <c r="I468" t="s">
        <v>501</v>
      </c>
      <c r="J468" t="str">
        <f>HYPERLINK("http://pbs.twimg.com/media/EQuhV_WXkAAOp9e.jpg", "http://pbs.twimg.com/media/EQuhV_WXkAAOp9e.jpg")</f>
        <v>http://pbs.twimg.com/media/EQuhV_WXkAAOp9e.jpg</v>
      </c>
      <c r="N468">
        <v>0</v>
      </c>
      <c r="O468">
        <v>0</v>
      </c>
      <c r="P468">
        <v>1</v>
      </c>
      <c r="Q468">
        <v>0</v>
      </c>
    </row>
    <row r="469" spans="1:17" x14ac:dyDescent="0.2">
      <c r="A469" s="1" t="str">
        <f>HYPERLINK("http://www.twitter.com/Ugo_Roux/status/1228251130511155201", "1228251130511155201")</f>
        <v>1228251130511155201</v>
      </c>
      <c r="B469" t="s">
        <v>425</v>
      </c>
      <c r="C469" s="3">
        <v>43875.398877314823</v>
      </c>
      <c r="D469" s="5" t="s">
        <v>28</v>
      </c>
      <c r="E469">
        <v>0</v>
      </c>
      <c r="F469">
        <v>0</v>
      </c>
      <c r="G469">
        <v>0</v>
      </c>
      <c r="I469" t="s">
        <v>502</v>
      </c>
      <c r="J469" t="str">
        <f>HYPERLINK("http://pbs.twimg.com/media/EQuf5CIXUAE9KMs.jpg", "http://pbs.twimg.com/media/EQuf5CIXUAE9KMs.jpg")</f>
        <v>http://pbs.twimg.com/media/EQuf5CIXUAE9KMs.jpg</v>
      </c>
      <c r="N469">
        <v>0</v>
      </c>
      <c r="O469">
        <v>0</v>
      </c>
      <c r="P469">
        <v>1</v>
      </c>
      <c r="Q469">
        <v>0</v>
      </c>
    </row>
    <row r="470" spans="1:17" x14ac:dyDescent="0.2">
      <c r="A470" s="1" t="str">
        <f>HYPERLINK("http://www.twitter.com/Ugo_Roux/status/1227997560004055041", "1227997560004055041")</f>
        <v>1227997560004055041</v>
      </c>
      <c r="B470" t="s">
        <v>425</v>
      </c>
      <c r="C470" s="3">
        <v>43874.699166666673</v>
      </c>
      <c r="D470" s="5" t="s">
        <v>28</v>
      </c>
      <c r="E470">
        <v>1</v>
      </c>
      <c r="F470">
        <v>0</v>
      </c>
      <c r="G470">
        <v>0</v>
      </c>
      <c r="I470" t="s">
        <v>503</v>
      </c>
      <c r="J470" t="str">
        <f>HYPERLINK("http://pbs.twimg.com/media/EQq5RMhXkAEFtEM.jpg", "http://pbs.twimg.com/media/EQq5RMhXkAEFtEM.jpg")</f>
        <v>http://pbs.twimg.com/media/EQq5RMhXkAEFtEM.jpg</v>
      </c>
      <c r="N470">
        <v>0</v>
      </c>
      <c r="O470">
        <v>0</v>
      </c>
      <c r="P470">
        <v>1</v>
      </c>
      <c r="Q470">
        <v>0</v>
      </c>
    </row>
    <row r="471" spans="1:17" x14ac:dyDescent="0.2">
      <c r="A471" s="1" t="str">
        <f>HYPERLINK("http://www.twitter.com/Ugo_Roux/status/1227893075080568832", "1227893075080568832")</f>
        <v>1227893075080568832</v>
      </c>
      <c r="B471" t="s">
        <v>16</v>
      </c>
      <c r="C471" s="3">
        <v>43874.410833333342</v>
      </c>
      <c r="D471" s="3" t="s">
        <v>17</v>
      </c>
      <c r="E471">
        <v>0</v>
      </c>
      <c r="F471">
        <v>0</v>
      </c>
      <c r="G471">
        <v>0</v>
      </c>
      <c r="I471" t="s">
        <v>504</v>
      </c>
      <c r="N471">
        <v>0</v>
      </c>
      <c r="O471">
        <v>0</v>
      </c>
      <c r="P471">
        <v>1</v>
      </c>
      <c r="Q471">
        <v>0</v>
      </c>
    </row>
    <row r="472" spans="1:17" x14ac:dyDescent="0.2">
      <c r="A472" s="1" t="str">
        <f>HYPERLINK("http://www.twitter.com/Ugo_Roux/status/1227874924183904256", "1227874924183904256")</f>
        <v>1227874924183904256</v>
      </c>
      <c r="B472" t="s">
        <v>97</v>
      </c>
      <c r="C472" s="3">
        <v>43874.360752314817</v>
      </c>
      <c r="D472" s="5" t="s">
        <v>41</v>
      </c>
      <c r="E472">
        <v>1</v>
      </c>
      <c r="F472">
        <v>0</v>
      </c>
      <c r="G472">
        <v>0</v>
      </c>
      <c r="I472" t="s">
        <v>505</v>
      </c>
      <c r="J472" t="str">
        <f>HYPERLINK("http://pbs.twimg.com/media/EQpJvHlWsAE6lbk.jpg", "http://pbs.twimg.com/media/EQpJvHlWsAE6lbk.jpg")</f>
        <v>http://pbs.twimg.com/media/EQpJvHlWsAE6lbk.jpg</v>
      </c>
      <c r="N472">
        <v>0</v>
      </c>
      <c r="O472">
        <v>0</v>
      </c>
      <c r="P472">
        <v>1</v>
      </c>
      <c r="Q472">
        <v>0</v>
      </c>
    </row>
    <row r="473" spans="1:17" x14ac:dyDescent="0.2">
      <c r="A473" s="1" t="str">
        <f>HYPERLINK("http://www.twitter.com/Ugo_Roux/status/1227868769646759937", "1227868769646759937")</f>
        <v>1227868769646759937</v>
      </c>
      <c r="B473" t="s">
        <v>476</v>
      </c>
      <c r="C473" s="3">
        <v>43874.343773148154</v>
      </c>
      <c r="D473" s="5" t="s">
        <v>28</v>
      </c>
      <c r="E473">
        <v>0</v>
      </c>
      <c r="F473">
        <v>0</v>
      </c>
      <c r="G473">
        <v>0</v>
      </c>
      <c r="I473" t="s">
        <v>506</v>
      </c>
      <c r="N473">
        <v>0</v>
      </c>
      <c r="O473">
        <v>0</v>
      </c>
      <c r="P473">
        <v>1</v>
      </c>
      <c r="Q473">
        <v>0</v>
      </c>
    </row>
    <row r="474" spans="1:17" x14ac:dyDescent="0.2">
      <c r="A474" s="1" t="str">
        <f>HYPERLINK("http://www.twitter.com/Ugo_Roux/status/1227598592162091009", "1227598592162091009")</f>
        <v>1227598592162091009</v>
      </c>
      <c r="B474" t="s">
        <v>142</v>
      </c>
      <c r="C474" s="3">
        <v>43873.598217592589</v>
      </c>
      <c r="D474" s="5" t="s">
        <v>17</v>
      </c>
      <c r="E474">
        <v>0</v>
      </c>
      <c r="F474">
        <v>1</v>
      </c>
      <c r="G474">
        <v>0</v>
      </c>
      <c r="I474" t="s">
        <v>507</v>
      </c>
      <c r="J474" t="str">
        <f>HYPERLINK("http://pbs.twimg.com/media/EQlOaWEWAAg6sH5.jpg", "http://pbs.twimg.com/media/EQlOaWEWAAg6sH5.jpg")</f>
        <v>http://pbs.twimg.com/media/EQlOaWEWAAg6sH5.jpg</v>
      </c>
      <c r="N474">
        <v>0.2263</v>
      </c>
      <c r="O474">
        <v>0</v>
      </c>
      <c r="P474">
        <v>0.93600000000000005</v>
      </c>
      <c r="Q474">
        <v>6.4000000000000001E-2</v>
      </c>
    </row>
    <row r="475" spans="1:17" x14ac:dyDescent="0.2">
      <c r="A475" s="1" t="str">
        <f>HYPERLINK("http://www.twitter.com/Ugo_Roux/status/1227498769207291905", "1227498769207291905")</f>
        <v>1227498769207291905</v>
      </c>
      <c r="B475" t="s">
        <v>142</v>
      </c>
      <c r="C475" s="3">
        <v>43873.322766203702</v>
      </c>
      <c r="D475" s="5" t="s">
        <v>17</v>
      </c>
      <c r="E475">
        <v>0</v>
      </c>
      <c r="F475">
        <v>0</v>
      </c>
      <c r="G475">
        <v>0</v>
      </c>
      <c r="I475" t="s">
        <v>508</v>
      </c>
      <c r="N475">
        <v>0</v>
      </c>
      <c r="O475">
        <v>0</v>
      </c>
      <c r="P475">
        <v>1</v>
      </c>
      <c r="Q475">
        <v>0</v>
      </c>
    </row>
    <row r="476" spans="1:17" x14ac:dyDescent="0.2">
      <c r="A476" s="1" t="str">
        <f>HYPERLINK("http://www.twitter.com/Ugo_Roux/status/1227228526434246658", "1227228526434246658")</f>
        <v>1227228526434246658</v>
      </c>
      <c r="B476" t="s">
        <v>130</v>
      </c>
      <c r="C476" s="3">
        <v>43872.577037037037</v>
      </c>
      <c r="D476" s="5" t="s">
        <v>28</v>
      </c>
      <c r="E476">
        <v>0</v>
      </c>
      <c r="F476">
        <v>0</v>
      </c>
      <c r="G476">
        <v>0</v>
      </c>
      <c r="I476" t="s">
        <v>509</v>
      </c>
      <c r="J476" t="str">
        <f>HYPERLINK("http://pbs.twimg.com/media/EQf9zKHWAAEkpIw.jpg", "http://pbs.twimg.com/media/EQf9zKHWAAEkpIw.jpg")</f>
        <v>http://pbs.twimg.com/media/EQf9zKHWAAEkpIw.jpg</v>
      </c>
      <c r="N476">
        <v>0</v>
      </c>
      <c r="O476">
        <v>0</v>
      </c>
      <c r="P476">
        <v>1</v>
      </c>
      <c r="Q476">
        <v>0</v>
      </c>
    </row>
    <row r="477" spans="1:17" x14ac:dyDescent="0.2">
      <c r="A477" s="1" t="str">
        <f>HYPERLINK("http://www.twitter.com/Ugo_Roux/status/1227217301117771778", "1227217301117771778")</f>
        <v>1227217301117771778</v>
      </c>
      <c r="B477" t="s">
        <v>414</v>
      </c>
      <c r="C477" s="3">
        <v>43872.546053240738</v>
      </c>
      <c r="D477" s="5" t="s">
        <v>28</v>
      </c>
      <c r="E477">
        <v>0</v>
      </c>
      <c r="F477">
        <v>1</v>
      </c>
      <c r="G477">
        <v>0</v>
      </c>
      <c r="I477" t="s">
        <v>510</v>
      </c>
      <c r="J477" t="str">
        <f>HYPERLINK("http://pbs.twimg.com/media/EQfy8y8XYAAPCRr.jpg", "http://pbs.twimg.com/media/EQfy8y8XYAAPCRr.jpg")</f>
        <v>http://pbs.twimg.com/media/EQfy8y8XYAAPCRr.jpg</v>
      </c>
      <c r="N477">
        <v>0</v>
      </c>
      <c r="O477">
        <v>0</v>
      </c>
      <c r="P477">
        <v>1</v>
      </c>
      <c r="Q477">
        <v>0</v>
      </c>
    </row>
    <row r="478" spans="1:17" x14ac:dyDescent="0.2">
      <c r="A478" s="1" t="str">
        <f>HYPERLINK("http://www.twitter.com/Ugo_Roux/status/1227138388429504512", "1227138388429504512")</f>
        <v>1227138388429504512</v>
      </c>
      <c r="B478" t="s">
        <v>285</v>
      </c>
      <c r="C478" s="3">
        <v>43872.328298611108</v>
      </c>
      <c r="D478" s="5" t="s">
        <v>17</v>
      </c>
      <c r="E478">
        <v>3</v>
      </c>
      <c r="F478">
        <v>2</v>
      </c>
      <c r="G478">
        <v>0</v>
      </c>
      <c r="I478" t="s">
        <v>511</v>
      </c>
      <c r="J478" t="str">
        <f>HYPERLINK("http://pbs.twimg.com/media/EQer2tXXUAAK08B.jpg", "http://pbs.twimg.com/media/EQer2tXXUAAK08B.jpg")</f>
        <v>http://pbs.twimg.com/media/EQer2tXXUAAK08B.jpg</v>
      </c>
      <c r="N478">
        <v>0</v>
      </c>
      <c r="O478">
        <v>0</v>
      </c>
      <c r="P478">
        <v>1</v>
      </c>
      <c r="Q478">
        <v>0</v>
      </c>
    </row>
    <row r="479" spans="1:17" x14ac:dyDescent="0.2">
      <c r="A479" s="1" t="str">
        <f>HYPERLINK("http://www.twitter.com/Ugo_Roux/status/1226070324954980352", "1226070324954980352")</f>
        <v>1226070324954980352</v>
      </c>
      <c r="B479" t="s">
        <v>206</v>
      </c>
      <c r="C479" s="3">
        <v>43869.381006944437</v>
      </c>
      <c r="D479" s="5" t="s">
        <v>17</v>
      </c>
      <c r="E479">
        <v>5</v>
      </c>
      <c r="F479">
        <v>3</v>
      </c>
      <c r="G479">
        <v>1</v>
      </c>
      <c r="I479" t="s">
        <v>512</v>
      </c>
      <c r="N479">
        <v>0</v>
      </c>
      <c r="O479">
        <v>0</v>
      </c>
      <c r="P479">
        <v>1</v>
      </c>
      <c r="Q479">
        <v>0</v>
      </c>
    </row>
    <row r="480" spans="1:17" x14ac:dyDescent="0.2">
      <c r="A480" s="1" t="str">
        <f>HYPERLINK("http://www.twitter.com/Ugo_Roux/status/1226069542918594562", "1226069542918594562")</f>
        <v>1226069542918594562</v>
      </c>
      <c r="B480" t="s">
        <v>206</v>
      </c>
      <c r="C480" s="3">
        <v>43869.378842592603</v>
      </c>
      <c r="D480" s="5" t="s">
        <v>17</v>
      </c>
      <c r="E480">
        <v>13</v>
      </c>
      <c r="F480">
        <v>1</v>
      </c>
      <c r="G480">
        <v>0</v>
      </c>
      <c r="I480" t="s">
        <v>513</v>
      </c>
      <c r="J480" t="str">
        <f>HYPERLINK("http://pbs.twimg.com/media/EQPfvjMXkAAuBHB.jpg", "http://pbs.twimg.com/media/EQPfvjMXkAAuBHB.jpg")</f>
        <v>http://pbs.twimg.com/media/EQPfvjMXkAAuBHB.jpg</v>
      </c>
      <c r="N480">
        <v>0</v>
      </c>
      <c r="O480">
        <v>0</v>
      </c>
      <c r="P480">
        <v>1</v>
      </c>
      <c r="Q480">
        <v>0</v>
      </c>
    </row>
    <row r="481" spans="1:17" x14ac:dyDescent="0.2">
      <c r="A481" s="1" t="str">
        <f>HYPERLINK("http://www.twitter.com/Ugo_Roux/status/1225726734802325505", "1225726734802325505")</f>
        <v>1225726734802325505</v>
      </c>
      <c r="B481" t="s">
        <v>97</v>
      </c>
      <c r="C481" s="3">
        <v>43868.432881944442</v>
      </c>
      <c r="D481" s="5" t="s">
        <v>28</v>
      </c>
      <c r="E481">
        <v>1</v>
      </c>
      <c r="F481">
        <v>0</v>
      </c>
      <c r="G481">
        <v>0</v>
      </c>
      <c r="I481" t="s">
        <v>514</v>
      </c>
      <c r="J481" t="str">
        <f>HYPERLINK("http://pbs.twimg.com/media/EQKn-CGXsAA2xmF.jpg", "http://pbs.twimg.com/media/EQKn-CGXsAA2xmF.jpg")</f>
        <v>http://pbs.twimg.com/media/EQKn-CGXsAA2xmF.jpg</v>
      </c>
      <c r="N481">
        <v>0</v>
      </c>
      <c r="O481">
        <v>0</v>
      </c>
      <c r="P481">
        <v>1</v>
      </c>
      <c r="Q481">
        <v>0</v>
      </c>
    </row>
    <row r="482" spans="1:17" x14ac:dyDescent="0.2">
      <c r="A482" s="1" t="str">
        <f>HYPERLINK("http://www.twitter.com/Ugo_Roux/status/1225711304981307397", "1225711304981307397")</f>
        <v>1225711304981307397</v>
      </c>
      <c r="B482" t="s">
        <v>16</v>
      </c>
      <c r="C482" s="3">
        <v>43868.390300925923</v>
      </c>
      <c r="D482" s="3" t="s">
        <v>515</v>
      </c>
      <c r="E482">
        <v>0</v>
      </c>
      <c r="F482">
        <v>0</v>
      </c>
      <c r="G482">
        <v>0</v>
      </c>
      <c r="I482" t="s">
        <v>516</v>
      </c>
      <c r="N482">
        <v>0</v>
      </c>
      <c r="O482">
        <v>0</v>
      </c>
      <c r="P482">
        <v>1</v>
      </c>
      <c r="Q482">
        <v>0</v>
      </c>
    </row>
    <row r="483" spans="1:17" x14ac:dyDescent="0.2">
      <c r="A483" s="1" t="str">
        <f>HYPERLINK("http://www.twitter.com/Ugo_Roux/status/1225456271463194624", "1225456271463194624")</f>
        <v>1225456271463194624</v>
      </c>
      <c r="B483" t="s">
        <v>142</v>
      </c>
      <c r="C483" s="3">
        <v>43867.686539351853</v>
      </c>
      <c r="D483" s="5" t="s">
        <v>41</v>
      </c>
      <c r="E483">
        <v>5</v>
      </c>
      <c r="F483">
        <v>1</v>
      </c>
      <c r="G483">
        <v>0</v>
      </c>
      <c r="I483" t="s">
        <v>517</v>
      </c>
      <c r="J483" t="str">
        <f>HYPERLINK("http://pbs.twimg.com/media/EQGx9wHWsAEGyFE.jpg", "http://pbs.twimg.com/media/EQGx9wHWsAEGyFE.jpg")</f>
        <v>http://pbs.twimg.com/media/EQGx9wHWsAEGyFE.jpg</v>
      </c>
      <c r="N483">
        <v>0</v>
      </c>
      <c r="O483">
        <v>0</v>
      </c>
      <c r="P483">
        <v>1</v>
      </c>
      <c r="Q483">
        <v>0</v>
      </c>
    </row>
    <row r="484" spans="1:17" x14ac:dyDescent="0.2">
      <c r="A484" s="1" t="str">
        <f>HYPERLINK("http://www.twitter.com/Ugo_Roux/status/1225321146679164929", "1225321146679164929")</f>
        <v>1225321146679164929</v>
      </c>
      <c r="B484" t="s">
        <v>285</v>
      </c>
      <c r="C484" s="3">
        <v>43867.313668981478</v>
      </c>
      <c r="D484" s="5" t="s">
        <v>17</v>
      </c>
      <c r="E484">
        <v>1</v>
      </c>
      <c r="F484">
        <v>2</v>
      </c>
      <c r="G484">
        <v>0</v>
      </c>
      <c r="I484" t="s">
        <v>518</v>
      </c>
      <c r="J484" t="str">
        <f>HYPERLINK("http://pbs.twimg.com/media/EQE3FYgXsAgiNYH.jpg", "http://pbs.twimg.com/media/EQE3FYgXsAgiNYH.jpg")</f>
        <v>http://pbs.twimg.com/media/EQE3FYgXsAgiNYH.jpg</v>
      </c>
      <c r="N484">
        <v>-5.16E-2</v>
      </c>
      <c r="O484">
        <v>0.11799999999999999</v>
      </c>
      <c r="P484">
        <v>0.77200000000000002</v>
      </c>
      <c r="Q484">
        <v>0.11</v>
      </c>
    </row>
    <row r="485" spans="1:17" x14ac:dyDescent="0.2">
      <c r="A485" s="1" t="str">
        <f>HYPERLINK("http://www.twitter.com/Ugo_Roux/status/1224991356151648257", "1224991356151648257")</f>
        <v>1224991356151648257</v>
      </c>
      <c r="B485" t="s">
        <v>142</v>
      </c>
      <c r="C485" s="3">
        <v>43866.403622685182</v>
      </c>
      <c r="D485" s="5" t="s">
        <v>17</v>
      </c>
      <c r="E485">
        <v>0</v>
      </c>
      <c r="F485">
        <v>1</v>
      </c>
      <c r="G485">
        <v>0</v>
      </c>
      <c r="I485" t="s">
        <v>519</v>
      </c>
      <c r="J485" t="str">
        <f>HYPERLINK("http://pbs.twimg.com/media/EQALJLQX0AAikTR.jpg", "http://pbs.twimg.com/media/EQALJLQX0AAikTR.jpg")</f>
        <v>http://pbs.twimg.com/media/EQALJLQX0AAikTR.jpg</v>
      </c>
      <c r="N485">
        <v>0.15310000000000001</v>
      </c>
      <c r="O485">
        <v>0</v>
      </c>
      <c r="P485">
        <v>0.95699999999999996</v>
      </c>
      <c r="Q485">
        <v>4.2999999999999997E-2</v>
      </c>
    </row>
    <row r="486" spans="1:17" x14ac:dyDescent="0.2">
      <c r="A486" s="1" t="str">
        <f>HYPERLINK("http://www.twitter.com/Ugo_Roux/status/1224737078086377474", "1224737078086377474")</f>
        <v>1224737078086377474</v>
      </c>
      <c r="B486" t="s">
        <v>142</v>
      </c>
      <c r="C486" s="3">
        <v>43865.701944444438</v>
      </c>
      <c r="D486" s="5" t="s">
        <v>28</v>
      </c>
      <c r="E486">
        <v>0</v>
      </c>
      <c r="F486">
        <v>1</v>
      </c>
      <c r="G486">
        <v>0</v>
      </c>
      <c r="I486" t="s">
        <v>520</v>
      </c>
      <c r="J486" t="str">
        <f>HYPERLINK("http://pbs.twimg.com/media/EP8j4NbX0AM_sAf.jpg", "http://pbs.twimg.com/media/EP8j4NbX0AM_sAf.jpg")</f>
        <v>http://pbs.twimg.com/media/EP8j4NbX0AM_sAf.jpg</v>
      </c>
      <c r="N486">
        <v>0</v>
      </c>
      <c r="O486">
        <v>0</v>
      </c>
      <c r="P486">
        <v>1</v>
      </c>
      <c r="Q486">
        <v>0</v>
      </c>
    </row>
    <row r="487" spans="1:17" x14ac:dyDescent="0.2">
      <c r="A487" s="1" t="str">
        <f>HYPERLINK("http://www.twitter.com/Ugo_Roux/status/1224640036903301120", "1224640036903301120")</f>
        <v>1224640036903301120</v>
      </c>
      <c r="B487" t="s">
        <v>130</v>
      </c>
      <c r="C487" s="3">
        <v>43865.434166666673</v>
      </c>
      <c r="D487" s="5" t="s">
        <v>28</v>
      </c>
      <c r="E487">
        <v>0</v>
      </c>
      <c r="F487">
        <v>0</v>
      </c>
      <c r="G487">
        <v>0</v>
      </c>
      <c r="I487" t="s">
        <v>521</v>
      </c>
      <c r="J487" t="str">
        <f>HYPERLINK("http://pbs.twimg.com/media/EP7LmDvWsAAy4Xo.jpg", "http://pbs.twimg.com/media/EP7LmDvWsAAy4Xo.jpg")</f>
        <v>http://pbs.twimg.com/media/EP7LmDvWsAAy4Xo.jpg</v>
      </c>
      <c r="N487">
        <v>-0.128</v>
      </c>
      <c r="O487">
        <v>3.9E-2</v>
      </c>
      <c r="P487">
        <v>0.96099999999999997</v>
      </c>
      <c r="Q487">
        <v>0</v>
      </c>
    </row>
    <row r="488" spans="1:17" x14ac:dyDescent="0.2">
      <c r="A488" s="1" t="str">
        <f>HYPERLINK("http://www.twitter.com/Ugo_Roux/status/1224279085599404032", "1224279085599404032")</f>
        <v>1224279085599404032</v>
      </c>
      <c r="B488" t="s">
        <v>142</v>
      </c>
      <c r="C488" s="3">
        <v>43864.438125000001</v>
      </c>
      <c r="D488" s="5" t="s">
        <v>17</v>
      </c>
      <c r="E488">
        <v>5</v>
      </c>
      <c r="F488">
        <v>3</v>
      </c>
      <c r="G488">
        <v>0</v>
      </c>
      <c r="I488" t="s">
        <v>522</v>
      </c>
      <c r="J488" t="str">
        <f>HYPERLINK("http://pbs.twimg.com/media/EP2DVknWoAEAeGY.jpg", "http://pbs.twimg.com/media/EP2DVknWoAEAeGY.jpg")</f>
        <v>http://pbs.twimg.com/media/EP2DVknWoAEAeGY.jpg</v>
      </c>
      <c r="N488">
        <v>0</v>
      </c>
      <c r="O488">
        <v>0</v>
      </c>
      <c r="P488">
        <v>1</v>
      </c>
      <c r="Q488">
        <v>0</v>
      </c>
    </row>
    <row r="489" spans="1:17" x14ac:dyDescent="0.2">
      <c r="A489" s="1" t="str">
        <f>HYPERLINK("http://www.twitter.com/Ugo_Roux/status/1223544836852256768", "1223544836852256768")</f>
        <v>1223544836852256768</v>
      </c>
      <c r="B489" t="s">
        <v>425</v>
      </c>
      <c r="C489" s="3">
        <v>43862.411990740737</v>
      </c>
      <c r="D489" s="5" t="s">
        <v>28</v>
      </c>
      <c r="E489">
        <v>1</v>
      </c>
      <c r="F489">
        <v>0</v>
      </c>
      <c r="G489">
        <v>0</v>
      </c>
      <c r="I489" t="s">
        <v>523</v>
      </c>
      <c r="J489" t="str">
        <f>HYPERLINK("http://pbs.twimg.com/media/EPrnifxX0AEGHS6.jpg", "http://pbs.twimg.com/media/EPrnifxX0AEGHS6.jpg")</f>
        <v>http://pbs.twimg.com/media/EPrnifxX0AEGHS6.jpg</v>
      </c>
      <c r="N489">
        <v>0</v>
      </c>
      <c r="O489">
        <v>0</v>
      </c>
      <c r="P489">
        <v>1</v>
      </c>
      <c r="Q489">
        <v>0</v>
      </c>
    </row>
    <row r="490" spans="1:17" x14ac:dyDescent="0.2">
      <c r="A490" s="1" t="str">
        <f>HYPERLINK("http://www.twitter.com/Ugo_Roux/status/1223543992387809280", "1223543992387809280")</f>
        <v>1223543992387809280</v>
      </c>
      <c r="B490" t="s">
        <v>370</v>
      </c>
      <c r="C490" s="3">
        <v>43862.40965277778</v>
      </c>
      <c r="D490" s="5" t="s">
        <v>28</v>
      </c>
      <c r="E490">
        <v>0</v>
      </c>
      <c r="F490">
        <v>0</v>
      </c>
      <c r="G490">
        <v>0</v>
      </c>
      <c r="I490" t="s">
        <v>524</v>
      </c>
      <c r="J490" t="str">
        <f>HYPERLINK("http://pbs.twimg.com/media/EPrmxrjXkAIVR4V.jpg", "http://pbs.twimg.com/media/EPrmxrjXkAIVR4V.jpg")</f>
        <v>http://pbs.twimg.com/media/EPrmxrjXkAIVR4V.jpg</v>
      </c>
      <c r="N490">
        <v>0</v>
      </c>
      <c r="O490">
        <v>0</v>
      </c>
      <c r="P490">
        <v>1</v>
      </c>
      <c r="Q490">
        <v>0</v>
      </c>
    </row>
    <row r="491" spans="1:17" x14ac:dyDescent="0.2">
      <c r="A491" s="1" t="str">
        <f>HYPERLINK("http://www.twitter.com/Ugo_Roux/status/1223541479089504258", "1223541479089504258")</f>
        <v>1223541479089504258</v>
      </c>
      <c r="B491" t="s">
        <v>370</v>
      </c>
      <c r="C491" s="3">
        <v>43862.402719907397</v>
      </c>
      <c r="D491" s="5" t="s">
        <v>28</v>
      </c>
      <c r="E491">
        <v>0</v>
      </c>
      <c r="F491">
        <v>0</v>
      </c>
      <c r="G491">
        <v>0</v>
      </c>
      <c r="I491" t="s">
        <v>525</v>
      </c>
      <c r="J491" t="str">
        <f>HYPERLINK("http://pbs.twimg.com/media/EPrkfbmWoAA13DN.jpg", "http://pbs.twimg.com/media/EPrkfbmWoAA13DN.jpg")</f>
        <v>http://pbs.twimg.com/media/EPrkfbmWoAA13DN.jpg</v>
      </c>
      <c r="N491">
        <v>0</v>
      </c>
      <c r="O491">
        <v>0</v>
      </c>
      <c r="P491">
        <v>1</v>
      </c>
      <c r="Q491">
        <v>0</v>
      </c>
    </row>
    <row r="492" spans="1:17" x14ac:dyDescent="0.2">
      <c r="A492" s="1" t="str">
        <f>HYPERLINK("http://www.twitter.com/Ugo_Roux/status/1223539871131799553", "1223539871131799553")</f>
        <v>1223539871131799553</v>
      </c>
      <c r="B492" t="s">
        <v>370</v>
      </c>
      <c r="C492" s="3">
        <v>43862.398287037038</v>
      </c>
      <c r="D492" s="5" t="s">
        <v>28</v>
      </c>
      <c r="E492">
        <v>0</v>
      </c>
      <c r="F492">
        <v>0</v>
      </c>
      <c r="G492">
        <v>0</v>
      </c>
      <c r="I492" t="s">
        <v>526</v>
      </c>
      <c r="J492" t="str">
        <f>HYPERLINK("http://pbs.twimg.com/media/EPrjB0eX4AA3hYk.jpg", "http://pbs.twimg.com/media/EPrjB0eX4AA3hYk.jpg")</f>
        <v>http://pbs.twimg.com/media/EPrjB0eX4AA3hYk.jpg</v>
      </c>
      <c r="N492">
        <v>0</v>
      </c>
      <c r="O492">
        <v>0</v>
      </c>
      <c r="P492">
        <v>1</v>
      </c>
      <c r="Q492">
        <v>0</v>
      </c>
    </row>
    <row r="493" spans="1:17" x14ac:dyDescent="0.2">
      <c r="A493" s="1" t="str">
        <f>HYPERLINK("http://www.twitter.com/Ugo_Roux/status/1223539355106598914", "1223539355106598914")</f>
        <v>1223539355106598914</v>
      </c>
      <c r="B493" t="s">
        <v>370</v>
      </c>
      <c r="C493" s="3">
        <v>43862.396863425929</v>
      </c>
      <c r="D493" s="5" t="s">
        <v>28</v>
      </c>
      <c r="E493">
        <v>0</v>
      </c>
      <c r="F493">
        <v>0</v>
      </c>
      <c r="G493">
        <v>0</v>
      </c>
      <c r="I493" t="s">
        <v>527</v>
      </c>
      <c r="J493" t="str">
        <f>HYPERLINK("http://pbs.twimg.com/media/EPrijx0WkAcdKMq.jpg", "http://pbs.twimg.com/media/EPrijx0WkAcdKMq.jpg")</f>
        <v>http://pbs.twimg.com/media/EPrijx0WkAcdKMq.jpg</v>
      </c>
      <c r="N493">
        <v>0</v>
      </c>
      <c r="O493">
        <v>0</v>
      </c>
      <c r="P493">
        <v>1</v>
      </c>
      <c r="Q493">
        <v>0</v>
      </c>
    </row>
    <row r="494" spans="1:17" x14ac:dyDescent="0.2">
      <c r="A494" s="1" t="str">
        <f>HYPERLINK("http://www.twitter.com/Ugo_Roux/status/1223209995350761473", "1223209995350761473")</f>
        <v>1223209995350761473</v>
      </c>
      <c r="B494" t="s">
        <v>425</v>
      </c>
      <c r="C494" s="3">
        <v>43861.487997685188</v>
      </c>
      <c r="D494" s="5" t="s">
        <v>41</v>
      </c>
      <c r="E494">
        <v>0</v>
      </c>
      <c r="F494">
        <v>0</v>
      </c>
      <c r="G494">
        <v>0</v>
      </c>
      <c r="I494" t="s">
        <v>528</v>
      </c>
      <c r="J494" t="str">
        <f>HYPERLINK("https://video.twimg.com/ext_tw_video/1223209957606273024/pu/vid/720x540/03wRy9kIAZjxprNe.mp4?tag=10", "https://video.twimg.com/ext_tw_video/1223209957606273024/pu/vid/720x540/03wRy9kIAZjxprNe.mp4?tag=10")</f>
        <v>https://video.twimg.com/ext_tw_video/1223209957606273024/pu/vid/720x540/03wRy9kIAZjxprNe.mp4?tag=10</v>
      </c>
      <c r="N494">
        <v>0</v>
      </c>
      <c r="O494">
        <v>0</v>
      </c>
      <c r="P494">
        <v>1</v>
      </c>
      <c r="Q494">
        <v>0</v>
      </c>
    </row>
    <row r="495" spans="1:17" x14ac:dyDescent="0.2">
      <c r="A495" s="1" t="str">
        <f>HYPERLINK("http://www.twitter.com/Ugo_Roux/status/1223162051780075520", "1223162051780075520")</f>
        <v>1223162051780075520</v>
      </c>
      <c r="B495" t="s">
        <v>476</v>
      </c>
      <c r="C495" s="3">
        <v>43861.355706018519</v>
      </c>
      <c r="D495" s="5" t="s">
        <v>17</v>
      </c>
      <c r="E495">
        <v>0</v>
      </c>
      <c r="F495">
        <v>0</v>
      </c>
      <c r="G495">
        <v>0</v>
      </c>
      <c r="I495" t="s">
        <v>529</v>
      </c>
      <c r="N495">
        <v>0</v>
      </c>
      <c r="O495">
        <v>0</v>
      </c>
      <c r="P495">
        <v>1</v>
      </c>
      <c r="Q495">
        <v>0</v>
      </c>
    </row>
    <row r="496" spans="1:17" x14ac:dyDescent="0.2">
      <c r="A496" s="1" t="str">
        <f>HYPERLINK("http://www.twitter.com/Ugo_Roux/status/1222898269405110273", "1222898269405110273")</f>
        <v>1222898269405110273</v>
      </c>
      <c r="B496" t="s">
        <v>476</v>
      </c>
      <c r="C496" s="3">
        <v>43860.627800925933</v>
      </c>
      <c r="D496" s="5" t="s">
        <v>41</v>
      </c>
      <c r="E496">
        <v>1</v>
      </c>
      <c r="F496">
        <v>0</v>
      </c>
      <c r="G496">
        <v>1</v>
      </c>
      <c r="I496" t="s">
        <v>530</v>
      </c>
      <c r="J496" t="str">
        <f>HYPERLINK("http://pbs.twimg.com/media/EPibfOcU4AAxMX7.jpg", "http://pbs.twimg.com/media/EPibfOcU4AAxMX7.jpg")</f>
        <v>http://pbs.twimg.com/media/EPibfOcU4AAxMX7.jpg</v>
      </c>
      <c r="N496">
        <v>0</v>
      </c>
      <c r="O496">
        <v>0</v>
      </c>
      <c r="P496">
        <v>1</v>
      </c>
      <c r="Q496">
        <v>0</v>
      </c>
    </row>
    <row r="497" spans="1:17" x14ac:dyDescent="0.2">
      <c r="A497" s="1" t="str">
        <f>HYPERLINK("http://www.twitter.com/Ugo_Roux/status/1222815549111046146", "1222815549111046146")</f>
        <v>1222815549111046146</v>
      </c>
      <c r="B497" t="s">
        <v>425</v>
      </c>
      <c r="C497" s="3">
        <v>43860.399537037039</v>
      </c>
      <c r="D497" s="5" t="s">
        <v>28</v>
      </c>
      <c r="E497">
        <v>0</v>
      </c>
      <c r="F497">
        <v>0</v>
      </c>
      <c r="G497">
        <v>0</v>
      </c>
      <c r="I497" t="s">
        <v>531</v>
      </c>
      <c r="J497" t="str">
        <f>HYPERLINK("http://pbs.twimg.com/media/EPhQQf0WoAAxp1d.jpg", "http://pbs.twimg.com/media/EPhQQf0WoAAxp1d.jpg")</f>
        <v>http://pbs.twimg.com/media/EPhQQf0WoAAxp1d.jpg</v>
      </c>
      <c r="N497">
        <v>0</v>
      </c>
      <c r="O497">
        <v>0</v>
      </c>
      <c r="P497">
        <v>1</v>
      </c>
      <c r="Q497">
        <v>0</v>
      </c>
    </row>
    <row r="498" spans="1:17" x14ac:dyDescent="0.2">
      <c r="A498" s="1" t="str">
        <f>HYPERLINK("http://www.twitter.com/Ugo_Roux/status/1222401302635982848", "1222401302635982848")</f>
        <v>1222401302635982848</v>
      </c>
      <c r="B498" t="s">
        <v>285</v>
      </c>
      <c r="C498" s="3">
        <v>43859.256435185183</v>
      </c>
      <c r="D498" s="5" t="s">
        <v>28</v>
      </c>
      <c r="E498">
        <v>1</v>
      </c>
      <c r="F498">
        <v>2</v>
      </c>
      <c r="G498">
        <v>0</v>
      </c>
      <c r="I498" t="s">
        <v>532</v>
      </c>
      <c r="J498" t="str">
        <f>HYPERLINK("http://pbs.twimg.com/media/EPbXfVmWoAEHFNx.jpg", "http://pbs.twimg.com/media/EPbXfVmWoAEHFNx.jpg")</f>
        <v>http://pbs.twimg.com/media/EPbXfVmWoAEHFNx.jpg</v>
      </c>
      <c r="K498" t="str">
        <f>HYPERLINK("http://pbs.twimg.com/media/EPbXfW9WAAAfi9Y.jpg", "http://pbs.twimg.com/media/EPbXfW9WAAAfi9Y.jpg")</f>
        <v>http://pbs.twimg.com/media/EPbXfW9WAAAfi9Y.jpg</v>
      </c>
      <c r="N498">
        <v>0</v>
      </c>
      <c r="O498">
        <v>0</v>
      </c>
      <c r="P498">
        <v>1</v>
      </c>
      <c r="Q498">
        <v>0</v>
      </c>
    </row>
    <row r="499" spans="1:17" x14ac:dyDescent="0.2">
      <c r="A499" s="1" t="str">
        <f>HYPERLINK("http://www.twitter.com/Ugo_Roux/status/1221400512706359296", "1221400512706359296")</f>
        <v>1221400512706359296</v>
      </c>
      <c r="B499" t="s">
        <v>142</v>
      </c>
      <c r="C499" s="3">
        <v>43856.494780092587</v>
      </c>
      <c r="D499" s="5" t="s">
        <v>17</v>
      </c>
      <c r="E499">
        <v>2</v>
      </c>
      <c r="F499">
        <v>2</v>
      </c>
      <c r="G499">
        <v>0</v>
      </c>
      <c r="I499" t="s">
        <v>533</v>
      </c>
      <c r="J499" t="str">
        <f>HYPERLINK("http://pbs.twimg.com/media/EPNJSB1WsAc4jMa.jpg", "http://pbs.twimg.com/media/EPNJSB1WsAc4jMa.jpg")</f>
        <v>http://pbs.twimg.com/media/EPNJSB1WsAc4jMa.jpg</v>
      </c>
      <c r="N499">
        <v>0</v>
      </c>
      <c r="O499">
        <v>0</v>
      </c>
      <c r="P499">
        <v>1</v>
      </c>
      <c r="Q499">
        <v>0</v>
      </c>
    </row>
    <row r="500" spans="1:17" x14ac:dyDescent="0.2">
      <c r="A500" s="1" t="str">
        <f>HYPERLINK("http://www.twitter.com/Ugo_Roux/status/1221061002692898816", "1221061002692898816")</f>
        <v>1221061002692898816</v>
      </c>
      <c r="B500" t="s">
        <v>130</v>
      </c>
      <c r="C500" s="3">
        <v>43855.557905092603</v>
      </c>
      <c r="D500" s="5" t="s">
        <v>28</v>
      </c>
      <c r="E500">
        <v>3</v>
      </c>
      <c r="F500">
        <v>0</v>
      </c>
      <c r="G500">
        <v>0</v>
      </c>
      <c r="I500" t="s">
        <v>534</v>
      </c>
      <c r="J500" t="str">
        <f>HYPERLINK("http://pbs.twimg.com/media/EPIUgBsWoAAPMXz.jpg", "http://pbs.twimg.com/media/EPIUgBsWoAAPMXz.jpg")</f>
        <v>http://pbs.twimg.com/media/EPIUgBsWoAAPMXz.jpg</v>
      </c>
      <c r="N500">
        <v>0.44040000000000001</v>
      </c>
      <c r="O500">
        <v>0</v>
      </c>
      <c r="P500">
        <v>0.92500000000000004</v>
      </c>
      <c r="Q500">
        <v>7.4999999999999997E-2</v>
      </c>
    </row>
    <row r="501" spans="1:17" x14ac:dyDescent="0.2">
      <c r="A501" s="1" t="str">
        <f>HYPERLINK("http://www.twitter.com/Ugo_Roux/status/1220671776377724928", "1220671776377724928")</f>
        <v>1220671776377724928</v>
      </c>
      <c r="B501" t="s">
        <v>425</v>
      </c>
      <c r="C501" s="3">
        <v>43854.483854166669</v>
      </c>
      <c r="D501" s="5" t="s">
        <v>28</v>
      </c>
      <c r="E501">
        <v>0</v>
      </c>
      <c r="F501">
        <v>0</v>
      </c>
      <c r="G501">
        <v>0</v>
      </c>
      <c r="I501" t="s">
        <v>535</v>
      </c>
      <c r="J501" t="str">
        <f>HYPERLINK("http://pbs.twimg.com/media/EPCygLFXsAYTV-x.jpg", "http://pbs.twimg.com/media/EPCygLFXsAYTV-x.jpg")</f>
        <v>http://pbs.twimg.com/media/EPCygLFXsAYTV-x.jpg</v>
      </c>
      <c r="N501">
        <v>0</v>
      </c>
      <c r="O501">
        <v>0</v>
      </c>
      <c r="P501">
        <v>1</v>
      </c>
      <c r="Q501">
        <v>0</v>
      </c>
    </row>
    <row r="502" spans="1:17" x14ac:dyDescent="0.2">
      <c r="A502" s="1" t="str">
        <f>HYPERLINK("http://www.twitter.com/Ugo_Roux/status/1220658225168748544", "1220658225168748544")</f>
        <v>1220658225168748544</v>
      </c>
      <c r="B502" t="s">
        <v>130</v>
      </c>
      <c r="C502" s="3">
        <v>43854.446458333332</v>
      </c>
      <c r="D502" s="5" t="s">
        <v>28</v>
      </c>
      <c r="E502">
        <v>0</v>
      </c>
      <c r="F502">
        <v>0</v>
      </c>
      <c r="G502">
        <v>0</v>
      </c>
      <c r="I502" t="s">
        <v>536</v>
      </c>
      <c r="J502" t="str">
        <f>HYPERLINK("http://pbs.twimg.com/media/EPCmLvuX4AAY7F2.jpg", "http://pbs.twimg.com/media/EPCmLvuX4AAY7F2.jpg")</f>
        <v>http://pbs.twimg.com/media/EPCmLvuX4AAY7F2.jpg</v>
      </c>
      <c r="N502">
        <v>0</v>
      </c>
      <c r="O502">
        <v>0</v>
      </c>
      <c r="P502">
        <v>1</v>
      </c>
      <c r="Q502">
        <v>0</v>
      </c>
    </row>
    <row r="503" spans="1:17" x14ac:dyDescent="0.2">
      <c r="A503" s="1" t="str">
        <f>HYPERLINK("http://www.twitter.com/Ugo_Roux/status/1220369756953378818", "1220369756953378818")</f>
        <v>1220369756953378818</v>
      </c>
      <c r="B503" t="s">
        <v>142</v>
      </c>
      <c r="C503" s="3">
        <v>43853.650439814817</v>
      </c>
      <c r="D503" s="5" t="s">
        <v>28</v>
      </c>
      <c r="E503">
        <v>3</v>
      </c>
      <c r="F503">
        <v>4</v>
      </c>
      <c r="G503">
        <v>0</v>
      </c>
      <c r="I503" t="s">
        <v>537</v>
      </c>
      <c r="J503" t="str">
        <f>HYPERLINK("http://pbs.twimg.com/media/EO-f0HuX0AUMTBE.jpg", "http://pbs.twimg.com/media/EO-f0HuX0AUMTBE.jpg")</f>
        <v>http://pbs.twimg.com/media/EO-f0HuX0AUMTBE.jpg</v>
      </c>
      <c r="N503">
        <v>0</v>
      </c>
      <c r="O503">
        <v>0</v>
      </c>
      <c r="P503">
        <v>1</v>
      </c>
      <c r="Q503">
        <v>0</v>
      </c>
    </row>
    <row r="504" spans="1:17" x14ac:dyDescent="0.2">
      <c r="A504" s="1" t="str">
        <f>HYPERLINK("http://www.twitter.com/Ugo_Roux/status/1219929979162693634", "1219929979162693634")</f>
        <v>1219929979162693634</v>
      </c>
      <c r="B504" t="s">
        <v>425</v>
      </c>
      <c r="C504" s="3">
        <v>43852.436874999999</v>
      </c>
      <c r="D504" s="5" t="s">
        <v>28</v>
      </c>
      <c r="E504">
        <v>0</v>
      </c>
      <c r="F504">
        <v>0</v>
      </c>
      <c r="G504">
        <v>0</v>
      </c>
      <c r="I504" t="s">
        <v>538</v>
      </c>
      <c r="J504" t="str">
        <f>HYPERLINK("http://pbs.twimg.com/media/EO4P2VoWsAEvANO.jpg", "http://pbs.twimg.com/media/EO4P2VoWsAEvANO.jpg")</f>
        <v>http://pbs.twimg.com/media/EO4P2VoWsAEvANO.jpg</v>
      </c>
      <c r="N504">
        <v>0</v>
      </c>
      <c r="O504">
        <v>0</v>
      </c>
      <c r="P504">
        <v>1</v>
      </c>
      <c r="Q504">
        <v>0</v>
      </c>
    </row>
    <row r="505" spans="1:17" x14ac:dyDescent="0.2">
      <c r="A505" s="1" t="str">
        <f>HYPERLINK("http://www.twitter.com/Ugo_Roux/status/1219643421385744384", "1219643421385744384")</f>
        <v>1219643421385744384</v>
      </c>
      <c r="B505" t="s">
        <v>425</v>
      </c>
      <c r="C505" s="3">
        <v>43851.646134259259</v>
      </c>
      <c r="D505" s="5" t="s">
        <v>17</v>
      </c>
      <c r="E505">
        <v>0</v>
      </c>
      <c r="F505">
        <v>0</v>
      </c>
      <c r="G505">
        <v>0</v>
      </c>
      <c r="I505" t="s">
        <v>539</v>
      </c>
      <c r="N505">
        <v>0</v>
      </c>
      <c r="O505">
        <v>0</v>
      </c>
      <c r="P505">
        <v>1</v>
      </c>
      <c r="Q505">
        <v>0</v>
      </c>
    </row>
    <row r="506" spans="1:17" x14ac:dyDescent="0.2">
      <c r="A506" s="1" t="str">
        <f>HYPERLINK("http://www.twitter.com/Ugo_Roux/status/1219525261265448971", "1219525261265448971")</f>
        <v>1219525261265448971</v>
      </c>
      <c r="B506" t="s">
        <v>285</v>
      </c>
      <c r="C506" s="3">
        <v>43851.320069444453</v>
      </c>
      <c r="D506" s="5" t="s">
        <v>17</v>
      </c>
      <c r="E506">
        <v>0</v>
      </c>
      <c r="F506">
        <v>0</v>
      </c>
      <c r="G506">
        <v>0</v>
      </c>
      <c r="I506" t="s">
        <v>540</v>
      </c>
      <c r="N506">
        <v>0</v>
      </c>
      <c r="O506">
        <v>0</v>
      </c>
      <c r="P506">
        <v>1</v>
      </c>
      <c r="Q506">
        <v>0</v>
      </c>
    </row>
    <row r="507" spans="1:17" x14ac:dyDescent="0.2">
      <c r="A507" s="1" t="str">
        <f>HYPERLINK("http://www.twitter.com/Ugo_Roux/status/1218851904526127104", "1218851904526127104")</f>
        <v>1218851904526127104</v>
      </c>
      <c r="B507" t="s">
        <v>142</v>
      </c>
      <c r="C507" s="3">
        <v>43849.461956018517</v>
      </c>
      <c r="D507" s="5" t="s">
        <v>515</v>
      </c>
      <c r="E507">
        <v>3</v>
      </c>
      <c r="F507">
        <v>8</v>
      </c>
      <c r="G507">
        <v>0</v>
      </c>
      <c r="I507" t="s">
        <v>541</v>
      </c>
      <c r="J507" t="str">
        <f>HYPERLINK("http://pbs.twimg.com/media/EOo7WCCX0AAX3kK.jpg", "http://pbs.twimg.com/media/EOo7WCCX0AAX3kK.jpg")</f>
        <v>http://pbs.twimg.com/media/EOo7WCCX0AAX3kK.jpg</v>
      </c>
      <c r="N507">
        <v>0.60270000000000001</v>
      </c>
      <c r="O507">
        <v>0</v>
      </c>
      <c r="P507">
        <v>0.89700000000000002</v>
      </c>
      <c r="Q507">
        <v>0.10299999999999999</v>
      </c>
    </row>
    <row r="508" spans="1:17" x14ac:dyDescent="0.2">
      <c r="A508" s="1" t="str">
        <f>HYPERLINK("http://www.twitter.com/Ugo_Roux/status/1218535398739271680", "1218535398739271680")</f>
        <v>1218535398739271680</v>
      </c>
      <c r="B508" t="s">
        <v>414</v>
      </c>
      <c r="C508" s="3">
        <v>43848.588576388887</v>
      </c>
      <c r="D508" s="5" t="s">
        <v>17</v>
      </c>
      <c r="E508">
        <v>0</v>
      </c>
      <c r="F508">
        <v>0</v>
      </c>
      <c r="G508">
        <v>0</v>
      </c>
      <c r="I508" t="s">
        <v>542</v>
      </c>
      <c r="J508" t="str">
        <f>HYPERLINK("http://pbs.twimg.com/media/EOkbeh1WoAQB7BG.jpg", "http://pbs.twimg.com/media/EOkbeh1WoAQB7BG.jpg")</f>
        <v>http://pbs.twimg.com/media/EOkbeh1WoAQB7BG.jpg</v>
      </c>
      <c r="N508">
        <v>0</v>
      </c>
      <c r="O508">
        <v>0</v>
      </c>
      <c r="P508">
        <v>1</v>
      </c>
      <c r="Q508">
        <v>0</v>
      </c>
    </row>
    <row r="509" spans="1:17" x14ac:dyDescent="0.2">
      <c r="A509" s="1" t="str">
        <f>HYPERLINK("http://www.twitter.com/Ugo_Roux/status/1218533276161323008", "1218533276161323008")</f>
        <v>1218533276161323008</v>
      </c>
      <c r="B509" t="s">
        <v>425</v>
      </c>
      <c r="C509" s="3">
        <v>43848.582708333342</v>
      </c>
      <c r="D509" s="5" t="s">
        <v>41</v>
      </c>
      <c r="E509">
        <v>0</v>
      </c>
      <c r="F509">
        <v>0</v>
      </c>
      <c r="G509">
        <v>0</v>
      </c>
      <c r="I509" t="s">
        <v>543</v>
      </c>
      <c r="J509" t="str">
        <f>HYPERLINK("http://pbs.twimg.com/media/EOkZjbUX0AEEjss.png", "http://pbs.twimg.com/media/EOkZjbUX0AEEjss.png")</f>
        <v>http://pbs.twimg.com/media/EOkZjbUX0AEEjss.png</v>
      </c>
      <c r="N509">
        <v>0</v>
      </c>
      <c r="O509">
        <v>0</v>
      </c>
      <c r="P509">
        <v>1</v>
      </c>
      <c r="Q509">
        <v>0</v>
      </c>
    </row>
    <row r="510" spans="1:17" x14ac:dyDescent="0.2">
      <c r="A510" s="1" t="str">
        <f>HYPERLINK("http://www.twitter.com/Ugo_Roux/status/1218239739180044288", "1218239739180044288")</f>
        <v>1218239739180044288</v>
      </c>
      <c r="B510" t="s">
        <v>142</v>
      </c>
      <c r="C510" s="3">
        <v>43847.77270833333</v>
      </c>
      <c r="D510" s="5" t="s">
        <v>17</v>
      </c>
      <c r="E510">
        <v>0</v>
      </c>
      <c r="F510">
        <v>1</v>
      </c>
      <c r="G510">
        <v>0</v>
      </c>
      <c r="I510" t="s">
        <v>544</v>
      </c>
      <c r="J510" t="str">
        <f>HYPERLINK("http://pbs.twimg.com/media/EOgOlPtWkAAJI-O.jpg", "http://pbs.twimg.com/media/EOgOlPtWkAAJI-O.jpg")</f>
        <v>http://pbs.twimg.com/media/EOgOlPtWkAAJI-O.jpg</v>
      </c>
      <c r="N510">
        <v>0</v>
      </c>
      <c r="O510">
        <v>0</v>
      </c>
      <c r="P510">
        <v>1</v>
      </c>
      <c r="Q510">
        <v>0</v>
      </c>
    </row>
    <row r="511" spans="1:17" x14ac:dyDescent="0.2">
      <c r="A511" s="1" t="str">
        <f>HYPERLINK("http://www.twitter.com/Ugo_Roux/status/1218163466906849280", "1218163466906849280")</f>
        <v>1218163466906849280</v>
      </c>
      <c r="B511" t="s">
        <v>130</v>
      </c>
      <c r="C511" s="3">
        <v>43847.5622337963</v>
      </c>
      <c r="D511" s="5" t="s">
        <v>28</v>
      </c>
      <c r="E511">
        <v>0</v>
      </c>
      <c r="F511">
        <v>0</v>
      </c>
      <c r="G511">
        <v>0</v>
      </c>
      <c r="I511" t="s">
        <v>545</v>
      </c>
      <c r="J511" t="str">
        <f>HYPERLINK("http://pbs.twimg.com/media/EOfJNQ6XkAIQW43.jpg", "http://pbs.twimg.com/media/EOfJNQ6XkAIQW43.jpg")</f>
        <v>http://pbs.twimg.com/media/EOfJNQ6XkAIQW43.jpg</v>
      </c>
      <c r="N511">
        <v>0</v>
      </c>
      <c r="O511">
        <v>0</v>
      </c>
      <c r="P511">
        <v>1</v>
      </c>
      <c r="Q511">
        <v>0</v>
      </c>
    </row>
    <row r="512" spans="1:17" x14ac:dyDescent="0.2">
      <c r="A512" s="1" t="str">
        <f>HYPERLINK("http://www.twitter.com/Ugo_Roux/status/1217448653595475969", "1217448653595475969")</f>
        <v>1217448653595475969</v>
      </c>
      <c r="B512" t="s">
        <v>476</v>
      </c>
      <c r="C512" s="3">
        <v>43845.589722222219</v>
      </c>
      <c r="D512" s="5" t="s">
        <v>28</v>
      </c>
      <c r="E512">
        <v>0</v>
      </c>
      <c r="F512">
        <v>0</v>
      </c>
      <c r="G512">
        <v>0</v>
      </c>
      <c r="I512" t="s">
        <v>546</v>
      </c>
      <c r="J512" t="str">
        <f>HYPERLINK("http://pbs.twimg.com/media/EOU_F8bWsAASCQ8.jpg", "http://pbs.twimg.com/media/EOU_F8bWsAASCQ8.jpg")</f>
        <v>http://pbs.twimg.com/media/EOU_F8bWsAASCQ8.jpg</v>
      </c>
      <c r="N512">
        <v>0</v>
      </c>
      <c r="O512">
        <v>0</v>
      </c>
      <c r="P512">
        <v>1</v>
      </c>
      <c r="Q512">
        <v>0</v>
      </c>
    </row>
    <row r="513" spans="1:17" x14ac:dyDescent="0.2">
      <c r="A513" s="1" t="str">
        <f>HYPERLINK("http://www.twitter.com/Ugo_Roux/status/1217371381568016384", "1217371381568016384")</f>
        <v>1217371381568016384</v>
      </c>
      <c r="B513" t="s">
        <v>425</v>
      </c>
      <c r="C513" s="3">
        <v>43845.376493055563</v>
      </c>
      <c r="D513" s="5" t="s">
        <v>28</v>
      </c>
      <c r="E513">
        <v>1</v>
      </c>
      <c r="F513">
        <v>0</v>
      </c>
      <c r="G513">
        <v>0</v>
      </c>
      <c r="I513" t="s">
        <v>547</v>
      </c>
      <c r="J513" t="str">
        <f>HYPERLINK("http://pbs.twimg.com/media/EOT40TBXkAAkHxT.png", "http://pbs.twimg.com/media/EOT40TBXkAAkHxT.png")</f>
        <v>http://pbs.twimg.com/media/EOT40TBXkAAkHxT.png</v>
      </c>
      <c r="N513">
        <v>0.31640000000000001</v>
      </c>
      <c r="O513">
        <v>0</v>
      </c>
      <c r="P513">
        <v>0.92400000000000004</v>
      </c>
      <c r="Q513">
        <v>7.5999999999999998E-2</v>
      </c>
    </row>
    <row r="514" spans="1:17" x14ac:dyDescent="0.2">
      <c r="A514" s="1" t="str">
        <f>HYPERLINK("http://www.twitter.com/Ugo_Roux/status/1217344783330545664", "1217344783330545664")</f>
        <v>1217344783330545664</v>
      </c>
      <c r="B514" t="s">
        <v>142</v>
      </c>
      <c r="C514" s="3">
        <v>43845.303101851852</v>
      </c>
      <c r="D514" s="5" t="s">
        <v>17</v>
      </c>
      <c r="E514">
        <v>0</v>
      </c>
      <c r="F514">
        <v>0</v>
      </c>
      <c r="G514">
        <v>0</v>
      </c>
      <c r="I514" t="s">
        <v>548</v>
      </c>
      <c r="N514">
        <v>0</v>
      </c>
      <c r="O514">
        <v>0</v>
      </c>
      <c r="P514">
        <v>1</v>
      </c>
      <c r="Q514">
        <v>0</v>
      </c>
    </row>
    <row r="515" spans="1:17" x14ac:dyDescent="0.2">
      <c r="A515" s="1" t="str">
        <f>HYPERLINK("http://www.twitter.com/Ugo_Roux/status/1217023884110782465", "1217023884110782465")</f>
        <v>1217023884110782465</v>
      </c>
      <c r="B515" t="s">
        <v>425</v>
      </c>
      <c r="C515" s="3">
        <v>43844.417581018519</v>
      </c>
      <c r="D515" s="5" t="s">
        <v>28</v>
      </c>
      <c r="E515">
        <v>0</v>
      </c>
      <c r="F515">
        <v>0</v>
      </c>
      <c r="G515">
        <v>0</v>
      </c>
      <c r="I515" t="s">
        <v>549</v>
      </c>
      <c r="J515" t="str">
        <f>HYPERLINK("http://pbs.twimg.com/media/EOO8xMJWkAE_MU4.jpg", "http://pbs.twimg.com/media/EOO8xMJWkAE_MU4.jpg")</f>
        <v>http://pbs.twimg.com/media/EOO8xMJWkAE_MU4.jpg</v>
      </c>
      <c r="N515">
        <v>0</v>
      </c>
      <c r="O515">
        <v>0</v>
      </c>
      <c r="P515">
        <v>1</v>
      </c>
      <c r="Q515">
        <v>0</v>
      </c>
    </row>
    <row r="516" spans="1:17" x14ac:dyDescent="0.2">
      <c r="A516" s="1" t="str">
        <f>HYPERLINK("http://www.twitter.com/Ugo_Roux/status/1216978868369752064", "1216978868369752064")</f>
        <v>1216978868369752064</v>
      </c>
      <c r="B516" t="s">
        <v>285</v>
      </c>
      <c r="C516" s="3">
        <v>43844.293368055558</v>
      </c>
      <c r="D516" s="5" t="s">
        <v>17</v>
      </c>
      <c r="E516">
        <v>2</v>
      </c>
      <c r="F516">
        <v>1</v>
      </c>
      <c r="G516">
        <v>0</v>
      </c>
      <c r="I516" t="s">
        <v>550</v>
      </c>
      <c r="J516" t="str">
        <f>HYPERLINK("http://pbs.twimg.com/media/EOOTzRoXUAAlfOa.jpg", "http://pbs.twimg.com/media/EOOTzRoXUAAlfOa.jpg")</f>
        <v>http://pbs.twimg.com/media/EOOTzRoXUAAlfOa.jpg</v>
      </c>
      <c r="N516">
        <v>0</v>
      </c>
      <c r="O516">
        <v>0</v>
      </c>
      <c r="P516">
        <v>1</v>
      </c>
      <c r="Q516">
        <v>0</v>
      </c>
    </row>
    <row r="517" spans="1:17" x14ac:dyDescent="0.2">
      <c r="A517" s="1" t="str">
        <f>HYPERLINK("http://www.twitter.com/Ugo_Roux/status/1215632927394013184", "1215632927394013184")</f>
        <v>1215632927394013184</v>
      </c>
      <c r="B517" t="s">
        <v>142</v>
      </c>
      <c r="C517" s="3">
        <v>43840.579270833332</v>
      </c>
      <c r="D517" s="5" t="s">
        <v>17</v>
      </c>
      <c r="E517">
        <v>3</v>
      </c>
      <c r="F517">
        <v>2</v>
      </c>
      <c r="G517">
        <v>0</v>
      </c>
      <c r="I517" t="s">
        <v>551</v>
      </c>
      <c r="J517" t="str">
        <f>HYPERLINK("http://pbs.twimg.com/media/EN7Ls-LWsAAZKON.jpg", "http://pbs.twimg.com/media/EN7Ls-LWsAAZKON.jpg")</f>
        <v>http://pbs.twimg.com/media/EN7Ls-LWsAAZKON.jpg</v>
      </c>
      <c r="N517">
        <v>0</v>
      </c>
      <c r="O517">
        <v>0</v>
      </c>
      <c r="P517">
        <v>1</v>
      </c>
      <c r="Q517">
        <v>0</v>
      </c>
    </row>
    <row r="518" spans="1:17" x14ac:dyDescent="0.2">
      <c r="A518" s="1" t="str">
        <f>HYPERLINK("http://www.twitter.com/Ugo_Roux/status/1215218150972760064", "1215218150972760064")</f>
        <v>1215218150972760064</v>
      </c>
      <c r="B518" t="s">
        <v>425</v>
      </c>
      <c r="C518" s="3">
        <v>43839.434710648151</v>
      </c>
      <c r="D518" s="5" t="s">
        <v>28</v>
      </c>
      <c r="E518">
        <v>0</v>
      </c>
      <c r="F518">
        <v>0</v>
      </c>
      <c r="G518">
        <v>0</v>
      </c>
      <c r="I518" t="s">
        <v>552</v>
      </c>
      <c r="J518" t="str">
        <f>HYPERLINK("http://pbs.twimg.com/media/EN1Sdv9XkAE-cjt.jpg", "http://pbs.twimg.com/media/EN1Sdv9XkAE-cjt.jpg")</f>
        <v>http://pbs.twimg.com/media/EN1Sdv9XkAE-cjt.jpg</v>
      </c>
      <c r="N518">
        <v>0</v>
      </c>
      <c r="O518">
        <v>0</v>
      </c>
      <c r="P518">
        <v>1</v>
      </c>
      <c r="Q518">
        <v>0</v>
      </c>
    </row>
    <row r="519" spans="1:17" x14ac:dyDescent="0.2">
      <c r="A519" s="1" t="str">
        <f>HYPERLINK("http://www.twitter.com/Ugo_Roux/status/1214899435806875651", "1214899435806875651")</f>
        <v>1214899435806875651</v>
      </c>
      <c r="B519" t="s">
        <v>425</v>
      </c>
      <c r="C519" s="3">
        <v>43838.555219907408</v>
      </c>
      <c r="D519" s="5" t="s">
        <v>28</v>
      </c>
      <c r="E519">
        <v>1</v>
      </c>
      <c r="F519">
        <v>0</v>
      </c>
      <c r="G519">
        <v>0</v>
      </c>
      <c r="I519" t="s">
        <v>553</v>
      </c>
      <c r="J519" t="str">
        <f>HYPERLINK("http://pbs.twimg.com/media/ENwwmC2X0AApTv3.jpg", "http://pbs.twimg.com/media/ENwwmC2X0AApTv3.jpg")</f>
        <v>http://pbs.twimg.com/media/ENwwmC2X0AApTv3.jpg</v>
      </c>
      <c r="N519">
        <v>0</v>
      </c>
      <c r="O519">
        <v>0</v>
      </c>
      <c r="P519">
        <v>1</v>
      </c>
      <c r="Q519">
        <v>0</v>
      </c>
    </row>
    <row r="520" spans="1:17" x14ac:dyDescent="0.2">
      <c r="A520" s="1" t="str">
        <f>HYPERLINK("http://www.twitter.com/Ugo_Roux/status/1214863236098641920", "1214863236098641920")</f>
        <v>1214863236098641920</v>
      </c>
      <c r="B520" t="s">
        <v>414</v>
      </c>
      <c r="C520" s="3">
        <v>43838.455335648148</v>
      </c>
      <c r="D520" s="5" t="s">
        <v>28</v>
      </c>
      <c r="E520">
        <v>0</v>
      </c>
      <c r="F520">
        <v>0</v>
      </c>
      <c r="G520">
        <v>0</v>
      </c>
      <c r="I520" t="s">
        <v>554</v>
      </c>
      <c r="J520" t="str">
        <f>HYPERLINK("http://pbs.twimg.com/media/ENwPqk7XsAEOSgB.jpg", "http://pbs.twimg.com/media/ENwPqk7XsAEOSgB.jpg")</f>
        <v>http://pbs.twimg.com/media/ENwPqk7XsAEOSgB.jpg</v>
      </c>
      <c r="N520">
        <v>0</v>
      </c>
      <c r="O520">
        <v>0</v>
      </c>
      <c r="P520">
        <v>1</v>
      </c>
      <c r="Q520">
        <v>0</v>
      </c>
    </row>
    <row r="521" spans="1:17" x14ac:dyDescent="0.2">
      <c r="A521" s="1" t="str">
        <f>HYPERLINK("http://www.twitter.com/Ugo_Roux/status/1214848881781100545", "1214848881781100545")</f>
        <v>1214848881781100545</v>
      </c>
      <c r="B521" t="s">
        <v>476</v>
      </c>
      <c r="C521" s="3">
        <v>43838.415717592587</v>
      </c>
      <c r="D521" s="5" t="s">
        <v>24</v>
      </c>
      <c r="E521">
        <v>0</v>
      </c>
      <c r="F521">
        <v>0</v>
      </c>
      <c r="G521">
        <v>0</v>
      </c>
      <c r="I521" t="s">
        <v>555</v>
      </c>
      <c r="J521" t="str">
        <f>HYPERLINK("http://pbs.twimg.com/media/ENwCks_W4AEL1k4.jpg", "http://pbs.twimg.com/media/ENwCks_W4AEL1k4.jpg")</f>
        <v>http://pbs.twimg.com/media/ENwCks_W4AEL1k4.jpg</v>
      </c>
      <c r="K521" t="str">
        <f>HYPERLINK("http://pbs.twimg.com/media/ENwCksCX0AEsVVR.jpg", "http://pbs.twimg.com/media/ENwCksCX0AEsVVR.jpg")</f>
        <v>http://pbs.twimg.com/media/ENwCksCX0AEsVVR.jpg</v>
      </c>
      <c r="L521" t="str">
        <f>HYPERLINK("http://pbs.twimg.com/media/ENwCks3WoAAODh6.jpg", "http://pbs.twimg.com/media/ENwCks3WoAAODh6.jpg")</f>
        <v>http://pbs.twimg.com/media/ENwCks3WoAAODh6.jpg</v>
      </c>
      <c r="N521">
        <v>0</v>
      </c>
      <c r="O521">
        <v>0</v>
      </c>
      <c r="P521">
        <v>1</v>
      </c>
      <c r="Q521">
        <v>0</v>
      </c>
    </row>
    <row r="522" spans="1:17" x14ac:dyDescent="0.2">
      <c r="A522" s="1" t="str">
        <f>HYPERLINK("http://www.twitter.com/Ugo_Roux/status/1214843349347254272", "1214843349347254272")</f>
        <v>1214843349347254272</v>
      </c>
      <c r="B522" t="s">
        <v>425</v>
      </c>
      <c r="C522" s="3">
        <v>43838.400451388887</v>
      </c>
      <c r="D522" s="5" t="s">
        <v>28</v>
      </c>
      <c r="E522">
        <v>3</v>
      </c>
      <c r="F522">
        <v>0</v>
      </c>
      <c r="G522">
        <v>0</v>
      </c>
      <c r="I522" t="s">
        <v>556</v>
      </c>
      <c r="J522" t="str">
        <f>HYPERLINK("http://pbs.twimg.com/media/ENv9hIRXkAAaOqf.jpg", "http://pbs.twimg.com/media/ENv9hIRXkAAaOqf.jpg")</f>
        <v>http://pbs.twimg.com/media/ENv9hIRXkAAaOqf.jpg</v>
      </c>
      <c r="K522" t="str">
        <f>HYPERLINK("http://pbs.twimg.com/media/ENv9hIUWwAIo_RH.jpg", "http://pbs.twimg.com/media/ENv9hIUWwAIo_RH.jpg")</f>
        <v>http://pbs.twimg.com/media/ENv9hIUWwAIo_RH.jpg</v>
      </c>
      <c r="L522" t="str">
        <f>HYPERLINK("http://pbs.twimg.com/media/ENv9hISXkAIwkXT.jpg", "http://pbs.twimg.com/media/ENv9hISXkAIwkXT.jpg")</f>
        <v>http://pbs.twimg.com/media/ENv9hISXkAIwkXT.jpg</v>
      </c>
      <c r="M522" t="str">
        <f>HYPERLINK("http://pbs.twimg.com/media/ENv9hITX0AAlJRh.jpg", "http://pbs.twimg.com/media/ENv9hITX0AAlJRh.jpg")</f>
        <v>http://pbs.twimg.com/media/ENv9hITX0AAlJRh.jpg</v>
      </c>
      <c r="N522">
        <v>0</v>
      </c>
      <c r="O522">
        <v>0</v>
      </c>
      <c r="P522">
        <v>1</v>
      </c>
      <c r="Q522">
        <v>0</v>
      </c>
    </row>
    <row r="523" spans="1:17" x14ac:dyDescent="0.2">
      <c r="A523" s="1" t="str">
        <f>HYPERLINK("http://www.twitter.com/Ugo_Roux/status/1214578899780341761", "1214578899780341761")</f>
        <v>1214578899780341761</v>
      </c>
      <c r="B523" t="s">
        <v>97</v>
      </c>
      <c r="C523" s="3">
        <v>43837.670717592591</v>
      </c>
      <c r="D523" s="5" t="s">
        <v>24</v>
      </c>
      <c r="E523">
        <v>0</v>
      </c>
      <c r="F523">
        <v>0</v>
      </c>
      <c r="G523">
        <v>0</v>
      </c>
      <c r="I523" t="s">
        <v>557</v>
      </c>
      <c r="N523">
        <v>0</v>
      </c>
      <c r="O523">
        <v>0</v>
      </c>
      <c r="P523">
        <v>1</v>
      </c>
      <c r="Q523">
        <v>0</v>
      </c>
    </row>
    <row r="524" spans="1:17" x14ac:dyDescent="0.2">
      <c r="A524" s="1" t="str">
        <f>HYPERLINK("http://www.twitter.com/Ugo_Roux/status/1214567724946378753", "1214567724946378753")</f>
        <v>1214567724946378753</v>
      </c>
      <c r="B524" t="s">
        <v>97</v>
      </c>
      <c r="C524" s="3">
        <v>43837.639872685177</v>
      </c>
      <c r="D524" s="5" t="s">
        <v>41</v>
      </c>
      <c r="E524">
        <v>2</v>
      </c>
      <c r="F524">
        <v>0</v>
      </c>
      <c r="G524">
        <v>0</v>
      </c>
      <c r="I524" t="s">
        <v>558</v>
      </c>
      <c r="J524" t="str">
        <f>HYPERLINK("http://pbs.twimg.com/media/ENsC6IXU8AEGZyw.png", "http://pbs.twimg.com/media/ENsC6IXU8AEGZyw.png")</f>
        <v>http://pbs.twimg.com/media/ENsC6IXU8AEGZyw.png</v>
      </c>
      <c r="N524">
        <v>0</v>
      </c>
      <c r="O524">
        <v>0</v>
      </c>
      <c r="P524">
        <v>1</v>
      </c>
      <c r="Q524">
        <v>0</v>
      </c>
    </row>
    <row r="525" spans="1:17" x14ac:dyDescent="0.2">
      <c r="A525" s="1" t="str">
        <f>HYPERLINK("http://www.twitter.com/Ugo_Roux/status/1214196208941576193", "1214196208941576193")</f>
        <v>1214196208941576193</v>
      </c>
      <c r="B525" t="s">
        <v>142</v>
      </c>
      <c r="C525" s="3">
        <v>43836.614687499998</v>
      </c>
      <c r="D525" s="5" t="s">
        <v>17</v>
      </c>
      <c r="E525">
        <v>0</v>
      </c>
      <c r="F525">
        <v>0</v>
      </c>
      <c r="G525">
        <v>0</v>
      </c>
      <c r="I525" t="s">
        <v>559</v>
      </c>
      <c r="N525">
        <v>0</v>
      </c>
      <c r="O525">
        <v>0</v>
      </c>
      <c r="P525">
        <v>1</v>
      </c>
      <c r="Q525">
        <v>0</v>
      </c>
    </row>
    <row r="526" spans="1:17" x14ac:dyDescent="0.2">
      <c r="A526" s="1" t="str">
        <f>HYPERLINK("http://www.twitter.com/Ugo_Roux/status/1214121929113817088", "1214121929113817088")</f>
        <v>1214121929113817088</v>
      </c>
      <c r="B526" t="s">
        <v>142</v>
      </c>
      <c r="C526" s="3">
        <v>43836.409710648149</v>
      </c>
      <c r="D526" s="5" t="s">
        <v>17</v>
      </c>
      <c r="E526">
        <v>1</v>
      </c>
      <c r="F526">
        <v>1</v>
      </c>
      <c r="G526">
        <v>0</v>
      </c>
      <c r="I526" t="s">
        <v>560</v>
      </c>
      <c r="J526" t="str">
        <f>HYPERLINK("http://pbs.twimg.com/media/ENltdHdW4AA8lAB.jpg", "http://pbs.twimg.com/media/ENltdHdW4AA8lAB.jpg")</f>
        <v>http://pbs.twimg.com/media/ENltdHdW4AA8lAB.jpg</v>
      </c>
      <c r="N526">
        <v>0.50929999999999997</v>
      </c>
      <c r="O526">
        <v>0</v>
      </c>
      <c r="P526">
        <v>0.90100000000000002</v>
      </c>
      <c r="Q526">
        <v>9.9000000000000005E-2</v>
      </c>
    </row>
    <row r="527" spans="1:17" x14ac:dyDescent="0.2">
      <c r="A527" s="1" t="str">
        <f>HYPERLINK("http://www.twitter.com/Ugo_Roux/status/1213492301495984130", "1213492301495984130")</f>
        <v>1213492301495984130</v>
      </c>
      <c r="B527" t="s">
        <v>414</v>
      </c>
      <c r="C527" s="3">
        <v>43834.672268518523</v>
      </c>
      <c r="D527" s="5" t="s">
        <v>460</v>
      </c>
      <c r="E527">
        <v>1</v>
      </c>
      <c r="F527">
        <v>0</v>
      </c>
      <c r="G527">
        <v>0</v>
      </c>
      <c r="I527" t="s">
        <v>561</v>
      </c>
      <c r="J527" t="str">
        <f>HYPERLINK("http://pbs.twimg.com/media/ENcwzvmX0AAAs_S.jpg", "http://pbs.twimg.com/media/ENcwzvmX0AAAs_S.jpg")</f>
        <v>http://pbs.twimg.com/media/ENcwzvmX0AAAs_S.jpg</v>
      </c>
      <c r="N527">
        <v>0</v>
      </c>
      <c r="O527">
        <v>0</v>
      </c>
      <c r="P527">
        <v>1</v>
      </c>
      <c r="Q527">
        <v>0</v>
      </c>
    </row>
    <row r="528" spans="1:17" x14ac:dyDescent="0.2">
      <c r="A528" s="1" t="str">
        <f>HYPERLINK("http://www.twitter.com/Ugo_Roux/status/1213463276245401600", "1213463276245401600")</f>
        <v>1213463276245401600</v>
      </c>
      <c r="B528" t="s">
        <v>142</v>
      </c>
      <c r="C528" s="3">
        <v>43834.592175925929</v>
      </c>
      <c r="D528" s="5" t="s">
        <v>41</v>
      </c>
      <c r="E528">
        <v>5</v>
      </c>
      <c r="F528">
        <v>2</v>
      </c>
      <c r="G528">
        <v>0</v>
      </c>
      <c r="I528" t="s">
        <v>562</v>
      </c>
      <c r="J528" t="str">
        <f>HYPERLINK("http://pbs.twimg.com/media/ENcWaWhWkAApHQU.jpg", "http://pbs.twimg.com/media/ENcWaWhWkAApHQU.jpg")</f>
        <v>http://pbs.twimg.com/media/ENcWaWhWkAApHQU.jpg</v>
      </c>
      <c r="K528" t="str">
        <f>HYPERLINK("http://pbs.twimg.com/media/ENcWaWhWoAA37yF.jpg", "http://pbs.twimg.com/media/ENcWaWhWoAA37yF.jpg")</f>
        <v>http://pbs.twimg.com/media/ENcWaWhWoAA37yF.jpg</v>
      </c>
      <c r="N528">
        <v>0</v>
      </c>
      <c r="O528">
        <v>0</v>
      </c>
      <c r="P528">
        <v>1</v>
      </c>
      <c r="Q528">
        <v>0</v>
      </c>
    </row>
    <row r="529" spans="1:17" x14ac:dyDescent="0.2">
      <c r="A529" s="1" t="str">
        <f>HYPERLINK("http://www.twitter.com/Ugo_Roux/status/1213458869780959237", "1213458869780959237")</f>
        <v>1213458869780959237</v>
      </c>
      <c r="B529" t="s">
        <v>425</v>
      </c>
      <c r="C529" s="3">
        <v>43834.580023148148</v>
      </c>
      <c r="D529" s="5" t="s">
        <v>28</v>
      </c>
      <c r="E529">
        <v>0</v>
      </c>
      <c r="F529">
        <v>0</v>
      </c>
      <c r="G529">
        <v>0</v>
      </c>
      <c r="I529" t="s">
        <v>563</v>
      </c>
      <c r="J529" t="str">
        <f>HYPERLINK("http://pbs.twimg.com/media/ENcSaHeWwAEB-LS.jpg", "http://pbs.twimg.com/media/ENcSaHeWwAEB-LS.jpg")</f>
        <v>http://pbs.twimg.com/media/ENcSaHeWwAEB-LS.jpg</v>
      </c>
      <c r="N529">
        <v>-0.128</v>
      </c>
      <c r="O529">
        <v>6.4000000000000001E-2</v>
      </c>
      <c r="P529">
        <v>0.93600000000000005</v>
      </c>
      <c r="Q529">
        <v>0</v>
      </c>
    </row>
    <row r="530" spans="1:17" x14ac:dyDescent="0.2">
      <c r="A530" s="1" t="str">
        <f>HYPERLINK("http://www.twitter.com/Ugo_Roux/status/1213057842212683777", "1213057842212683777")</f>
        <v>1213057842212683777</v>
      </c>
      <c r="B530" t="s">
        <v>425</v>
      </c>
      <c r="C530" s="3">
        <v>43833.473391203697</v>
      </c>
      <c r="D530" s="5" t="s">
        <v>28</v>
      </c>
      <c r="E530">
        <v>0</v>
      </c>
      <c r="F530">
        <v>0</v>
      </c>
      <c r="G530">
        <v>0</v>
      </c>
      <c r="I530" t="s">
        <v>564</v>
      </c>
      <c r="J530" t="str">
        <f>HYPERLINK("http://pbs.twimg.com/media/ENWlrPEW4AAcR6j.jpg", "http://pbs.twimg.com/media/ENWlrPEW4AAcR6j.jpg")</f>
        <v>http://pbs.twimg.com/media/ENWlrPEW4AAcR6j.jpg</v>
      </c>
      <c r="N530">
        <v>0</v>
      </c>
      <c r="O530">
        <v>0</v>
      </c>
      <c r="P530">
        <v>1</v>
      </c>
      <c r="Q530">
        <v>0</v>
      </c>
    </row>
    <row r="531" spans="1:17" x14ac:dyDescent="0.2">
      <c r="A531" s="1" t="str">
        <f>HYPERLINK("http://www.twitter.com/Ugo_Roux/status/1212739303966756867", "1212739303966756867")</f>
        <v>1212739303966756867</v>
      </c>
      <c r="B531" t="s">
        <v>142</v>
      </c>
      <c r="C531" s="3">
        <v>43832.594398148147</v>
      </c>
      <c r="D531" s="5" t="s">
        <v>24</v>
      </c>
      <c r="E531">
        <v>0</v>
      </c>
      <c r="F531">
        <v>0</v>
      </c>
      <c r="G531">
        <v>0</v>
      </c>
      <c r="I531" t="s">
        <v>565</v>
      </c>
      <c r="N531">
        <v>0</v>
      </c>
      <c r="O531">
        <v>0</v>
      </c>
      <c r="P531">
        <v>1</v>
      </c>
      <c r="Q531">
        <v>0</v>
      </c>
    </row>
    <row r="532" spans="1:17" x14ac:dyDescent="0.2">
      <c r="A532" s="1" t="str">
        <f>HYPERLINK("http://www.twitter.com/Ugo_Roux/status/1212697780491300864", "1212697780491300864")</f>
        <v>1212697780491300864</v>
      </c>
      <c r="B532" t="s">
        <v>47</v>
      </c>
      <c r="C532" s="3">
        <v>43832.479814814818</v>
      </c>
      <c r="D532" s="5" t="s">
        <v>41</v>
      </c>
      <c r="E532">
        <v>1</v>
      </c>
      <c r="F532">
        <v>0</v>
      </c>
      <c r="G532">
        <v>0</v>
      </c>
      <c r="I532" t="s">
        <v>566</v>
      </c>
      <c r="N532">
        <v>0</v>
      </c>
      <c r="O532">
        <v>0</v>
      </c>
      <c r="P532">
        <v>1</v>
      </c>
      <c r="Q532">
        <v>0</v>
      </c>
    </row>
    <row r="533" spans="1:17" x14ac:dyDescent="0.2">
      <c r="A533" s="1" t="str">
        <f>HYPERLINK("http://www.twitter.com/Ugo_Roux/status/1212677794775392256", "1212677794775392256")</f>
        <v>1212677794775392256</v>
      </c>
      <c r="B533" t="s">
        <v>285</v>
      </c>
      <c r="C533" s="3">
        <v>43832.424664351849</v>
      </c>
      <c r="D533" s="5" t="s">
        <v>28</v>
      </c>
      <c r="E533">
        <v>1</v>
      </c>
      <c r="F533">
        <v>0</v>
      </c>
      <c r="G533">
        <v>0</v>
      </c>
      <c r="I533" t="s">
        <v>567</v>
      </c>
      <c r="N533">
        <v>0</v>
      </c>
      <c r="O533">
        <v>0</v>
      </c>
      <c r="P533">
        <v>1</v>
      </c>
      <c r="Q533">
        <v>0</v>
      </c>
    </row>
    <row r="534" spans="1:17" x14ac:dyDescent="0.2">
      <c r="A534" s="1" t="str">
        <f>HYPERLINK("http://www.twitter.com/Ugo_Roux/status/1212676095272767491", "1212676095272767491")</f>
        <v>1212676095272767491</v>
      </c>
      <c r="B534" t="s">
        <v>370</v>
      </c>
      <c r="C534" s="3">
        <v>43832.419976851852</v>
      </c>
      <c r="D534" s="5" t="s">
        <v>41</v>
      </c>
      <c r="E534">
        <v>0</v>
      </c>
      <c r="F534">
        <v>0</v>
      </c>
      <c r="G534">
        <v>0</v>
      </c>
      <c r="I534" t="s">
        <v>568</v>
      </c>
      <c r="J534" t="str">
        <f>HYPERLINK("http://pbs.twimg.com/media/ENRKe1JW4AASJfK.jpg", "http://pbs.twimg.com/media/ENRKe1JW4AASJfK.jpg")</f>
        <v>http://pbs.twimg.com/media/ENRKe1JW4AASJfK.jpg</v>
      </c>
      <c r="N534">
        <v>0</v>
      </c>
      <c r="O534">
        <v>0</v>
      </c>
      <c r="P534">
        <v>1</v>
      </c>
      <c r="Q534">
        <v>0</v>
      </c>
    </row>
    <row r="535" spans="1:17" x14ac:dyDescent="0.2">
      <c r="A535" s="1" t="str">
        <f>HYPERLINK("http://www.twitter.com/Ugo_Roux/status/1212673684592308224", "1212673684592308224")</f>
        <v>1212673684592308224</v>
      </c>
      <c r="B535" t="s">
        <v>370</v>
      </c>
      <c r="C535" s="3">
        <v>43832.413321759261</v>
      </c>
      <c r="D535" s="5" t="s">
        <v>28</v>
      </c>
      <c r="E535">
        <v>0</v>
      </c>
      <c r="F535">
        <v>0</v>
      </c>
      <c r="G535">
        <v>0</v>
      </c>
      <c r="I535" t="s">
        <v>569</v>
      </c>
      <c r="J535" t="str">
        <f>HYPERLINK("http://pbs.twimg.com/media/ENRIShdW4AMXvwk.jpg", "http://pbs.twimg.com/media/ENRIShdW4AMXvwk.jpg")</f>
        <v>http://pbs.twimg.com/media/ENRIShdW4AMXvwk.jpg</v>
      </c>
      <c r="N535">
        <v>0</v>
      </c>
      <c r="O535">
        <v>0</v>
      </c>
      <c r="P535">
        <v>1</v>
      </c>
      <c r="Q535">
        <v>0</v>
      </c>
    </row>
    <row r="536" spans="1:17" x14ac:dyDescent="0.2">
      <c r="A536" s="1" t="str">
        <f>HYPERLINK("http://www.twitter.com/Ugo_Roux/status/1212670639913476096", "1212670639913476096")</f>
        <v>1212670639913476096</v>
      </c>
      <c r="B536" t="s">
        <v>370</v>
      </c>
      <c r="C536" s="3">
        <v>43832.404918981483</v>
      </c>
      <c r="D536" s="3" t="s">
        <v>28</v>
      </c>
      <c r="E536">
        <v>0</v>
      </c>
      <c r="F536">
        <v>0</v>
      </c>
      <c r="G536">
        <v>0</v>
      </c>
      <c r="I536" t="s">
        <v>570</v>
      </c>
      <c r="J536" t="str">
        <f>HYPERLINK("http://pbs.twimg.com/media/ENRFhTLWkAA3qjV.jpg", "http://pbs.twimg.com/media/ENRFhTLWkAA3qjV.jpg")</f>
        <v>http://pbs.twimg.com/media/ENRFhTLWkAA3qjV.jpg</v>
      </c>
      <c r="N536">
        <v>0</v>
      </c>
      <c r="O536">
        <v>0</v>
      </c>
      <c r="P536">
        <v>1</v>
      </c>
      <c r="Q536">
        <v>0</v>
      </c>
    </row>
    <row r="537" spans="1:17" x14ac:dyDescent="0.2">
      <c r="A537" s="1" t="str">
        <f>HYPERLINK("http://www.twitter.com/Ugo_Roux/status/1212649441473310725", "1212649441473310725")</f>
        <v>1212649441473310725</v>
      </c>
      <c r="B537" t="s">
        <v>16</v>
      </c>
      <c r="C537" s="3">
        <v>43832.34642361111</v>
      </c>
      <c r="D537" s="3" t="s">
        <v>41</v>
      </c>
      <c r="E537">
        <v>3</v>
      </c>
      <c r="F537">
        <v>1</v>
      </c>
      <c r="G537">
        <v>0</v>
      </c>
      <c r="I537" t="s">
        <v>571</v>
      </c>
      <c r="J537" t="str">
        <f>HYPERLINK("http://pbs.twimg.com/media/ENQyPGKWwAEG-nj.jpg", "http://pbs.twimg.com/media/ENQyPGKWwAEG-nj.jpg")</f>
        <v>http://pbs.twimg.com/media/ENQyPGKWwAEG-nj.jpg</v>
      </c>
      <c r="N537">
        <v>0</v>
      </c>
      <c r="O537">
        <v>0</v>
      </c>
      <c r="P537">
        <v>1</v>
      </c>
      <c r="Q537">
        <v>0</v>
      </c>
    </row>
    <row r="538" spans="1:17" x14ac:dyDescent="0.2">
      <c r="A538" s="1" t="str">
        <f>HYPERLINK("http://www.twitter.com/Ugo_Roux/status/1212302501300645888", "1212302501300645888")</f>
        <v>1212302501300645888</v>
      </c>
      <c r="B538" t="s">
        <v>142</v>
      </c>
      <c r="C538" s="3">
        <v>43831.389050925929</v>
      </c>
      <c r="D538" s="5" t="s">
        <v>41</v>
      </c>
      <c r="E538">
        <v>1</v>
      </c>
      <c r="F538">
        <v>2</v>
      </c>
      <c r="G538">
        <v>0</v>
      </c>
      <c r="I538" t="s">
        <v>572</v>
      </c>
      <c r="N538">
        <v>0</v>
      </c>
      <c r="O538">
        <v>0</v>
      </c>
      <c r="P538">
        <v>1</v>
      </c>
      <c r="Q538">
        <v>0</v>
      </c>
    </row>
    <row r="539" spans="1:17" x14ac:dyDescent="0.2">
      <c r="A539" s="1" t="str">
        <f>HYPERLINK("http://www.twitter.com/Ugo_Roux/status/1211266506161557504", "1211266506161557504")</f>
        <v>1211266506161557504</v>
      </c>
      <c r="B539" t="s">
        <v>142</v>
      </c>
      <c r="C539" s="3">
        <v>43828.530243055553</v>
      </c>
      <c r="D539" s="5" t="s">
        <v>17</v>
      </c>
      <c r="E539">
        <v>3</v>
      </c>
      <c r="F539">
        <v>2</v>
      </c>
      <c r="G539">
        <v>0</v>
      </c>
      <c r="I539" t="s">
        <v>573</v>
      </c>
      <c r="J539" t="str">
        <f>HYPERLINK("http://pbs.twimg.com/media/EM9IdtmWsAAInFb.jpg", "http://pbs.twimg.com/media/EM9IdtmWsAAInFb.jpg")</f>
        <v>http://pbs.twimg.com/media/EM9IdtmWsAAInFb.jpg</v>
      </c>
      <c r="N539">
        <v>0</v>
      </c>
      <c r="O539">
        <v>0</v>
      </c>
      <c r="P539">
        <v>1</v>
      </c>
      <c r="Q539">
        <v>0</v>
      </c>
    </row>
    <row r="540" spans="1:17" x14ac:dyDescent="0.2">
      <c r="A540" s="1" t="str">
        <f>HYPERLINK("http://www.twitter.com/Ugo_Roux/status/1209779182785454080", "1209779182785454080")</f>
        <v>1209779182785454080</v>
      </c>
      <c r="B540" t="s">
        <v>142</v>
      </c>
      <c r="C540" s="3">
        <v>43824.426018518519</v>
      </c>
      <c r="D540" s="5" t="s">
        <v>17</v>
      </c>
      <c r="E540">
        <v>1</v>
      </c>
      <c r="F540">
        <v>2</v>
      </c>
      <c r="G540">
        <v>0</v>
      </c>
      <c r="I540" t="s">
        <v>574</v>
      </c>
      <c r="J540" t="str">
        <f>HYPERLINK("http://pbs.twimg.com/media/EMn_wJjW4AACcN_.jpg", "http://pbs.twimg.com/media/EMn_wJjW4AACcN_.jpg")</f>
        <v>http://pbs.twimg.com/media/EMn_wJjW4AACcN_.jpg</v>
      </c>
      <c r="N540">
        <v>0</v>
      </c>
      <c r="O540">
        <v>0</v>
      </c>
      <c r="P540">
        <v>1</v>
      </c>
      <c r="Q540">
        <v>0</v>
      </c>
    </row>
    <row r="541" spans="1:17" x14ac:dyDescent="0.2">
      <c r="A541" s="1" t="str">
        <f>HYPERLINK("http://www.twitter.com/Ugo_Roux/status/1209392520758738944", "1209392520758738944")</f>
        <v>1209392520758738944</v>
      </c>
      <c r="B541" t="s">
        <v>142</v>
      </c>
      <c r="C541" s="3">
        <v>43823.359039351853</v>
      </c>
      <c r="D541" s="5" t="s">
        <v>24</v>
      </c>
      <c r="E541">
        <v>0</v>
      </c>
      <c r="F541">
        <v>1</v>
      </c>
      <c r="G541">
        <v>0</v>
      </c>
      <c r="I541" t="s">
        <v>575</v>
      </c>
      <c r="N541">
        <v>0</v>
      </c>
      <c r="O541">
        <v>0</v>
      </c>
      <c r="P541">
        <v>1</v>
      </c>
      <c r="Q541">
        <v>0</v>
      </c>
    </row>
    <row r="542" spans="1:17" x14ac:dyDescent="0.2">
      <c r="A542" s="1" t="str">
        <f>HYPERLINK("http://www.twitter.com/Ugo_Roux/status/1208405681700782081", "1208405681700782081")</f>
        <v>1208405681700782081</v>
      </c>
      <c r="B542" t="s">
        <v>130</v>
      </c>
      <c r="C542" s="3">
        <v>43820.635879629634</v>
      </c>
      <c r="D542" s="5" t="s">
        <v>28</v>
      </c>
      <c r="E542">
        <v>0</v>
      </c>
      <c r="F542">
        <v>0</v>
      </c>
      <c r="G542">
        <v>0</v>
      </c>
      <c r="I542" t="s">
        <v>576</v>
      </c>
      <c r="J542" t="str">
        <f>HYPERLINK("http://pbs.twimg.com/media/EMUeiaOXUAAJcPx.jpg", "http://pbs.twimg.com/media/EMUeiaOXUAAJcPx.jpg")</f>
        <v>http://pbs.twimg.com/media/EMUeiaOXUAAJcPx.jpg</v>
      </c>
      <c r="N542">
        <v>0</v>
      </c>
      <c r="O542">
        <v>0</v>
      </c>
      <c r="P542">
        <v>1</v>
      </c>
      <c r="Q542">
        <v>0</v>
      </c>
    </row>
    <row r="543" spans="1:17" x14ac:dyDescent="0.2">
      <c r="A543" s="1" t="str">
        <f>HYPERLINK("http://www.twitter.com/Ugo_Roux/status/1207950553860464642", "1207950553860464642")</f>
        <v>1207950553860464642</v>
      </c>
      <c r="B543" t="s">
        <v>425</v>
      </c>
      <c r="C543" s="3">
        <v>43819.379965277767</v>
      </c>
      <c r="D543" s="5" t="s">
        <v>17</v>
      </c>
      <c r="E543">
        <v>1</v>
      </c>
      <c r="F543">
        <v>0</v>
      </c>
      <c r="G543">
        <v>0</v>
      </c>
      <c r="I543" t="s">
        <v>577</v>
      </c>
      <c r="J543" t="str">
        <f>HYPERLINK("http://pbs.twimg.com/media/EMOAn2oX0AACniq.jpg", "http://pbs.twimg.com/media/EMOAn2oX0AACniq.jpg")</f>
        <v>http://pbs.twimg.com/media/EMOAn2oX0AACniq.jpg</v>
      </c>
      <c r="N543">
        <v>0</v>
      </c>
      <c r="O543">
        <v>0</v>
      </c>
      <c r="P543">
        <v>1</v>
      </c>
      <c r="Q543">
        <v>0</v>
      </c>
    </row>
    <row r="544" spans="1:17" x14ac:dyDescent="0.2">
      <c r="A544" s="1" t="str">
        <f>HYPERLINK("http://www.twitter.com/Ugo_Roux/status/1207936908501962752", "1207936908501962752")</f>
        <v>1207936908501962752</v>
      </c>
      <c r="B544" t="s">
        <v>285</v>
      </c>
      <c r="C544" s="3">
        <v>43819.342314814807</v>
      </c>
      <c r="D544" s="5" t="s">
        <v>17</v>
      </c>
      <c r="E544">
        <v>2</v>
      </c>
      <c r="F544">
        <v>1</v>
      </c>
      <c r="G544">
        <v>0</v>
      </c>
      <c r="I544" t="s">
        <v>578</v>
      </c>
      <c r="J544" t="str">
        <f>HYPERLINK("http://pbs.twimg.com/media/EMN0NcrWsAA0tIl.jpg", "http://pbs.twimg.com/media/EMN0NcrWsAA0tIl.jpg")</f>
        <v>http://pbs.twimg.com/media/EMN0NcrWsAA0tIl.jpg</v>
      </c>
      <c r="K544" t="str">
        <f>HYPERLINK("http://pbs.twimg.com/media/EMN0NNkWkAA3kug.jpg", "http://pbs.twimg.com/media/EMN0NNkWkAA3kug.jpg")</f>
        <v>http://pbs.twimg.com/media/EMN0NNkWkAA3kug.jpg</v>
      </c>
      <c r="L544" t="str">
        <f>HYPERLINK("http://pbs.twimg.com/media/EMN0NOEVAAUCVp4.jpg", "http://pbs.twimg.com/media/EMN0NOEVAAUCVp4.jpg")</f>
        <v>http://pbs.twimg.com/media/EMN0NOEVAAUCVp4.jpg</v>
      </c>
      <c r="M544" t="str">
        <f>HYPERLINK("http://pbs.twimg.com/media/EMN0NRdXUAEoAuG.jpg", "http://pbs.twimg.com/media/EMN0NRdXUAEoAuG.jpg")</f>
        <v>http://pbs.twimg.com/media/EMN0NRdXUAEoAuG.jpg</v>
      </c>
      <c r="N544">
        <v>0</v>
      </c>
      <c r="O544">
        <v>0</v>
      </c>
      <c r="P544">
        <v>1</v>
      </c>
      <c r="Q544">
        <v>0</v>
      </c>
    </row>
    <row r="545" spans="1:17" x14ac:dyDescent="0.2">
      <c r="A545" s="1" t="str">
        <f>HYPERLINK("http://www.twitter.com/Ugo_Roux/status/1207673003947044864", "1207673003947044864")</f>
        <v>1207673003947044864</v>
      </c>
      <c r="B545" t="s">
        <v>142</v>
      </c>
      <c r="C545" s="3">
        <v>43818.614074074067</v>
      </c>
      <c r="D545" s="5" t="s">
        <v>28</v>
      </c>
      <c r="E545">
        <v>0</v>
      </c>
      <c r="F545">
        <v>4</v>
      </c>
      <c r="G545">
        <v>0</v>
      </c>
      <c r="I545" t="s">
        <v>579</v>
      </c>
      <c r="J545" t="str">
        <f>HYPERLINK("http://pbs.twimg.com/media/EMKEMOOXsAAevVA.jpg", "http://pbs.twimg.com/media/EMKEMOOXsAAevVA.jpg")</f>
        <v>http://pbs.twimg.com/media/EMKEMOOXsAAevVA.jpg</v>
      </c>
      <c r="N545">
        <v>0</v>
      </c>
      <c r="O545">
        <v>0</v>
      </c>
      <c r="P545">
        <v>1</v>
      </c>
      <c r="Q545">
        <v>0</v>
      </c>
    </row>
    <row r="546" spans="1:17" x14ac:dyDescent="0.2">
      <c r="A546" s="1" t="str">
        <f>HYPERLINK("http://www.twitter.com/Ugo_Roux/status/1207598042305761281", "1207598042305761281")</f>
        <v>1207598042305761281</v>
      </c>
      <c r="B546" t="s">
        <v>130</v>
      </c>
      <c r="C546" s="3">
        <v>43818.407222222217</v>
      </c>
      <c r="D546" s="5" t="s">
        <v>28</v>
      </c>
      <c r="E546">
        <v>0</v>
      </c>
      <c r="F546">
        <v>0</v>
      </c>
      <c r="G546">
        <v>0</v>
      </c>
      <c r="I546" t="s">
        <v>580</v>
      </c>
      <c r="J546" t="str">
        <f>HYPERLINK("http://pbs.twimg.com/media/EMJAAaaXsAUB99q.jpg", "http://pbs.twimg.com/media/EMJAAaaXsAUB99q.jpg")</f>
        <v>http://pbs.twimg.com/media/EMJAAaaXsAUB99q.jpg</v>
      </c>
      <c r="N546">
        <v>0</v>
      </c>
      <c r="O546">
        <v>0</v>
      </c>
      <c r="P546">
        <v>1</v>
      </c>
      <c r="Q546">
        <v>0</v>
      </c>
    </row>
    <row r="547" spans="1:17" x14ac:dyDescent="0.2">
      <c r="A547" s="1" t="str">
        <f>HYPERLINK("http://www.twitter.com/Ugo_Roux/status/1207566606290821121", "1207566606290821121")</f>
        <v>1207566606290821121</v>
      </c>
      <c r="B547" t="s">
        <v>285</v>
      </c>
      <c r="C547" s="3">
        <v>43818.320474537039</v>
      </c>
      <c r="D547" s="5" t="s">
        <v>17</v>
      </c>
      <c r="E547">
        <v>3</v>
      </c>
      <c r="F547">
        <v>0</v>
      </c>
      <c r="G547">
        <v>0</v>
      </c>
      <c r="I547" t="s">
        <v>581</v>
      </c>
      <c r="J547" t="str">
        <f>HYPERLINK("http://pbs.twimg.com/media/EMIjbUrW4AAyZBA.jpg", "http://pbs.twimg.com/media/EMIjbUrW4AAyZBA.jpg")</f>
        <v>http://pbs.twimg.com/media/EMIjbUrW4AAyZBA.jpg</v>
      </c>
      <c r="N547">
        <v>0.45879999999999999</v>
      </c>
      <c r="O547">
        <v>0</v>
      </c>
      <c r="P547">
        <v>0.85699999999999998</v>
      </c>
      <c r="Q547">
        <v>0.14299999999999999</v>
      </c>
    </row>
    <row r="548" spans="1:17" x14ac:dyDescent="0.2">
      <c r="A548" s="1" t="str">
        <f>HYPERLINK("http://www.twitter.com/Ugo_Roux/status/1207204066515968001", "1207204066515968001")</f>
        <v>1207204066515968001</v>
      </c>
      <c r="B548" t="s">
        <v>285</v>
      </c>
      <c r="C548" s="3">
        <v>43817.3200462963</v>
      </c>
      <c r="D548" s="5" t="s">
        <v>17</v>
      </c>
      <c r="E548">
        <v>0</v>
      </c>
      <c r="F548">
        <v>0</v>
      </c>
      <c r="G548">
        <v>0</v>
      </c>
      <c r="I548" t="s">
        <v>582</v>
      </c>
      <c r="J548" t="str">
        <f>HYPERLINK("http://pbs.twimg.com/media/EMDZssFW4AABHb4.jpg", "http://pbs.twimg.com/media/EMDZssFW4AABHb4.jpg")</f>
        <v>http://pbs.twimg.com/media/EMDZssFW4AABHb4.jpg</v>
      </c>
      <c r="N548">
        <v>0</v>
      </c>
      <c r="O548">
        <v>0</v>
      </c>
      <c r="P548">
        <v>1</v>
      </c>
      <c r="Q548">
        <v>0</v>
      </c>
    </row>
    <row r="549" spans="1:17" x14ac:dyDescent="0.2">
      <c r="A549" s="1" t="str">
        <f>HYPERLINK("http://www.twitter.com/Ugo_Roux/status/1206955853070393345", "1206955853070393345")</f>
        <v>1206955853070393345</v>
      </c>
      <c r="B549" t="s">
        <v>130</v>
      </c>
      <c r="C549" s="3">
        <v>43816.635115740741</v>
      </c>
      <c r="D549" s="5" t="s">
        <v>28</v>
      </c>
      <c r="E549">
        <v>0</v>
      </c>
      <c r="F549">
        <v>0</v>
      </c>
      <c r="G549">
        <v>0</v>
      </c>
      <c r="I549" t="s">
        <v>583</v>
      </c>
      <c r="J549" t="str">
        <f>HYPERLINK("http://pbs.twimg.com/media/EL_36I5WkAEAp-l.jpg", "http://pbs.twimg.com/media/EL_36I5WkAEAp-l.jpg")</f>
        <v>http://pbs.twimg.com/media/EL_36I5WkAEAp-l.jpg</v>
      </c>
      <c r="N549">
        <v>0</v>
      </c>
      <c r="O549">
        <v>0</v>
      </c>
      <c r="P549">
        <v>1</v>
      </c>
      <c r="Q549">
        <v>0</v>
      </c>
    </row>
    <row r="550" spans="1:17" x14ac:dyDescent="0.2">
      <c r="A550" s="1" t="str">
        <f>HYPERLINK("http://www.twitter.com/Ugo_Roux/status/1206880783501275138", "1206880783501275138")</f>
        <v>1206880783501275138</v>
      </c>
      <c r="B550" t="s">
        <v>414</v>
      </c>
      <c r="C550" s="3">
        <v>43816.42796296296</v>
      </c>
      <c r="D550" s="5" t="s">
        <v>28</v>
      </c>
      <c r="E550">
        <v>1</v>
      </c>
      <c r="F550">
        <v>0</v>
      </c>
      <c r="G550">
        <v>0</v>
      </c>
      <c r="I550" t="s">
        <v>584</v>
      </c>
      <c r="J550" t="str">
        <f>HYPERLINK("http://pbs.twimg.com/media/EL-zf_mWwAAcY9e.jpg", "http://pbs.twimg.com/media/EL-zf_mWwAAcY9e.jpg")</f>
        <v>http://pbs.twimg.com/media/EL-zf_mWwAAcY9e.jpg</v>
      </c>
      <c r="K550" t="str">
        <f>HYPERLINK("http://pbs.twimg.com/media/EL-zf_pWwAEmp_R.jpg", "http://pbs.twimg.com/media/EL-zf_pWwAEmp_R.jpg")</f>
        <v>http://pbs.twimg.com/media/EL-zf_pWwAEmp_R.jpg</v>
      </c>
      <c r="N550">
        <v>0</v>
      </c>
      <c r="O550">
        <v>0</v>
      </c>
      <c r="P550">
        <v>1</v>
      </c>
      <c r="Q550">
        <v>0</v>
      </c>
    </row>
    <row r="551" spans="1:17" x14ac:dyDescent="0.2">
      <c r="A551" s="1" t="str">
        <f>HYPERLINK("http://www.twitter.com/Ugo_Roux/status/1206199624530374656", "1206199624530374656")</f>
        <v>1206199624530374656</v>
      </c>
      <c r="B551" t="s">
        <v>142</v>
      </c>
      <c r="C551" s="3">
        <v>43814.548321759263</v>
      </c>
      <c r="D551" s="5" t="s">
        <v>28</v>
      </c>
      <c r="E551">
        <v>1</v>
      </c>
      <c r="F551">
        <v>2</v>
      </c>
      <c r="G551">
        <v>0</v>
      </c>
      <c r="I551" t="s">
        <v>585</v>
      </c>
      <c r="J551" t="str">
        <f>HYPERLINK("http://pbs.twimg.com/media/EL1IIIHX0AEfYYE.jpg", "http://pbs.twimg.com/media/EL1IIIHX0AEfYYE.jpg")</f>
        <v>http://pbs.twimg.com/media/EL1IIIHX0AEfYYE.jpg</v>
      </c>
      <c r="N551">
        <v>0</v>
      </c>
      <c r="O551">
        <v>0</v>
      </c>
      <c r="P551">
        <v>1</v>
      </c>
      <c r="Q551">
        <v>0</v>
      </c>
    </row>
    <row r="552" spans="1:17" x14ac:dyDescent="0.2">
      <c r="A552" s="1" t="str">
        <f>HYPERLINK("http://www.twitter.com/Ugo_Roux/status/1205858444198191106", "1205858444198191106")</f>
        <v>1205858444198191106</v>
      </c>
      <c r="B552" t="s">
        <v>425</v>
      </c>
      <c r="C552" s="3">
        <v>43813.606840277767</v>
      </c>
      <c r="D552" s="5" t="s">
        <v>28</v>
      </c>
      <c r="E552">
        <v>0</v>
      </c>
      <c r="F552">
        <v>0</v>
      </c>
      <c r="G552">
        <v>0</v>
      </c>
      <c r="I552" t="s">
        <v>586</v>
      </c>
      <c r="J552" t="str">
        <f>HYPERLINK("http://pbs.twimg.com/media/ELwR2GKX0AAYifY.jpg", "http://pbs.twimg.com/media/ELwR2GKX0AAYifY.jpg")</f>
        <v>http://pbs.twimg.com/media/ELwR2GKX0AAYifY.jpg</v>
      </c>
      <c r="N552">
        <v>0</v>
      </c>
      <c r="O552">
        <v>0</v>
      </c>
      <c r="P552">
        <v>1</v>
      </c>
      <c r="Q552">
        <v>0</v>
      </c>
    </row>
    <row r="553" spans="1:17" x14ac:dyDescent="0.2">
      <c r="A553" s="1" t="str">
        <f>HYPERLINK("http://www.twitter.com/Ugo_Roux/status/1205800365519704064", "1205800365519704064")</f>
        <v>1205800365519704064</v>
      </c>
      <c r="B553" t="s">
        <v>47</v>
      </c>
      <c r="C553" s="3">
        <v>43813.446574074071</v>
      </c>
      <c r="D553" s="5" t="s">
        <v>24</v>
      </c>
      <c r="E553">
        <v>1</v>
      </c>
      <c r="F553">
        <v>0</v>
      </c>
      <c r="G553">
        <v>0</v>
      </c>
      <c r="I553" t="s">
        <v>587</v>
      </c>
      <c r="N553">
        <v>0</v>
      </c>
      <c r="O553">
        <v>0</v>
      </c>
      <c r="P553">
        <v>1</v>
      </c>
      <c r="Q553">
        <v>0</v>
      </c>
    </row>
    <row r="554" spans="1:17" x14ac:dyDescent="0.2">
      <c r="A554" s="1" t="str">
        <f>HYPERLINK("http://www.twitter.com/Ugo_Roux/status/1205557245846654976", "1205557245846654976")</f>
        <v>1205557245846654976</v>
      </c>
      <c r="B554" t="s">
        <v>47</v>
      </c>
      <c r="C554" s="3">
        <v>43812.775694444441</v>
      </c>
      <c r="D554" s="5" t="s">
        <v>28</v>
      </c>
      <c r="E554">
        <v>0</v>
      </c>
      <c r="F554">
        <v>2</v>
      </c>
      <c r="G554">
        <v>0</v>
      </c>
      <c r="I554" t="s">
        <v>588</v>
      </c>
      <c r="J554" t="str">
        <f>HYPERLINK("http://pbs.twimg.com/media/D_7MJVWXYAEE-wO.png", "http://pbs.twimg.com/media/D_7MJVWXYAEE-wO.png")</f>
        <v>http://pbs.twimg.com/media/D_7MJVWXYAEE-wO.png</v>
      </c>
      <c r="N554">
        <v>0.49390000000000001</v>
      </c>
      <c r="O554">
        <v>0</v>
      </c>
      <c r="P554">
        <v>0.873</v>
      </c>
      <c r="Q554">
        <v>0.127</v>
      </c>
    </row>
    <row r="555" spans="1:17" x14ac:dyDescent="0.2">
      <c r="A555" s="1" t="str">
        <f>HYPERLINK("http://www.twitter.com/Ugo_Roux/status/1205462061318361088", "1205462061318361088")</f>
        <v>1205462061318361088</v>
      </c>
      <c r="B555" t="s">
        <v>130</v>
      </c>
      <c r="C555" s="3">
        <v>43812.513032407413</v>
      </c>
      <c r="D555" s="5" t="s">
        <v>28</v>
      </c>
      <c r="E555">
        <v>0</v>
      </c>
      <c r="F555">
        <v>0</v>
      </c>
      <c r="G555">
        <v>0</v>
      </c>
      <c r="I555" t="s">
        <v>589</v>
      </c>
      <c r="J555" t="str">
        <f>HYPERLINK("http://pbs.twimg.com/media/ELqpWmiWwAE9ixx.jpg", "http://pbs.twimg.com/media/ELqpWmiWwAE9ixx.jpg")</f>
        <v>http://pbs.twimg.com/media/ELqpWmiWwAE9ixx.jpg</v>
      </c>
      <c r="N555">
        <v>0</v>
      </c>
      <c r="O555">
        <v>0</v>
      </c>
      <c r="P555">
        <v>1</v>
      </c>
      <c r="Q555">
        <v>0</v>
      </c>
    </row>
    <row r="556" spans="1:17" x14ac:dyDescent="0.2">
      <c r="A556" s="1" t="str">
        <f>HYPERLINK("http://www.twitter.com/Ugo_Roux/status/1205075756432416768", "1205075756432416768")</f>
        <v>1205075756432416768</v>
      </c>
      <c r="B556" t="s">
        <v>47</v>
      </c>
      <c r="C556" s="3">
        <v>43811.44703703704</v>
      </c>
      <c r="D556" s="5" t="s">
        <v>24</v>
      </c>
      <c r="E556">
        <v>1</v>
      </c>
      <c r="F556">
        <v>1</v>
      </c>
      <c r="G556">
        <v>0</v>
      </c>
      <c r="I556" t="s">
        <v>590</v>
      </c>
      <c r="N556">
        <v>-0.26950000000000002</v>
      </c>
      <c r="O556">
        <v>0.09</v>
      </c>
      <c r="P556">
        <v>0.91</v>
      </c>
      <c r="Q556">
        <v>0</v>
      </c>
    </row>
    <row r="557" spans="1:17" x14ac:dyDescent="0.2">
      <c r="A557" s="1" t="str">
        <f>HYPERLINK("http://www.twitter.com/Ugo_Roux/status/1204709076212559872", "1204709076212559872")</f>
        <v>1204709076212559872</v>
      </c>
      <c r="B557" t="s">
        <v>476</v>
      </c>
      <c r="C557" s="3">
        <v>43810.435185185182</v>
      </c>
      <c r="D557" s="5" t="s">
        <v>28</v>
      </c>
      <c r="E557">
        <v>0</v>
      </c>
      <c r="F557">
        <v>0</v>
      </c>
      <c r="G557">
        <v>0</v>
      </c>
      <c r="I557" t="s">
        <v>591</v>
      </c>
      <c r="J557" t="str">
        <f>HYPERLINK("http://pbs.twimg.com/media/ELf8guiWoAA87Ni.jpg", "http://pbs.twimg.com/media/ELf8guiWoAA87Ni.jpg")</f>
        <v>http://pbs.twimg.com/media/ELf8guiWoAA87Ni.jpg</v>
      </c>
      <c r="N557">
        <v>0</v>
      </c>
      <c r="O557">
        <v>0</v>
      </c>
      <c r="P557">
        <v>1</v>
      </c>
      <c r="Q557">
        <v>0</v>
      </c>
    </row>
    <row r="558" spans="1:17" x14ac:dyDescent="0.2">
      <c r="A558" s="1" t="str">
        <f>HYPERLINK("http://www.twitter.com/Ugo_Roux/status/1204708824181022720", "1204708824181022720")</f>
        <v>1204708824181022720</v>
      </c>
      <c r="B558" t="s">
        <v>142</v>
      </c>
      <c r="C558" s="3">
        <v>43810.434490740743</v>
      </c>
      <c r="D558" s="5" t="s">
        <v>24</v>
      </c>
      <c r="E558">
        <v>0</v>
      </c>
      <c r="F558">
        <v>1</v>
      </c>
      <c r="G558">
        <v>0</v>
      </c>
      <c r="I558" t="s">
        <v>592</v>
      </c>
      <c r="N558">
        <v>0</v>
      </c>
      <c r="O558">
        <v>0</v>
      </c>
      <c r="P558">
        <v>1</v>
      </c>
      <c r="Q558">
        <v>0</v>
      </c>
    </row>
    <row r="559" spans="1:17" x14ac:dyDescent="0.2">
      <c r="A559" s="1" t="str">
        <f>HYPERLINK("http://www.twitter.com/Ugo_Roux/status/1204666384413798400", "1204666384413798400")</f>
        <v>1204666384413798400</v>
      </c>
      <c r="B559" t="s">
        <v>142</v>
      </c>
      <c r="C559" s="3">
        <v>43810.317384259259</v>
      </c>
      <c r="D559" s="5" t="s">
        <v>28</v>
      </c>
      <c r="E559">
        <v>0</v>
      </c>
      <c r="F559">
        <v>1</v>
      </c>
      <c r="G559">
        <v>0</v>
      </c>
      <c r="I559" t="s">
        <v>593</v>
      </c>
      <c r="J559" t="str">
        <f>HYPERLINK("http://pbs.twimg.com/media/ELfVr7hWoAApI_9.jpg", "http://pbs.twimg.com/media/ELfVr7hWoAApI_9.jpg")</f>
        <v>http://pbs.twimg.com/media/ELfVr7hWoAApI_9.jpg</v>
      </c>
      <c r="N559">
        <v>0</v>
      </c>
      <c r="O559">
        <v>0</v>
      </c>
      <c r="P559">
        <v>1</v>
      </c>
      <c r="Q559">
        <v>0</v>
      </c>
    </row>
    <row r="560" spans="1:17" x14ac:dyDescent="0.2">
      <c r="A560" s="1" t="str">
        <f>HYPERLINK("http://www.twitter.com/Ugo_Roux/status/1204666144109531137", "1204666144109531137")</f>
        <v>1204666144109531137</v>
      </c>
      <c r="B560" t="s">
        <v>285</v>
      </c>
      <c r="C560" s="3">
        <v>43810.316724537042</v>
      </c>
      <c r="D560" s="5" t="s">
        <v>17</v>
      </c>
      <c r="E560">
        <v>0</v>
      </c>
      <c r="F560">
        <v>0</v>
      </c>
      <c r="G560">
        <v>0</v>
      </c>
      <c r="I560" t="s">
        <v>594</v>
      </c>
      <c r="J560" t="str">
        <f>HYPERLINK("http://pbs.twimg.com/media/ELfVeBVXUAAgpmh.jpg", "http://pbs.twimg.com/media/ELfVeBVXUAAgpmh.jpg")</f>
        <v>http://pbs.twimg.com/media/ELfVeBVXUAAgpmh.jpg</v>
      </c>
      <c r="N560">
        <v>0</v>
      </c>
      <c r="O560">
        <v>0</v>
      </c>
      <c r="P560">
        <v>1</v>
      </c>
      <c r="Q560">
        <v>0</v>
      </c>
    </row>
    <row r="561" spans="1:17" x14ac:dyDescent="0.2">
      <c r="A561" s="1" t="str">
        <f>HYPERLINK("http://www.twitter.com/Ugo_Roux/status/1204407956835422211", "1204407956835422211")</f>
        <v>1204407956835422211</v>
      </c>
      <c r="B561" t="s">
        <v>425</v>
      </c>
      <c r="C561" s="3">
        <v>43809.604259259257</v>
      </c>
      <c r="D561" s="5" t="s">
        <v>28</v>
      </c>
      <c r="E561">
        <v>0</v>
      </c>
      <c r="F561">
        <v>1</v>
      </c>
      <c r="G561">
        <v>0</v>
      </c>
      <c r="I561" t="s">
        <v>595</v>
      </c>
      <c r="J561" t="str">
        <f>HYPERLINK("http://pbs.twimg.com/media/ELbqplRUwAEiVEB.jpg", "http://pbs.twimg.com/media/ELbqplRUwAEiVEB.jpg")</f>
        <v>http://pbs.twimg.com/media/ELbqplRUwAEiVEB.jpg</v>
      </c>
      <c r="N561">
        <v>0</v>
      </c>
      <c r="O561">
        <v>0</v>
      </c>
      <c r="P561">
        <v>1</v>
      </c>
      <c r="Q561">
        <v>0</v>
      </c>
    </row>
    <row r="562" spans="1:17" x14ac:dyDescent="0.2">
      <c r="A562" s="1" t="str">
        <f>HYPERLINK("http://www.twitter.com/Ugo_Roux/status/1204384251896049664", "1204384251896049664")</f>
        <v>1204384251896049664</v>
      </c>
      <c r="B562" t="s">
        <v>16</v>
      </c>
      <c r="C562" s="3">
        <v>43809.538842592592</v>
      </c>
      <c r="D562" s="3" t="s">
        <v>17</v>
      </c>
      <c r="E562">
        <v>6</v>
      </c>
      <c r="F562">
        <v>1</v>
      </c>
      <c r="G562">
        <v>1</v>
      </c>
      <c r="I562" t="s">
        <v>596</v>
      </c>
      <c r="N562">
        <v>0</v>
      </c>
      <c r="O562">
        <v>0</v>
      </c>
      <c r="P562">
        <v>1</v>
      </c>
      <c r="Q562">
        <v>0</v>
      </c>
    </row>
    <row r="563" spans="1:17" x14ac:dyDescent="0.2">
      <c r="A563" s="1" t="str">
        <f>HYPERLINK("http://www.twitter.com/Ugo_Roux/status/1204375285115822080", "1204375285115822080")</f>
        <v>1204375285115822080</v>
      </c>
      <c r="B563" t="s">
        <v>285</v>
      </c>
      <c r="C563" s="3">
        <v>43809.514097222222</v>
      </c>
      <c r="D563" s="5" t="s">
        <v>17</v>
      </c>
      <c r="E563">
        <v>1</v>
      </c>
      <c r="F563">
        <v>0</v>
      </c>
      <c r="G563">
        <v>1</v>
      </c>
      <c r="I563" t="s">
        <v>597</v>
      </c>
      <c r="N563">
        <v>0</v>
      </c>
      <c r="O563">
        <v>0</v>
      </c>
      <c r="P563">
        <v>1</v>
      </c>
      <c r="Q563">
        <v>0</v>
      </c>
    </row>
    <row r="564" spans="1:17" x14ac:dyDescent="0.2">
      <c r="A564" s="1" t="str">
        <f>HYPERLINK("http://www.twitter.com/Ugo_Roux/status/1204361479706857473", "1204361479706857473")</f>
        <v>1204361479706857473</v>
      </c>
      <c r="B564" t="s">
        <v>97</v>
      </c>
      <c r="C564" s="3">
        <v>43809.476006944453</v>
      </c>
      <c r="D564" s="5" t="s">
        <v>28</v>
      </c>
      <c r="E564">
        <v>0</v>
      </c>
      <c r="F564">
        <v>0</v>
      </c>
      <c r="G564">
        <v>0</v>
      </c>
      <c r="I564" t="s">
        <v>598</v>
      </c>
      <c r="J564" t="str">
        <f>HYPERLINK("http://pbs.twimg.com/media/ELbAYgIX0AExzXr.jpg", "http://pbs.twimg.com/media/ELbAYgIX0AExzXr.jpg")</f>
        <v>http://pbs.twimg.com/media/ELbAYgIX0AExzXr.jpg</v>
      </c>
      <c r="N564">
        <v>0</v>
      </c>
      <c r="O564">
        <v>0</v>
      </c>
      <c r="P564">
        <v>1</v>
      </c>
      <c r="Q564">
        <v>0</v>
      </c>
    </row>
    <row r="565" spans="1:17" x14ac:dyDescent="0.2">
      <c r="A565" s="1" t="str">
        <f>HYPERLINK("http://www.twitter.com/Ugo_Roux/status/1204330062012653568", "1204330062012653568")</f>
        <v>1204330062012653568</v>
      </c>
      <c r="B565" t="s">
        <v>414</v>
      </c>
      <c r="C565" s="3">
        <v>43809.389305555553</v>
      </c>
      <c r="D565" s="5" t="s">
        <v>28</v>
      </c>
      <c r="E565">
        <v>1</v>
      </c>
      <c r="F565">
        <v>0</v>
      </c>
      <c r="G565">
        <v>0</v>
      </c>
      <c r="I565" t="s">
        <v>599</v>
      </c>
      <c r="J565" t="str">
        <f>HYPERLINK("http://pbs.twimg.com/media/ELajmMIWoAASh3S.jpg", "http://pbs.twimg.com/media/ELajmMIWoAASh3S.jpg")</f>
        <v>http://pbs.twimg.com/media/ELajmMIWoAASh3S.jpg</v>
      </c>
      <c r="N565">
        <v>0</v>
      </c>
      <c r="O565">
        <v>0</v>
      </c>
      <c r="P565">
        <v>1</v>
      </c>
      <c r="Q565">
        <v>0</v>
      </c>
    </row>
    <row r="566" spans="1:17" x14ac:dyDescent="0.2">
      <c r="A566" s="1" t="str">
        <f>HYPERLINK("http://www.twitter.com/Ugo_Roux/status/1202885554444091392", "1202885554444091392")</f>
        <v>1202885554444091392</v>
      </c>
      <c r="B566" t="s">
        <v>285</v>
      </c>
      <c r="C566" s="3">
        <v>43805.403229166674</v>
      </c>
      <c r="D566" s="5" t="s">
        <v>17</v>
      </c>
      <c r="E566">
        <v>0</v>
      </c>
      <c r="F566">
        <v>0</v>
      </c>
      <c r="G566">
        <v>0</v>
      </c>
      <c r="I566" t="s">
        <v>600</v>
      </c>
      <c r="N566">
        <v>0</v>
      </c>
      <c r="O566">
        <v>0</v>
      </c>
      <c r="P566">
        <v>1</v>
      </c>
      <c r="Q566">
        <v>0</v>
      </c>
    </row>
    <row r="567" spans="1:17" x14ac:dyDescent="0.2">
      <c r="A567" s="1" t="str">
        <f>HYPERLINK("http://www.twitter.com/Ugo_Roux/status/1202850944435834881", "1202850944435834881")</f>
        <v>1202850944435834881</v>
      </c>
      <c r="B567" t="s">
        <v>285</v>
      </c>
      <c r="C567" s="3">
        <v>43805.307719907411</v>
      </c>
      <c r="D567" s="5" t="s">
        <v>17</v>
      </c>
      <c r="E567">
        <v>2</v>
      </c>
      <c r="F567">
        <v>0</v>
      </c>
      <c r="G567">
        <v>1</v>
      </c>
      <c r="I567" t="s">
        <v>601</v>
      </c>
      <c r="J567" t="str">
        <f>HYPERLINK("http://pbs.twimg.com/media/ELFii4HX0AABeu1.jpg", "http://pbs.twimg.com/media/ELFii4HX0AABeu1.jpg")</f>
        <v>http://pbs.twimg.com/media/ELFii4HX0AABeu1.jpg</v>
      </c>
      <c r="K567" t="str">
        <f>HYPERLINK("http://pbs.twimg.com/media/ELFii4UWwAAgwna.jpg", "http://pbs.twimg.com/media/ELFii4UWwAAgwna.jpg")</f>
        <v>http://pbs.twimg.com/media/ELFii4UWwAAgwna.jpg</v>
      </c>
      <c r="L567" t="str">
        <f>HYPERLINK("http://pbs.twimg.com/media/ELFii3yW4AAkJgj.jpg", "http://pbs.twimg.com/media/ELFii3yW4AAkJgj.jpg")</f>
        <v>http://pbs.twimg.com/media/ELFii3yW4AAkJgj.jpg</v>
      </c>
      <c r="N567">
        <v>0</v>
      </c>
      <c r="O567">
        <v>0</v>
      </c>
      <c r="P567">
        <v>1</v>
      </c>
      <c r="Q567">
        <v>0</v>
      </c>
    </row>
    <row r="568" spans="1:17" x14ac:dyDescent="0.2">
      <c r="A568" s="1" t="str">
        <f>HYPERLINK("http://www.twitter.com/Ugo_Roux/status/1202485204243427328", "1202485204243427328")</f>
        <v>1202485204243427328</v>
      </c>
      <c r="B568" t="s">
        <v>142</v>
      </c>
      <c r="C568" s="3">
        <v>43804.298472222217</v>
      </c>
      <c r="D568" s="5" t="s">
        <v>17</v>
      </c>
      <c r="E568">
        <v>2</v>
      </c>
      <c r="F568">
        <v>1</v>
      </c>
      <c r="G568">
        <v>0</v>
      </c>
      <c r="I568" t="s">
        <v>602</v>
      </c>
      <c r="N568">
        <v>0</v>
      </c>
      <c r="O568">
        <v>0</v>
      </c>
      <c r="P568">
        <v>1</v>
      </c>
      <c r="Q568">
        <v>0</v>
      </c>
    </row>
    <row r="569" spans="1:17" x14ac:dyDescent="0.2">
      <c r="A569" s="1" t="str">
        <f>HYPERLINK("http://www.twitter.com/Ugo_Roux/status/1202246289989259266", "1202246289989259266")</f>
        <v>1202246289989259266</v>
      </c>
      <c r="B569" t="s">
        <v>414</v>
      </c>
      <c r="C569" s="3">
        <v>43803.639189814807</v>
      </c>
      <c r="D569" s="5" t="s">
        <v>24</v>
      </c>
      <c r="E569">
        <v>0</v>
      </c>
      <c r="F569">
        <v>1</v>
      </c>
      <c r="G569">
        <v>0</v>
      </c>
      <c r="I569" t="s">
        <v>603</v>
      </c>
      <c r="J569" t="str">
        <f>HYPERLINK("http://pbs.twimg.com/media/EK88nTwWsAY5Ou5.jpg", "http://pbs.twimg.com/media/EK88nTwWsAY5Ou5.jpg")</f>
        <v>http://pbs.twimg.com/media/EK88nTwWsAY5Ou5.jpg</v>
      </c>
      <c r="N569">
        <v>0</v>
      </c>
      <c r="O569">
        <v>0</v>
      </c>
      <c r="P569">
        <v>1</v>
      </c>
      <c r="Q569">
        <v>0</v>
      </c>
    </row>
    <row r="570" spans="1:17" x14ac:dyDescent="0.2">
      <c r="A570" s="1" t="str">
        <f>HYPERLINK("http://www.twitter.com/Ugo_Roux/status/1202241752737955840", "1202241752737955840")</f>
        <v>1202241752737955840</v>
      </c>
      <c r="B570" t="s">
        <v>476</v>
      </c>
      <c r="C570" s="3">
        <v>43803.62667824074</v>
      </c>
      <c r="D570" s="5" t="s">
        <v>17</v>
      </c>
      <c r="E570">
        <v>0</v>
      </c>
      <c r="F570">
        <v>0</v>
      </c>
      <c r="G570">
        <v>0</v>
      </c>
      <c r="I570" t="s">
        <v>604</v>
      </c>
      <c r="J570" t="str">
        <f>HYPERLINK("http://pbs.twimg.com/media/EK84fvbWoAAL37S.jpg", "http://pbs.twimg.com/media/EK84fvbWoAAL37S.jpg")</f>
        <v>http://pbs.twimg.com/media/EK84fvbWoAAL37S.jpg</v>
      </c>
      <c r="N570">
        <v>0</v>
      </c>
      <c r="O570">
        <v>0</v>
      </c>
      <c r="P570">
        <v>1</v>
      </c>
      <c r="Q570">
        <v>0</v>
      </c>
    </row>
    <row r="571" spans="1:17" x14ac:dyDescent="0.2">
      <c r="A571" s="1" t="str">
        <f>HYPERLINK("http://www.twitter.com/Ugo_Roux/status/1202129304244621312", "1202129304244621312")</f>
        <v>1202129304244621312</v>
      </c>
      <c r="B571" t="s">
        <v>285</v>
      </c>
      <c r="C571" s="3">
        <v>43803.316377314812</v>
      </c>
      <c r="D571" s="5" t="s">
        <v>17</v>
      </c>
      <c r="E571">
        <v>0</v>
      </c>
      <c r="F571">
        <v>0</v>
      </c>
      <c r="G571">
        <v>0</v>
      </c>
      <c r="I571" t="s">
        <v>605</v>
      </c>
      <c r="J571" t="str">
        <f>HYPERLINK("http://pbs.twimg.com/media/EK7SOppXkAAOKgz.jpg", "http://pbs.twimg.com/media/EK7SOppXkAAOKgz.jpg")</f>
        <v>http://pbs.twimg.com/media/EK7SOppXkAAOKgz.jpg</v>
      </c>
      <c r="N571">
        <v>0.2732</v>
      </c>
      <c r="O571">
        <v>0</v>
      </c>
      <c r="P571">
        <v>0.84</v>
      </c>
      <c r="Q571">
        <v>0.16</v>
      </c>
    </row>
    <row r="572" spans="1:17" x14ac:dyDescent="0.2">
      <c r="A572" s="1" t="str">
        <f>HYPERLINK("http://www.twitter.com/Ugo_Roux/status/1201793214375714816", "1201793214375714816")</f>
        <v>1201793214375714816</v>
      </c>
      <c r="B572" t="s">
        <v>476</v>
      </c>
      <c r="C572" s="3">
        <v>43802.38894675926</v>
      </c>
      <c r="D572" s="5" t="s">
        <v>41</v>
      </c>
      <c r="E572">
        <v>0</v>
      </c>
      <c r="F572">
        <v>0</v>
      </c>
      <c r="G572">
        <v>0</v>
      </c>
      <c r="I572" t="s">
        <v>606</v>
      </c>
      <c r="J572" t="str">
        <f>HYPERLINK("http://pbs.twimg.com/media/EK2gjXNXsAA_7qP.jpg", "http://pbs.twimg.com/media/EK2gjXNXsAA_7qP.jpg")</f>
        <v>http://pbs.twimg.com/media/EK2gjXNXsAA_7qP.jpg</v>
      </c>
      <c r="K572" t="str">
        <f>HYPERLINK("http://pbs.twimg.com/media/EK2gjYaXYAA0_Td.jpg", "http://pbs.twimg.com/media/EK2gjYaXYAA0_Td.jpg")</f>
        <v>http://pbs.twimg.com/media/EK2gjYaXYAA0_Td.jpg</v>
      </c>
      <c r="L572" t="str">
        <f>HYPERLINK("http://pbs.twimg.com/media/EK2gjXPXsAA8xer.jpg", "http://pbs.twimg.com/media/EK2gjXPXsAA8xer.jpg")</f>
        <v>http://pbs.twimg.com/media/EK2gjXPXsAA8xer.jpg</v>
      </c>
      <c r="N572">
        <v>0</v>
      </c>
      <c r="O572">
        <v>0</v>
      </c>
      <c r="P572">
        <v>1</v>
      </c>
      <c r="Q572">
        <v>0</v>
      </c>
    </row>
    <row r="573" spans="1:17" x14ac:dyDescent="0.2">
      <c r="A573" s="1" t="str">
        <f>HYPERLINK("http://www.twitter.com/Ugo_Roux/status/1201791935217725440", "1201791935217725440")</f>
        <v>1201791935217725440</v>
      </c>
      <c r="B573" t="s">
        <v>47</v>
      </c>
      <c r="C573" s="3">
        <v>43802.385416666657</v>
      </c>
      <c r="D573" s="5" t="s">
        <v>17</v>
      </c>
      <c r="E573">
        <v>3</v>
      </c>
      <c r="F573">
        <v>2</v>
      </c>
      <c r="G573">
        <v>0</v>
      </c>
      <c r="I573" t="s">
        <v>607</v>
      </c>
      <c r="J573" t="str">
        <f>HYPERLINK("http://pbs.twimg.com/media/EJ0U30rXUAA4_ch.jpg", "http://pbs.twimg.com/media/EJ0U30rXUAA4_ch.jpg")</f>
        <v>http://pbs.twimg.com/media/EJ0U30rXUAA4_ch.jpg</v>
      </c>
      <c r="N573">
        <v>0.24809999999999999</v>
      </c>
      <c r="O573">
        <v>0</v>
      </c>
      <c r="P573">
        <v>0.94499999999999995</v>
      </c>
      <c r="Q573">
        <v>5.5E-2</v>
      </c>
    </row>
    <row r="574" spans="1:17" x14ac:dyDescent="0.2">
      <c r="A574" s="1" t="str">
        <f>HYPERLINK("http://www.twitter.com/Ugo_Roux/status/1201459444829130752", "1201459444829130752")</f>
        <v>1201459444829130752</v>
      </c>
      <c r="B574" t="s">
        <v>142</v>
      </c>
      <c r="C574" s="3">
        <v>43801.467916666668</v>
      </c>
      <c r="D574" s="5" t="s">
        <v>17</v>
      </c>
      <c r="E574">
        <v>4</v>
      </c>
      <c r="F574">
        <v>2</v>
      </c>
      <c r="G574">
        <v>0</v>
      </c>
      <c r="I574" t="s">
        <v>608</v>
      </c>
      <c r="N574">
        <v>0</v>
      </c>
      <c r="O574">
        <v>0</v>
      </c>
      <c r="P574">
        <v>1</v>
      </c>
      <c r="Q574">
        <v>0</v>
      </c>
    </row>
    <row r="575" spans="1:17" x14ac:dyDescent="0.2">
      <c r="A575" s="1" t="str">
        <f>HYPERLINK("http://www.twitter.com/Ugo_Roux/status/1200706736723767296", "1200706736723767296")</f>
        <v>1200706736723767296</v>
      </c>
      <c r="B575" t="s">
        <v>471</v>
      </c>
      <c r="C575" s="3">
        <v>43799.390833333331</v>
      </c>
      <c r="D575" s="3" t="s">
        <v>28</v>
      </c>
      <c r="E575">
        <v>1</v>
      </c>
      <c r="F575">
        <v>0</v>
      </c>
      <c r="G575">
        <v>0</v>
      </c>
      <c r="I575" t="s">
        <v>609</v>
      </c>
      <c r="J575" t="str">
        <f>HYPERLINK("http://pbs.twimg.com/media/EKnEZReXsAAKiU5.jpg", "http://pbs.twimg.com/media/EKnEZReXsAAKiU5.jpg")</f>
        <v>http://pbs.twimg.com/media/EKnEZReXsAAKiU5.jpg</v>
      </c>
      <c r="N575">
        <v>0</v>
      </c>
      <c r="O575">
        <v>0</v>
      </c>
      <c r="P575">
        <v>1</v>
      </c>
      <c r="Q575">
        <v>0</v>
      </c>
    </row>
    <row r="576" spans="1:17" x14ac:dyDescent="0.2">
      <c r="A576" s="1" t="str">
        <f>HYPERLINK("http://www.twitter.com/Ugo_Roux/status/1200373244169195521", "1200373244169195521")</f>
        <v>1200373244169195521</v>
      </c>
      <c r="B576" t="s">
        <v>425</v>
      </c>
      <c r="C576" s="3">
        <v>43798.470567129632</v>
      </c>
      <c r="D576" s="5" t="s">
        <v>28</v>
      </c>
      <c r="E576">
        <v>1</v>
      </c>
      <c r="F576">
        <v>0</v>
      </c>
      <c r="G576">
        <v>0</v>
      </c>
      <c r="I576" t="s">
        <v>610</v>
      </c>
      <c r="J576" t="str">
        <f>HYPERLINK("http://pbs.twimg.com/media/EKiVFTaXkAA_K8R.jpg", "http://pbs.twimg.com/media/EKiVFTaXkAA_K8R.jpg")</f>
        <v>http://pbs.twimg.com/media/EKiVFTaXkAA_K8R.jpg</v>
      </c>
      <c r="K576" t="str">
        <f>HYPERLINK("http://pbs.twimg.com/media/EKiVFTdWsAEP9en.jpg", "http://pbs.twimg.com/media/EKiVFTdWsAEP9en.jpg")</f>
        <v>http://pbs.twimg.com/media/EKiVFTdWsAEP9en.jpg</v>
      </c>
      <c r="L576" t="str">
        <f>HYPERLINK("http://pbs.twimg.com/media/EKiVFTcWoAASaOJ.jpg", "http://pbs.twimg.com/media/EKiVFTcWoAASaOJ.jpg")</f>
        <v>http://pbs.twimg.com/media/EKiVFTcWoAASaOJ.jpg</v>
      </c>
      <c r="M576" t="str">
        <f>HYPERLINK("http://pbs.twimg.com/media/EKiVFTpXkAA1TNe.jpg", "http://pbs.twimg.com/media/EKiVFTpXkAA1TNe.jpg")</f>
        <v>http://pbs.twimg.com/media/EKiVFTpXkAA1TNe.jpg</v>
      </c>
      <c r="N576">
        <v>0</v>
      </c>
      <c r="O576">
        <v>0</v>
      </c>
      <c r="P576">
        <v>1</v>
      </c>
      <c r="Q576">
        <v>0</v>
      </c>
    </row>
    <row r="577" spans="1:17" x14ac:dyDescent="0.2">
      <c r="A577" s="1" t="str">
        <f>HYPERLINK("http://www.twitter.com/Ugo_Roux/status/1200325972119171072", "1200325972119171072")</f>
        <v>1200325972119171072</v>
      </c>
      <c r="B577" t="s">
        <v>414</v>
      </c>
      <c r="C577" s="3">
        <v>43798.340127314812</v>
      </c>
      <c r="D577" s="5" t="s">
        <v>28</v>
      </c>
      <c r="E577">
        <v>0</v>
      </c>
      <c r="F577">
        <v>0</v>
      </c>
      <c r="G577">
        <v>0</v>
      </c>
      <c r="I577" t="s">
        <v>611</v>
      </c>
      <c r="J577" t="str">
        <f>HYPERLINK("http://pbs.twimg.com/media/EKhqGOdWoAADmQ7.jpg", "http://pbs.twimg.com/media/EKhqGOdWoAADmQ7.jpg")</f>
        <v>http://pbs.twimg.com/media/EKhqGOdWoAADmQ7.jpg</v>
      </c>
      <c r="N577">
        <v>0</v>
      </c>
      <c r="O577">
        <v>0</v>
      </c>
      <c r="P577">
        <v>1</v>
      </c>
      <c r="Q577">
        <v>0</v>
      </c>
    </row>
    <row r="578" spans="1:17" x14ac:dyDescent="0.2">
      <c r="A578" s="1" t="str">
        <f>HYPERLINK("http://www.twitter.com/Ugo_Roux/status/1200318800404434944", "1200318800404434944")</f>
        <v>1200318800404434944</v>
      </c>
      <c r="B578" t="s">
        <v>285</v>
      </c>
      <c r="C578" s="3">
        <v>43798.320335648154</v>
      </c>
      <c r="D578" s="5" t="s">
        <v>17</v>
      </c>
      <c r="E578">
        <v>1</v>
      </c>
      <c r="F578">
        <v>1</v>
      </c>
      <c r="G578">
        <v>1</v>
      </c>
      <c r="I578" t="s">
        <v>612</v>
      </c>
      <c r="J578" t="str">
        <f>HYPERLINK("http://pbs.twimg.com/media/EKhjlMlXsAAUsYG.jpg", "http://pbs.twimg.com/media/EKhjlMlXsAAUsYG.jpg")</f>
        <v>http://pbs.twimg.com/media/EKhjlMlXsAAUsYG.jpg</v>
      </c>
      <c r="N578">
        <v>0</v>
      </c>
      <c r="O578">
        <v>0</v>
      </c>
      <c r="P578">
        <v>1</v>
      </c>
      <c r="Q578">
        <v>0</v>
      </c>
    </row>
    <row r="579" spans="1:17" x14ac:dyDescent="0.2">
      <c r="A579" s="1" t="str">
        <f>HYPERLINK("http://www.twitter.com/Ugo_Roux/status/1199980330725363712", "1199980330725363712")</f>
        <v>1199980330725363712</v>
      </c>
      <c r="B579" t="s">
        <v>425</v>
      </c>
      <c r="C579" s="3">
        <v>43797.386342592603</v>
      </c>
      <c r="D579" s="5" t="s">
        <v>28</v>
      </c>
      <c r="E579">
        <v>0</v>
      </c>
      <c r="F579">
        <v>0</v>
      </c>
      <c r="G579">
        <v>0</v>
      </c>
      <c r="I579" t="s">
        <v>613</v>
      </c>
      <c r="J579" t="str">
        <f>HYPERLINK("http://pbs.twimg.com/media/EKcvv6AWkAAOI1V.jpg", "http://pbs.twimg.com/media/EKcvv6AWkAAOI1V.jpg")</f>
        <v>http://pbs.twimg.com/media/EKcvv6AWkAAOI1V.jpg</v>
      </c>
      <c r="N579">
        <v>0.57069999999999999</v>
      </c>
      <c r="O579">
        <v>0</v>
      </c>
      <c r="P579">
        <v>0.92400000000000004</v>
      </c>
      <c r="Q579">
        <v>7.5999999999999998E-2</v>
      </c>
    </row>
    <row r="580" spans="1:17" x14ac:dyDescent="0.2">
      <c r="A580" s="1" t="str">
        <f>HYPERLINK("http://www.twitter.com/Ugo_Roux/status/1199972771750694912", "1199972771750694912")</f>
        <v>1199972771750694912</v>
      </c>
      <c r="B580" t="s">
        <v>370</v>
      </c>
      <c r="C580" s="3">
        <v>43797.365474537037</v>
      </c>
      <c r="D580" s="5" t="s">
        <v>28</v>
      </c>
      <c r="E580">
        <v>0</v>
      </c>
      <c r="F580">
        <v>0</v>
      </c>
      <c r="G580">
        <v>0</v>
      </c>
      <c r="I580" t="s">
        <v>614</v>
      </c>
      <c r="J580" t="str">
        <f>HYPERLINK("http://pbs.twimg.com/media/EKco4FzXkAApBft.jpg", "http://pbs.twimg.com/media/EKco4FzXkAApBft.jpg")</f>
        <v>http://pbs.twimg.com/media/EKco4FzXkAApBft.jpg</v>
      </c>
      <c r="N580">
        <v>0</v>
      </c>
      <c r="O580">
        <v>0</v>
      </c>
      <c r="P580">
        <v>1</v>
      </c>
      <c r="Q580">
        <v>0</v>
      </c>
    </row>
    <row r="581" spans="1:17" x14ac:dyDescent="0.2">
      <c r="A581" s="1" t="str">
        <f>HYPERLINK("http://www.twitter.com/Ugo_Roux/status/1199968371208597504", "1199968371208597504")</f>
        <v>1199968371208597504</v>
      </c>
      <c r="B581" t="s">
        <v>370</v>
      </c>
      <c r="C581" s="3">
        <v>43797.353333333333</v>
      </c>
      <c r="D581" s="5" t="s">
        <v>28</v>
      </c>
      <c r="E581">
        <v>0</v>
      </c>
      <c r="F581">
        <v>0</v>
      </c>
      <c r="G581">
        <v>0</v>
      </c>
      <c r="I581" t="s">
        <v>615</v>
      </c>
      <c r="J581" t="str">
        <f>HYPERLINK("http://pbs.twimg.com/media/EKck33BWwAAWG_d.jpg", "http://pbs.twimg.com/media/EKck33BWwAAWG_d.jpg")</f>
        <v>http://pbs.twimg.com/media/EKck33BWwAAWG_d.jpg</v>
      </c>
      <c r="N581">
        <v>0</v>
      </c>
      <c r="O581">
        <v>0</v>
      </c>
      <c r="P581">
        <v>1</v>
      </c>
      <c r="Q581">
        <v>0</v>
      </c>
    </row>
    <row r="582" spans="1:17" x14ac:dyDescent="0.2">
      <c r="A582" s="1" t="str">
        <f>HYPERLINK("http://www.twitter.com/Ugo_Roux/status/1199967256433741824", "1199967256433741824")</f>
        <v>1199967256433741824</v>
      </c>
      <c r="B582" t="s">
        <v>370</v>
      </c>
      <c r="C582" s="3">
        <v>43797.350254629629</v>
      </c>
      <c r="D582" s="5" t="s">
        <v>28</v>
      </c>
      <c r="E582">
        <v>0</v>
      </c>
      <c r="F582">
        <v>0</v>
      </c>
      <c r="G582">
        <v>0</v>
      </c>
      <c r="I582" t="s">
        <v>616</v>
      </c>
      <c r="J582" t="str">
        <f>HYPERLINK("http://pbs.twimg.com/media/EKcj3CEU8AAbZZw.jpg", "http://pbs.twimg.com/media/EKcj3CEU8AAbZZw.jpg")</f>
        <v>http://pbs.twimg.com/media/EKcj3CEU8AAbZZw.jpg</v>
      </c>
      <c r="N582">
        <v>0</v>
      </c>
      <c r="O582">
        <v>0</v>
      </c>
      <c r="P582">
        <v>1</v>
      </c>
      <c r="Q582">
        <v>0</v>
      </c>
    </row>
    <row r="583" spans="1:17" x14ac:dyDescent="0.2">
      <c r="A583" s="1" t="str">
        <f>HYPERLINK("http://www.twitter.com/Ugo_Roux/status/1199719408710684672", "1199719408710684672")</f>
        <v>1199719408710684672</v>
      </c>
      <c r="B583" t="s">
        <v>370</v>
      </c>
      <c r="C583" s="3">
        <v>43796.666331018518</v>
      </c>
      <c r="D583" s="5" t="s">
        <v>28</v>
      </c>
      <c r="E583">
        <v>0</v>
      </c>
      <c r="F583">
        <v>0</v>
      </c>
      <c r="G583">
        <v>0</v>
      </c>
      <c r="I583" t="s">
        <v>617</v>
      </c>
      <c r="J583" t="str">
        <f>HYPERLINK("http://pbs.twimg.com/media/EKZCca9XsAAEpzM.jpg", "http://pbs.twimg.com/media/EKZCca9XsAAEpzM.jpg")</f>
        <v>http://pbs.twimg.com/media/EKZCca9XsAAEpzM.jpg</v>
      </c>
      <c r="N583">
        <v>0</v>
      </c>
      <c r="O583">
        <v>0</v>
      </c>
      <c r="P583">
        <v>1</v>
      </c>
      <c r="Q583">
        <v>0</v>
      </c>
    </row>
    <row r="584" spans="1:17" x14ac:dyDescent="0.2">
      <c r="A584" s="1" t="str">
        <f>HYPERLINK("http://www.twitter.com/Ugo_Roux/status/1199715397982928896", "1199715397982928896")</f>
        <v>1199715397982928896</v>
      </c>
      <c r="B584" t="s">
        <v>370</v>
      </c>
      <c r="C584" s="3">
        <v>43796.655266203707</v>
      </c>
      <c r="D584" s="5" t="s">
        <v>24</v>
      </c>
      <c r="E584">
        <v>0</v>
      </c>
      <c r="F584">
        <v>0</v>
      </c>
      <c r="G584">
        <v>0</v>
      </c>
      <c r="I584" t="s">
        <v>618</v>
      </c>
      <c r="J584" t="str">
        <f>HYPERLINK("http://pbs.twimg.com/media/EKY-y6nWwAAK12N.jpg", "http://pbs.twimg.com/media/EKY-y6nWwAAK12N.jpg")</f>
        <v>http://pbs.twimg.com/media/EKY-y6nWwAAK12N.jpg</v>
      </c>
      <c r="N584">
        <v>0</v>
      </c>
      <c r="O584">
        <v>0</v>
      </c>
      <c r="P584">
        <v>1</v>
      </c>
      <c r="Q584">
        <v>0</v>
      </c>
    </row>
    <row r="585" spans="1:17" x14ac:dyDescent="0.2">
      <c r="A585" s="1" t="str">
        <f>HYPERLINK("http://www.twitter.com/Ugo_Roux/status/1199702187317907456", "1199702187317907456")</f>
        <v>1199702187317907456</v>
      </c>
      <c r="B585" t="s">
        <v>130</v>
      </c>
      <c r="C585" s="3">
        <v>43796.618807870371</v>
      </c>
      <c r="D585" s="5" t="s">
        <v>28</v>
      </c>
      <c r="E585">
        <v>0</v>
      </c>
      <c r="F585">
        <v>1</v>
      </c>
      <c r="G585">
        <v>0</v>
      </c>
      <c r="I585" t="s">
        <v>619</v>
      </c>
      <c r="J585" t="str">
        <f>HYPERLINK("http://pbs.twimg.com/media/EKYyvEZXYAI_s7U.jpg", "http://pbs.twimg.com/media/EKYyvEZXYAI_s7U.jpg")</f>
        <v>http://pbs.twimg.com/media/EKYyvEZXYAI_s7U.jpg</v>
      </c>
      <c r="N585">
        <v>0.54110000000000003</v>
      </c>
      <c r="O585">
        <v>0</v>
      </c>
      <c r="P585">
        <v>0.93500000000000005</v>
      </c>
      <c r="Q585">
        <v>6.5000000000000002E-2</v>
      </c>
    </row>
    <row r="586" spans="1:17" x14ac:dyDescent="0.2">
      <c r="A586" s="1" t="str">
        <f>HYPERLINK("http://www.twitter.com/Ugo_Roux/status/1199676680958291969", "1199676680958291969")</f>
        <v>1199676680958291969</v>
      </c>
      <c r="B586" t="s">
        <v>476</v>
      </c>
      <c r="C586" s="3">
        <v>43796.548425925917</v>
      </c>
      <c r="D586" s="5" t="s">
        <v>28</v>
      </c>
      <c r="E586">
        <v>0</v>
      </c>
      <c r="F586">
        <v>1</v>
      </c>
      <c r="G586">
        <v>0</v>
      </c>
      <c r="I586" t="s">
        <v>620</v>
      </c>
      <c r="N586">
        <v>0</v>
      </c>
      <c r="O586">
        <v>0</v>
      </c>
      <c r="P586">
        <v>1</v>
      </c>
      <c r="Q586">
        <v>0</v>
      </c>
    </row>
    <row r="587" spans="1:17" x14ac:dyDescent="0.2">
      <c r="A587" s="1" t="str">
        <f>HYPERLINK("http://www.twitter.com/Ugo_Roux/status/1199316974599376896", "1199316974599376896")</f>
        <v>1199316974599376896</v>
      </c>
      <c r="B587" t="s">
        <v>142</v>
      </c>
      <c r="C587" s="3">
        <v>43795.555821759262</v>
      </c>
      <c r="D587" s="5" t="s">
        <v>24</v>
      </c>
      <c r="E587">
        <v>0</v>
      </c>
      <c r="F587">
        <v>2</v>
      </c>
      <c r="G587">
        <v>0</v>
      </c>
      <c r="I587" t="s">
        <v>621</v>
      </c>
      <c r="J587" t="str">
        <f>HYPERLINK("http://pbs.twimg.com/media/EKTUbadWwAA5mGO.jpg", "http://pbs.twimg.com/media/EKTUbadWwAA5mGO.jpg")</f>
        <v>http://pbs.twimg.com/media/EKTUbadWwAA5mGO.jpg</v>
      </c>
      <c r="N587">
        <v>0</v>
      </c>
      <c r="O587">
        <v>0</v>
      </c>
      <c r="P587">
        <v>1</v>
      </c>
      <c r="Q587">
        <v>0</v>
      </c>
    </row>
    <row r="588" spans="1:17" x14ac:dyDescent="0.2">
      <c r="A588" s="1" t="str">
        <f>HYPERLINK("http://www.twitter.com/Ugo_Roux/status/1199257736766087169", "1199257736766087169")</f>
        <v>1199257736766087169</v>
      </c>
      <c r="B588" t="s">
        <v>47</v>
      </c>
      <c r="C588" s="3">
        <v>43795.392361111109</v>
      </c>
      <c r="D588" s="5" t="s">
        <v>28</v>
      </c>
      <c r="E588">
        <v>2</v>
      </c>
      <c r="F588">
        <v>0</v>
      </c>
      <c r="G588">
        <v>0</v>
      </c>
      <c r="I588" t="s">
        <v>622</v>
      </c>
      <c r="J588" t="str">
        <f>HYPERLINK("http://pbs.twimg.com/media/EJ0JsJ4XkAEa7ou.jpg", "http://pbs.twimg.com/media/EJ0JsJ4XkAEa7ou.jpg")</f>
        <v>http://pbs.twimg.com/media/EJ0JsJ4XkAEa7ou.jpg</v>
      </c>
      <c r="N588">
        <v>0</v>
      </c>
      <c r="O588">
        <v>0</v>
      </c>
      <c r="P588">
        <v>1</v>
      </c>
      <c r="Q588">
        <v>0</v>
      </c>
    </row>
    <row r="589" spans="1:17" x14ac:dyDescent="0.2">
      <c r="A589" s="1" t="str">
        <f>HYPERLINK("http://www.twitter.com/Ugo_Roux/status/1199227674218156032", "1199227674218156032")</f>
        <v>1199227674218156032</v>
      </c>
      <c r="B589" t="s">
        <v>142</v>
      </c>
      <c r="C589" s="3">
        <v>43795.309398148151</v>
      </c>
      <c r="D589" s="5" t="s">
        <v>28</v>
      </c>
      <c r="E589">
        <v>1</v>
      </c>
      <c r="F589">
        <v>3</v>
      </c>
      <c r="G589">
        <v>0</v>
      </c>
      <c r="I589" t="s">
        <v>623</v>
      </c>
      <c r="J589" t="str">
        <f>HYPERLINK("http://pbs.twimg.com/media/EKSDNiWX0AAqrh5.jpg", "http://pbs.twimg.com/media/EKSDNiWX0AAqrh5.jpg")</f>
        <v>http://pbs.twimg.com/media/EKSDNiWX0AAqrh5.jpg</v>
      </c>
      <c r="N589">
        <v>0</v>
      </c>
      <c r="O589">
        <v>0</v>
      </c>
      <c r="P589">
        <v>1</v>
      </c>
      <c r="Q589">
        <v>0</v>
      </c>
    </row>
    <row r="590" spans="1:17" x14ac:dyDescent="0.2">
      <c r="A590" s="1" t="str">
        <f>HYPERLINK("http://www.twitter.com/Ugo_Roux/status/1198162511108984832", "1198162511108984832")</f>
        <v>1198162511108984832</v>
      </c>
      <c r="B590" t="s">
        <v>476</v>
      </c>
      <c r="C590" s="3">
        <v>43792.370115740741</v>
      </c>
      <c r="D590" s="3" t="s">
        <v>28</v>
      </c>
      <c r="E590">
        <v>0</v>
      </c>
      <c r="F590">
        <v>0</v>
      </c>
      <c r="G590">
        <v>1</v>
      </c>
      <c r="I590" t="s">
        <v>624</v>
      </c>
      <c r="N590">
        <v>0</v>
      </c>
      <c r="O590">
        <v>0</v>
      </c>
      <c r="P590">
        <v>1</v>
      </c>
      <c r="Q590">
        <v>0</v>
      </c>
    </row>
    <row r="591" spans="1:17" x14ac:dyDescent="0.2">
      <c r="A591" s="1" t="str">
        <f>HYPERLINK("http://www.twitter.com/Ugo_Roux/status/1198151287180873728", "1198151287180873728")</f>
        <v>1198151287180873728</v>
      </c>
      <c r="B591" t="s">
        <v>142</v>
      </c>
      <c r="C591" s="3">
        <v>43792.339143518519</v>
      </c>
      <c r="D591" s="5" t="s">
        <v>625</v>
      </c>
      <c r="E591">
        <v>5</v>
      </c>
      <c r="F591">
        <v>3</v>
      </c>
      <c r="G591">
        <v>0</v>
      </c>
      <c r="I591" t="s">
        <v>626</v>
      </c>
      <c r="N591">
        <v>0</v>
      </c>
      <c r="O591">
        <v>0</v>
      </c>
      <c r="P591">
        <v>1</v>
      </c>
      <c r="Q591">
        <v>0</v>
      </c>
    </row>
    <row r="592" spans="1:17" x14ac:dyDescent="0.2">
      <c r="A592" s="1" t="str">
        <f>HYPERLINK("http://www.twitter.com/Ugo_Roux/status/1197855095939055619", "1197855095939055619")</f>
        <v>1197855095939055619</v>
      </c>
      <c r="B592" t="s">
        <v>130</v>
      </c>
      <c r="C592" s="3">
        <v>43791.521805555552</v>
      </c>
      <c r="D592" s="5" t="s">
        <v>28</v>
      </c>
      <c r="E592">
        <v>1</v>
      </c>
      <c r="F592">
        <v>0</v>
      </c>
      <c r="G592">
        <v>0</v>
      </c>
      <c r="I592" t="s">
        <v>627</v>
      </c>
      <c r="J592" t="str">
        <f>HYPERLINK("http://pbs.twimg.com/media/EJ-i12xWsAE4UNL.jpg", "http://pbs.twimg.com/media/EJ-i12xWsAE4UNL.jpg")</f>
        <v>http://pbs.twimg.com/media/EJ-i12xWsAE4UNL.jpg</v>
      </c>
      <c r="N592">
        <v>-0.128</v>
      </c>
      <c r="O592">
        <v>4.4999999999999998E-2</v>
      </c>
      <c r="P592">
        <v>0.95499999999999996</v>
      </c>
      <c r="Q592">
        <v>0</v>
      </c>
    </row>
    <row r="593" spans="1:17" x14ac:dyDescent="0.2">
      <c r="A593" s="1" t="str">
        <f>HYPERLINK("http://www.twitter.com/Ugo_Roux/status/1197840338771234816", "1197840338771234816")</f>
        <v>1197840338771234816</v>
      </c>
      <c r="B593" t="s">
        <v>130</v>
      </c>
      <c r="C593" s="3">
        <v>43791.481087962973</v>
      </c>
      <c r="D593" s="5" t="s">
        <v>28</v>
      </c>
      <c r="E593">
        <v>0</v>
      </c>
      <c r="F593">
        <v>0</v>
      </c>
      <c r="G593">
        <v>0</v>
      </c>
      <c r="I593" t="s">
        <v>628</v>
      </c>
      <c r="J593" t="str">
        <f>HYPERLINK("http://pbs.twimg.com/media/EJ-VamQW4AAjEA-.jpg", "http://pbs.twimg.com/media/EJ-VamQW4AAjEA-.jpg")</f>
        <v>http://pbs.twimg.com/media/EJ-VamQW4AAjEA-.jpg</v>
      </c>
      <c r="N593">
        <v>0</v>
      </c>
      <c r="O593">
        <v>0</v>
      </c>
      <c r="P593">
        <v>1</v>
      </c>
      <c r="Q593">
        <v>0</v>
      </c>
    </row>
    <row r="594" spans="1:17" x14ac:dyDescent="0.2">
      <c r="A594" s="1" t="str">
        <f>HYPERLINK("http://www.twitter.com/Ugo_Roux/status/1197822941989396480", "1197822941989396480")</f>
        <v>1197822941989396480</v>
      </c>
      <c r="B594" t="s">
        <v>425</v>
      </c>
      <c r="C594" s="3">
        <v>43791.433078703703</v>
      </c>
      <c r="D594" s="5" t="s">
        <v>28</v>
      </c>
      <c r="E594">
        <v>2</v>
      </c>
      <c r="F594">
        <v>0</v>
      </c>
      <c r="G594">
        <v>0</v>
      </c>
      <c r="I594" t="s">
        <v>629</v>
      </c>
      <c r="J594" t="str">
        <f>HYPERLINK("http://pbs.twimg.com/media/EJ-FnaYWsAAdinI.jpg", "http://pbs.twimg.com/media/EJ-FnaYWsAAdinI.jpg")</f>
        <v>http://pbs.twimg.com/media/EJ-FnaYWsAAdinI.jpg</v>
      </c>
      <c r="N594">
        <v>0</v>
      </c>
      <c r="O594">
        <v>0</v>
      </c>
      <c r="P594">
        <v>1</v>
      </c>
      <c r="Q594">
        <v>0</v>
      </c>
    </row>
    <row r="595" spans="1:17" x14ac:dyDescent="0.2">
      <c r="A595" s="1" t="str">
        <f>HYPERLINK("http://www.twitter.com/Ugo_Roux/status/1197777435204431873", "1197777435204431873")</f>
        <v>1197777435204431873</v>
      </c>
      <c r="B595" t="s">
        <v>285</v>
      </c>
      <c r="C595" s="3">
        <v>43791.307500000003</v>
      </c>
      <c r="D595" s="5" t="s">
        <v>17</v>
      </c>
      <c r="E595">
        <v>4</v>
      </c>
      <c r="F595">
        <v>1</v>
      </c>
      <c r="G595">
        <v>1</v>
      </c>
      <c r="I595" t="s">
        <v>630</v>
      </c>
      <c r="J595" t="str">
        <f>HYPERLINK("http://pbs.twimg.com/media/EJ9cNu4W4AAsaT_.jpg", "http://pbs.twimg.com/media/EJ9cNu4W4AAsaT_.jpg")</f>
        <v>http://pbs.twimg.com/media/EJ9cNu4W4AAsaT_.jpg</v>
      </c>
      <c r="K595" t="str">
        <f>HYPERLINK("http://pbs.twimg.com/media/EJ9cNuuXsAAHvZH.jpg", "http://pbs.twimg.com/media/EJ9cNuuXsAAHvZH.jpg")</f>
        <v>http://pbs.twimg.com/media/EJ9cNuuXsAAHvZH.jpg</v>
      </c>
      <c r="L595" t="str">
        <f>HYPERLINK("http://pbs.twimg.com/media/EJ9cNuZWoAAZSVi.jpg", "http://pbs.twimg.com/media/EJ9cNuZWoAAZSVi.jpg")</f>
        <v>http://pbs.twimg.com/media/EJ9cNuZWoAAZSVi.jpg</v>
      </c>
      <c r="N595">
        <v>0</v>
      </c>
      <c r="O595">
        <v>0</v>
      </c>
      <c r="P595">
        <v>1</v>
      </c>
      <c r="Q595">
        <v>0</v>
      </c>
    </row>
    <row r="596" spans="1:17" x14ac:dyDescent="0.2">
      <c r="A596" s="1" t="str">
        <f>HYPERLINK("http://www.twitter.com/Ugo_Roux/status/1197540518508544002", "1197540518508544002")</f>
        <v>1197540518508544002</v>
      </c>
      <c r="B596" t="s">
        <v>142</v>
      </c>
      <c r="C596" s="3">
        <v>43790.653738425928</v>
      </c>
      <c r="D596" s="5" t="s">
        <v>17</v>
      </c>
      <c r="E596">
        <v>1</v>
      </c>
      <c r="F596">
        <v>2</v>
      </c>
      <c r="G596">
        <v>0</v>
      </c>
      <c r="I596" t="s">
        <v>631</v>
      </c>
      <c r="J596" t="str">
        <f>HYPERLINK("http://pbs.twimg.com/media/EJ6Evf0WsAAUwnQ.jpg", "http://pbs.twimg.com/media/EJ6Evf0WsAAUwnQ.jpg")</f>
        <v>http://pbs.twimg.com/media/EJ6Evf0WsAAUwnQ.jpg</v>
      </c>
      <c r="N596">
        <v>0</v>
      </c>
      <c r="O596">
        <v>0</v>
      </c>
      <c r="P596">
        <v>1</v>
      </c>
      <c r="Q596">
        <v>0</v>
      </c>
    </row>
    <row r="597" spans="1:17" x14ac:dyDescent="0.2">
      <c r="A597" s="1" t="str">
        <f>HYPERLINK("http://www.twitter.com/Ugo_Roux/status/1197056137117474816", "1197056137117474816")</f>
        <v>1197056137117474816</v>
      </c>
      <c r="B597" t="s">
        <v>471</v>
      </c>
      <c r="C597" s="3">
        <v>43789.317094907397</v>
      </c>
      <c r="D597" s="3" t="s">
        <v>28</v>
      </c>
      <c r="E597">
        <v>1</v>
      </c>
      <c r="F597">
        <v>0</v>
      </c>
      <c r="G597">
        <v>0</v>
      </c>
      <c r="I597" t="s">
        <v>632</v>
      </c>
      <c r="J597" t="str">
        <f>HYPERLINK("http://pbs.twimg.com/media/EJzMLnqW4AMtqKL.jpg", "http://pbs.twimg.com/media/EJzMLnqW4AMtqKL.jpg")</f>
        <v>http://pbs.twimg.com/media/EJzMLnqW4AMtqKL.jpg</v>
      </c>
      <c r="N597">
        <v>0</v>
      </c>
      <c r="O597">
        <v>0</v>
      </c>
      <c r="P597">
        <v>1</v>
      </c>
      <c r="Q597">
        <v>0</v>
      </c>
    </row>
    <row r="598" spans="1:17" x14ac:dyDescent="0.2">
      <c r="A598" s="1" t="str">
        <f>HYPERLINK("http://www.twitter.com/Ugo_Roux/status/1196707382795128832", "1196707382795128832")</f>
        <v>1196707382795128832</v>
      </c>
      <c r="B598" t="s">
        <v>130</v>
      </c>
      <c r="C598" s="3">
        <v>43788.354722222219</v>
      </c>
      <c r="D598" s="5" t="s">
        <v>28</v>
      </c>
      <c r="E598">
        <v>0</v>
      </c>
      <c r="F598">
        <v>0</v>
      </c>
      <c r="G598">
        <v>0</v>
      </c>
      <c r="I598" t="s">
        <v>633</v>
      </c>
      <c r="J598" t="str">
        <f>HYPERLINK("http://pbs.twimg.com/media/EJuO7puWsAAHeZQ.jpg", "http://pbs.twimg.com/media/EJuO7puWsAAHeZQ.jpg")</f>
        <v>http://pbs.twimg.com/media/EJuO7puWsAAHeZQ.jpg</v>
      </c>
      <c r="N598">
        <v>0</v>
      </c>
      <c r="O598">
        <v>0</v>
      </c>
      <c r="P598">
        <v>1</v>
      </c>
      <c r="Q598">
        <v>0</v>
      </c>
    </row>
    <row r="599" spans="1:17" x14ac:dyDescent="0.2">
      <c r="A599" s="1" t="str">
        <f>HYPERLINK("http://www.twitter.com/Ugo_Roux/status/1195652493654528003", "1195652493654528003")</f>
        <v>1195652493654528003</v>
      </c>
      <c r="B599" t="s">
        <v>425</v>
      </c>
      <c r="C599" s="3">
        <v>43785.443784722222</v>
      </c>
      <c r="D599" s="5" t="s">
        <v>28</v>
      </c>
      <c r="E599">
        <v>0</v>
      </c>
      <c r="F599">
        <v>0</v>
      </c>
      <c r="G599">
        <v>0</v>
      </c>
      <c r="I599" t="s">
        <v>634</v>
      </c>
      <c r="J599" t="str">
        <f>HYPERLINK("http://pbs.twimg.com/media/EJfPmb9XYAA_rbN.jpg", "http://pbs.twimg.com/media/EJfPmb9XYAA_rbN.jpg")</f>
        <v>http://pbs.twimg.com/media/EJfPmb9XYAA_rbN.jpg</v>
      </c>
      <c r="N599">
        <v>0</v>
      </c>
      <c r="O599">
        <v>0</v>
      </c>
      <c r="P599">
        <v>1</v>
      </c>
      <c r="Q599">
        <v>0</v>
      </c>
    </row>
    <row r="600" spans="1:17" x14ac:dyDescent="0.2">
      <c r="A600" s="1" t="str">
        <f>HYPERLINK("http://www.twitter.com/Ugo_Roux/status/1195387467110735872", "1195387467110735872")</f>
        <v>1195387467110735872</v>
      </c>
      <c r="B600" t="s">
        <v>142</v>
      </c>
      <c r="C600" s="3">
        <v>43784.712453703702</v>
      </c>
      <c r="D600" s="5" t="s">
        <v>17</v>
      </c>
      <c r="E600">
        <v>1</v>
      </c>
      <c r="F600">
        <v>2</v>
      </c>
      <c r="G600">
        <v>0</v>
      </c>
      <c r="I600" t="s">
        <v>635</v>
      </c>
      <c r="J600" t="str">
        <f>HYPERLINK("http://pbs.twimg.com/media/EJbej1JWwAA4r37.jpg", "http://pbs.twimg.com/media/EJbej1JWwAA4r37.jpg")</f>
        <v>http://pbs.twimg.com/media/EJbej1JWwAA4r37.jpg</v>
      </c>
      <c r="N600">
        <v>0</v>
      </c>
      <c r="O600">
        <v>0</v>
      </c>
      <c r="P600">
        <v>1</v>
      </c>
      <c r="Q600">
        <v>0</v>
      </c>
    </row>
    <row r="601" spans="1:17" x14ac:dyDescent="0.2">
      <c r="A601" s="1" t="str">
        <f>HYPERLINK("http://www.twitter.com/Ugo_Roux/status/1195372500697387008", "1195372500697387008")</f>
        <v>1195372500697387008</v>
      </c>
      <c r="B601" t="s">
        <v>425</v>
      </c>
      <c r="C601" s="3">
        <v>43784.67114583333</v>
      </c>
      <c r="D601" s="5" t="s">
        <v>28</v>
      </c>
      <c r="E601">
        <v>0</v>
      </c>
      <c r="F601">
        <v>0</v>
      </c>
      <c r="G601">
        <v>0</v>
      </c>
      <c r="I601" t="s">
        <v>636</v>
      </c>
      <c r="J601" t="str">
        <f>HYPERLINK("http://pbs.twimg.com/media/EJbQ85SWoAARXzN.jpg", "http://pbs.twimg.com/media/EJbQ85SWoAARXzN.jpg")</f>
        <v>http://pbs.twimg.com/media/EJbQ85SWoAARXzN.jpg</v>
      </c>
      <c r="N601">
        <v>0</v>
      </c>
      <c r="O601">
        <v>0</v>
      </c>
      <c r="P601">
        <v>1</v>
      </c>
      <c r="Q601">
        <v>0</v>
      </c>
    </row>
    <row r="602" spans="1:17" x14ac:dyDescent="0.2">
      <c r="A602" s="1" t="str">
        <f>HYPERLINK("http://www.twitter.com/Ugo_Roux/status/1194685718754463745", "1194685718754463745")</f>
        <v>1194685718754463745</v>
      </c>
      <c r="B602" t="s">
        <v>142</v>
      </c>
      <c r="C602" s="3">
        <v>43782.775995370372</v>
      </c>
      <c r="D602" s="5" t="s">
        <v>17</v>
      </c>
      <c r="E602">
        <v>0</v>
      </c>
      <c r="F602">
        <v>1</v>
      </c>
      <c r="G602">
        <v>0</v>
      </c>
      <c r="I602" t="s">
        <v>637</v>
      </c>
      <c r="J602" t="str">
        <f>HYPERLINK("http://pbs.twimg.com/media/EJRgUFKW4AA36xJ.jpg", "http://pbs.twimg.com/media/EJRgUFKW4AA36xJ.jpg")</f>
        <v>http://pbs.twimg.com/media/EJRgUFKW4AA36xJ.jpg</v>
      </c>
      <c r="N602">
        <v>0</v>
      </c>
      <c r="O602">
        <v>0</v>
      </c>
      <c r="P602">
        <v>1</v>
      </c>
      <c r="Q602">
        <v>0</v>
      </c>
    </row>
    <row r="603" spans="1:17" x14ac:dyDescent="0.2">
      <c r="A603" s="1" t="str">
        <f>HYPERLINK("http://www.twitter.com/Ugo_Roux/status/1194554637392723968", "1194554637392723968")</f>
        <v>1194554637392723968</v>
      </c>
      <c r="B603" t="s">
        <v>425</v>
      </c>
      <c r="C603" s="3">
        <v>43782.414270833331</v>
      </c>
      <c r="D603" s="5" t="s">
        <v>28</v>
      </c>
      <c r="E603">
        <v>0</v>
      </c>
      <c r="F603">
        <v>0</v>
      </c>
      <c r="G603">
        <v>0</v>
      </c>
      <c r="I603" t="s">
        <v>638</v>
      </c>
      <c r="J603" t="str">
        <f>HYPERLINK("http://pbs.twimg.com/media/EJPpHDRWsAYNkNa.jpg", "http://pbs.twimg.com/media/EJPpHDRWsAYNkNa.jpg")</f>
        <v>http://pbs.twimg.com/media/EJPpHDRWsAYNkNa.jpg</v>
      </c>
      <c r="N603">
        <v>0</v>
      </c>
      <c r="O603">
        <v>0</v>
      </c>
      <c r="P603">
        <v>1</v>
      </c>
      <c r="Q603">
        <v>0</v>
      </c>
    </row>
    <row r="604" spans="1:17" x14ac:dyDescent="0.2">
      <c r="A604" s="1" t="str">
        <f>HYPERLINK("http://www.twitter.com/Ugo_Roux/status/1194293196723019777", "1194293196723019777")</f>
        <v>1194293196723019777</v>
      </c>
      <c r="B604" t="s">
        <v>97</v>
      </c>
      <c r="C604" s="3">
        <v>43781.692835648151</v>
      </c>
      <c r="D604" s="5" t="s">
        <v>28</v>
      </c>
      <c r="E604">
        <v>0</v>
      </c>
      <c r="F604">
        <v>0</v>
      </c>
      <c r="G604">
        <v>0</v>
      </c>
      <c r="I604" t="s">
        <v>639</v>
      </c>
      <c r="J604" t="str">
        <f>HYPERLINK("http://pbs.twimg.com/media/EJL7VRGWkAEgOMW.jpg", "http://pbs.twimg.com/media/EJL7VRGWkAEgOMW.jpg")</f>
        <v>http://pbs.twimg.com/media/EJL7VRGWkAEgOMW.jpg</v>
      </c>
      <c r="N604">
        <v>0</v>
      </c>
      <c r="O604">
        <v>0</v>
      </c>
      <c r="P604">
        <v>1</v>
      </c>
      <c r="Q604">
        <v>0</v>
      </c>
    </row>
    <row r="605" spans="1:17" x14ac:dyDescent="0.2">
      <c r="A605" s="1" t="str">
        <f>HYPERLINK("http://www.twitter.com/Ugo_Roux/status/1194191500755849216", "1194191500755849216")</f>
        <v>1194191500755849216</v>
      </c>
      <c r="B605" t="s">
        <v>414</v>
      </c>
      <c r="C605" s="3">
        <v>43781.412210648137</v>
      </c>
      <c r="D605" s="5" t="s">
        <v>41</v>
      </c>
      <c r="E605">
        <v>2</v>
      </c>
      <c r="F605">
        <v>0</v>
      </c>
      <c r="G605">
        <v>0</v>
      </c>
      <c r="I605" t="s">
        <v>640</v>
      </c>
      <c r="J605" t="str">
        <f>HYPERLINK("http://pbs.twimg.com/media/EJKepSLWkAA4j6U.jpg", "http://pbs.twimg.com/media/EJKepSLWkAA4j6U.jpg")</f>
        <v>http://pbs.twimg.com/media/EJKepSLWkAA4j6U.jpg</v>
      </c>
      <c r="K605" t="str">
        <f>HYPERLINK("http://pbs.twimg.com/media/EJKepSNWoAENefF.jpg", "http://pbs.twimg.com/media/EJKepSNWoAENefF.jpg")</f>
        <v>http://pbs.twimg.com/media/EJKepSNWoAENefF.jpg</v>
      </c>
      <c r="L605" t="str">
        <f>HYPERLINK("http://pbs.twimg.com/media/EJKepSOWoAALe2F.jpg", "http://pbs.twimg.com/media/EJKepSOWoAALe2F.jpg")</f>
        <v>http://pbs.twimg.com/media/EJKepSOWoAALe2F.jpg</v>
      </c>
      <c r="N605">
        <v>0</v>
      </c>
      <c r="O605">
        <v>0</v>
      </c>
      <c r="P605">
        <v>1</v>
      </c>
      <c r="Q605">
        <v>0</v>
      </c>
    </row>
    <row r="606" spans="1:17" x14ac:dyDescent="0.2">
      <c r="A606" s="1" t="str">
        <f>HYPERLINK("http://www.twitter.com/Ugo_Roux/status/1194163556113100801", "1194163556113100801")</f>
        <v>1194163556113100801</v>
      </c>
      <c r="B606" t="s">
        <v>285</v>
      </c>
      <c r="C606" s="3">
        <v>43781.335092592592</v>
      </c>
      <c r="D606" s="5" t="s">
        <v>28</v>
      </c>
      <c r="E606">
        <v>0</v>
      </c>
      <c r="F606">
        <v>1</v>
      </c>
      <c r="G606">
        <v>0</v>
      </c>
      <c r="I606" t="s">
        <v>641</v>
      </c>
      <c r="J606" t="str">
        <f>HYPERLINK("http://pbs.twimg.com/media/EJKFbGUXYAEI4Uw.jpg", "http://pbs.twimg.com/media/EJKFbGUXYAEI4Uw.jpg")</f>
        <v>http://pbs.twimg.com/media/EJKFbGUXYAEI4Uw.jpg</v>
      </c>
      <c r="N606">
        <v>0</v>
      </c>
      <c r="O606">
        <v>0</v>
      </c>
      <c r="P606">
        <v>1</v>
      </c>
      <c r="Q606">
        <v>0</v>
      </c>
    </row>
    <row r="607" spans="1:17" x14ac:dyDescent="0.2">
      <c r="A607" s="1" t="str">
        <f>HYPERLINK("http://www.twitter.com/Ugo_Roux/status/1194158723477966848", "1194158723477966848")</f>
        <v>1194158723477966848</v>
      </c>
      <c r="B607" t="s">
        <v>285</v>
      </c>
      <c r="C607" s="3">
        <v>43781.321759259263</v>
      </c>
      <c r="D607" s="5" t="s">
        <v>17</v>
      </c>
      <c r="E607">
        <v>0</v>
      </c>
      <c r="F607">
        <v>0</v>
      </c>
      <c r="G607">
        <v>0</v>
      </c>
      <c r="I607" t="s">
        <v>642</v>
      </c>
      <c r="N607">
        <v>0</v>
      </c>
      <c r="O607">
        <v>0</v>
      </c>
      <c r="P607">
        <v>1</v>
      </c>
      <c r="Q607">
        <v>0</v>
      </c>
    </row>
    <row r="608" spans="1:17" x14ac:dyDescent="0.2">
      <c r="A608" s="1" t="str">
        <f>HYPERLINK("http://www.twitter.com/Ugo_Roux/status/1193900718958301184", "1193900718958301184")</f>
        <v>1193900718958301184</v>
      </c>
      <c r="B608" t="s">
        <v>142</v>
      </c>
      <c r="C608" s="3">
        <v>43780.609803240739</v>
      </c>
      <c r="D608" s="5" t="s">
        <v>17</v>
      </c>
      <c r="E608">
        <v>0</v>
      </c>
      <c r="F608">
        <v>3</v>
      </c>
      <c r="G608">
        <v>0</v>
      </c>
      <c r="I608" t="s">
        <v>643</v>
      </c>
      <c r="J608" t="str">
        <f>HYPERLINK("http://pbs.twimg.com/media/EJGWX0BXYAAeyRk.jpg", "http://pbs.twimg.com/media/EJGWX0BXYAAeyRk.jpg")</f>
        <v>http://pbs.twimg.com/media/EJGWX0BXYAAeyRk.jpg</v>
      </c>
      <c r="N608">
        <v>0</v>
      </c>
      <c r="O608">
        <v>0</v>
      </c>
      <c r="P608">
        <v>1</v>
      </c>
      <c r="Q608">
        <v>0</v>
      </c>
    </row>
    <row r="609" spans="1:17" x14ac:dyDescent="0.2">
      <c r="A609" s="1" t="str">
        <f>HYPERLINK("http://www.twitter.com/Ugo_Roux/status/1193102509495197697", "1193102509495197697")</f>
        <v>1193102509495197697</v>
      </c>
      <c r="B609" t="s">
        <v>476</v>
      </c>
      <c r="C609" s="3">
        <v>43778.407164351847</v>
      </c>
      <c r="D609" s="3" t="s">
        <v>28</v>
      </c>
      <c r="E609">
        <v>1</v>
      </c>
      <c r="F609">
        <v>0</v>
      </c>
      <c r="G609">
        <v>0</v>
      </c>
      <c r="I609" t="s">
        <v>644</v>
      </c>
      <c r="J609" t="str">
        <f>HYPERLINK("http://pbs.twimg.com/media/EI7AXIzXkAArNSk.jpg", "http://pbs.twimg.com/media/EI7AXIzXkAArNSk.jpg")</f>
        <v>http://pbs.twimg.com/media/EI7AXIzXkAArNSk.jpg</v>
      </c>
      <c r="N609">
        <v>0.2263</v>
      </c>
      <c r="O609">
        <v>0</v>
      </c>
      <c r="P609">
        <v>0.95</v>
      </c>
      <c r="Q609">
        <v>0.05</v>
      </c>
    </row>
    <row r="610" spans="1:17" x14ac:dyDescent="0.2">
      <c r="A610" s="1" t="str">
        <f>HYPERLINK("http://www.twitter.com/Ugo_Roux/status/1193100881115439104", "1193100881115439104")</f>
        <v>1193100881115439104</v>
      </c>
      <c r="B610" t="s">
        <v>476</v>
      </c>
      <c r="C610" s="3">
        <v>43778.402673611112</v>
      </c>
      <c r="D610" s="5" t="s">
        <v>28</v>
      </c>
      <c r="E610">
        <v>1</v>
      </c>
      <c r="F610">
        <v>0</v>
      </c>
      <c r="G610">
        <v>0</v>
      </c>
      <c r="I610" t="s">
        <v>645</v>
      </c>
      <c r="J610" t="str">
        <f>HYPERLINK("http://pbs.twimg.com/media/EI6-7NtXkAE12Ys.jpg", "http://pbs.twimg.com/media/EI6-7NtXkAE12Ys.jpg")</f>
        <v>http://pbs.twimg.com/media/EI6-7NtXkAE12Ys.jpg</v>
      </c>
      <c r="N610">
        <v>0</v>
      </c>
      <c r="O610">
        <v>0</v>
      </c>
      <c r="P610">
        <v>1</v>
      </c>
      <c r="Q610">
        <v>0</v>
      </c>
    </row>
    <row r="611" spans="1:17" x14ac:dyDescent="0.2">
      <c r="A611" s="1" t="str">
        <f>HYPERLINK("http://www.twitter.com/Ugo_Roux/status/1192707478531792897", "1192707478531792897")</f>
        <v>1192707478531792897</v>
      </c>
      <c r="B611" t="s">
        <v>414</v>
      </c>
      <c r="C611" s="3">
        <v>43777.317083333342</v>
      </c>
      <c r="D611" s="5" t="s">
        <v>28</v>
      </c>
      <c r="E611">
        <v>3</v>
      </c>
      <c r="F611">
        <v>0</v>
      </c>
      <c r="G611">
        <v>0</v>
      </c>
      <c r="I611" t="s">
        <v>646</v>
      </c>
      <c r="J611" t="str">
        <f>HYPERLINK("http://pbs.twimg.com/media/EI1ZHu9XUAAnXzs.jpg", "http://pbs.twimg.com/media/EI1ZHu9XUAAnXzs.jpg")</f>
        <v>http://pbs.twimg.com/media/EI1ZHu9XUAAnXzs.jpg</v>
      </c>
      <c r="N611">
        <v>0</v>
      </c>
      <c r="O611">
        <v>0</v>
      </c>
      <c r="P611">
        <v>1</v>
      </c>
      <c r="Q611">
        <v>0</v>
      </c>
    </row>
    <row r="612" spans="1:17" x14ac:dyDescent="0.2">
      <c r="A612" s="1" t="str">
        <f>HYPERLINK("http://www.twitter.com/Ugo_Roux/status/1192148765785907201", "1192148765785907201")</f>
        <v>1192148765785907201</v>
      </c>
      <c r="B612" t="s">
        <v>142</v>
      </c>
      <c r="C612" s="3">
        <v>43775.775335648148</v>
      </c>
      <c r="D612" s="5" t="s">
        <v>17</v>
      </c>
      <c r="E612">
        <v>0</v>
      </c>
      <c r="F612">
        <v>1</v>
      </c>
      <c r="G612">
        <v>0</v>
      </c>
      <c r="I612" t="s">
        <v>647</v>
      </c>
      <c r="J612" t="str">
        <f>HYPERLINK("http://pbs.twimg.com/media/EItc-f3WwAA3Mj2.jpg", "http://pbs.twimg.com/media/EItc-f3WwAA3Mj2.jpg")</f>
        <v>http://pbs.twimg.com/media/EItc-f3WwAA3Mj2.jpg</v>
      </c>
      <c r="N612">
        <v>0.4753</v>
      </c>
      <c r="O612">
        <v>0</v>
      </c>
      <c r="P612">
        <v>0.91900000000000004</v>
      </c>
      <c r="Q612">
        <v>8.1000000000000003E-2</v>
      </c>
    </row>
    <row r="613" spans="1:17" x14ac:dyDescent="0.2">
      <c r="A613" s="1" t="str">
        <f>HYPERLINK("http://www.twitter.com/Ugo_Roux/status/1192100277597409281", "1192100277597409281")</f>
        <v>1192100277597409281</v>
      </c>
      <c r="B613" t="s">
        <v>425</v>
      </c>
      <c r="C613" s="3">
        <v>43775.641527777778</v>
      </c>
      <c r="D613" s="5" t="s">
        <v>28</v>
      </c>
      <c r="E613">
        <v>0</v>
      </c>
      <c r="F613">
        <v>0</v>
      </c>
      <c r="G613">
        <v>0</v>
      </c>
      <c r="I613" t="s">
        <v>648</v>
      </c>
      <c r="J613" t="str">
        <f>HYPERLINK("http://pbs.twimg.com/media/EIsw4biWwAInkaW.jpg", "http://pbs.twimg.com/media/EIsw4biWwAInkaW.jpg")</f>
        <v>http://pbs.twimg.com/media/EIsw4biWwAInkaW.jpg</v>
      </c>
      <c r="N613">
        <v>0</v>
      </c>
      <c r="O613">
        <v>0</v>
      </c>
      <c r="P613">
        <v>1</v>
      </c>
      <c r="Q613">
        <v>0</v>
      </c>
    </row>
    <row r="614" spans="1:17" x14ac:dyDescent="0.2">
      <c r="A614" s="1" t="str">
        <f>HYPERLINK("http://www.twitter.com/Ugo_Roux/status/1191986835297320960", "1191986835297320960")</f>
        <v>1191986835297320960</v>
      </c>
      <c r="B614" t="s">
        <v>285</v>
      </c>
      <c r="C614" s="3">
        <v>43775.32849537037</v>
      </c>
      <c r="D614" s="5" t="s">
        <v>17</v>
      </c>
      <c r="E614">
        <v>1</v>
      </c>
      <c r="F614">
        <v>0</v>
      </c>
      <c r="G614">
        <v>0</v>
      </c>
      <c r="I614" t="s">
        <v>649</v>
      </c>
      <c r="J614" t="str">
        <f>HYPERLINK("http://pbs.twimg.com/media/EIrJtN4XUAEHxDn.jpg", "http://pbs.twimg.com/media/EIrJtN4XUAEHxDn.jpg")</f>
        <v>http://pbs.twimg.com/media/EIrJtN4XUAEHxDn.jpg</v>
      </c>
      <c r="N614">
        <v>0</v>
      </c>
      <c r="O614">
        <v>0</v>
      </c>
      <c r="P614">
        <v>1</v>
      </c>
      <c r="Q614">
        <v>0</v>
      </c>
    </row>
    <row r="615" spans="1:17" x14ac:dyDescent="0.2">
      <c r="A615" s="1" t="str">
        <f>HYPERLINK("http://www.twitter.com/Ugo_Roux/status/1191736969019187206", "1191736969019187206")</f>
        <v>1191736969019187206</v>
      </c>
      <c r="B615" t="s">
        <v>476</v>
      </c>
      <c r="C615" s="3">
        <v>43774.638993055552</v>
      </c>
      <c r="D615" s="5" t="s">
        <v>28</v>
      </c>
      <c r="E615">
        <v>0</v>
      </c>
      <c r="F615">
        <v>0</v>
      </c>
      <c r="G615">
        <v>1</v>
      </c>
      <c r="I615" t="s">
        <v>650</v>
      </c>
      <c r="J615" t="str">
        <f>HYPERLINK("http://pbs.twimg.com/media/EInmb1DWoAcfGih.jpg", "http://pbs.twimg.com/media/EInmb1DWoAcfGih.jpg")</f>
        <v>http://pbs.twimg.com/media/EInmb1DWoAcfGih.jpg</v>
      </c>
      <c r="N615">
        <v>0.42149999999999999</v>
      </c>
      <c r="O615">
        <v>0</v>
      </c>
      <c r="P615">
        <v>0.88200000000000001</v>
      </c>
      <c r="Q615">
        <v>0.11799999999999999</v>
      </c>
    </row>
    <row r="616" spans="1:17" x14ac:dyDescent="0.2">
      <c r="A616" s="1" t="str">
        <f>HYPERLINK("http://www.twitter.com/Ugo_Roux/status/1191731557909848070", "1191731557909848070")</f>
        <v>1191731557909848070</v>
      </c>
      <c r="B616" t="s">
        <v>97</v>
      </c>
      <c r="C616" s="3">
        <v>43774.624062499999</v>
      </c>
      <c r="D616" s="5" t="s">
        <v>28</v>
      </c>
      <c r="E616">
        <v>1</v>
      </c>
      <c r="F616">
        <v>0</v>
      </c>
      <c r="G616">
        <v>0</v>
      </c>
      <c r="I616" t="s">
        <v>651</v>
      </c>
      <c r="J616" t="str">
        <f>HYPERLINK("http://pbs.twimg.com/media/EInhiQqXsAA8HVh.jpg", "http://pbs.twimg.com/media/EInhiQqXsAA8HVh.jpg")</f>
        <v>http://pbs.twimg.com/media/EInhiQqXsAA8HVh.jpg</v>
      </c>
      <c r="N616">
        <v>0</v>
      </c>
      <c r="O616">
        <v>0</v>
      </c>
      <c r="P616">
        <v>1</v>
      </c>
      <c r="Q616">
        <v>0</v>
      </c>
    </row>
    <row r="617" spans="1:17" x14ac:dyDescent="0.2">
      <c r="A617" s="1" t="str">
        <f>HYPERLINK("http://www.twitter.com/Ugo_Roux/status/1191703774701731840", "1191703774701731840")</f>
        <v>1191703774701731840</v>
      </c>
      <c r="B617" t="s">
        <v>414</v>
      </c>
      <c r="C617" s="3">
        <v>43774.547395833331</v>
      </c>
      <c r="D617" s="5" t="s">
        <v>28</v>
      </c>
      <c r="E617">
        <v>1</v>
      </c>
      <c r="F617">
        <v>0</v>
      </c>
      <c r="G617">
        <v>0</v>
      </c>
      <c r="I617" t="s">
        <v>652</v>
      </c>
      <c r="J617" t="str">
        <f>HYPERLINK("http://pbs.twimg.com/media/EInIQipXkAIupJY.jpg", "http://pbs.twimg.com/media/EInIQipXkAIupJY.jpg")</f>
        <v>http://pbs.twimg.com/media/EInIQipXkAIupJY.jpg</v>
      </c>
      <c r="N617">
        <v>0</v>
      </c>
      <c r="O617">
        <v>0</v>
      </c>
      <c r="P617">
        <v>1</v>
      </c>
      <c r="Q617">
        <v>0</v>
      </c>
    </row>
    <row r="618" spans="1:17" x14ac:dyDescent="0.2">
      <c r="A618" s="1" t="str">
        <f>HYPERLINK("http://www.twitter.com/Ugo_Roux/status/1191702621243019264", "1191702621243019264")</f>
        <v>1191702621243019264</v>
      </c>
      <c r="B618" t="s">
        <v>285</v>
      </c>
      <c r="C618" s="3">
        <v>43774.544212962966</v>
      </c>
      <c r="D618" s="5" t="s">
        <v>28</v>
      </c>
      <c r="E618">
        <v>0</v>
      </c>
      <c r="F618">
        <v>0</v>
      </c>
      <c r="G618">
        <v>0</v>
      </c>
      <c r="I618" t="s">
        <v>653</v>
      </c>
      <c r="J618" t="str">
        <f>HYPERLINK("http://pbs.twimg.com/media/EInHNyBXYAAGenq.png", "http://pbs.twimg.com/media/EInHNyBXYAAGenq.png")</f>
        <v>http://pbs.twimg.com/media/EInHNyBXYAAGenq.png</v>
      </c>
      <c r="N618">
        <v>0</v>
      </c>
      <c r="O618">
        <v>0</v>
      </c>
      <c r="P618">
        <v>1</v>
      </c>
      <c r="Q618">
        <v>0</v>
      </c>
    </row>
    <row r="619" spans="1:17" x14ac:dyDescent="0.2">
      <c r="A619" s="1" t="str">
        <f>HYPERLINK("http://www.twitter.com/Ugo_Roux/status/1191700452359970816", "1191700452359970816")</f>
        <v>1191700452359970816</v>
      </c>
      <c r="B619" t="s">
        <v>370</v>
      </c>
      <c r="C619" s="3">
        <v>43774.538229166668</v>
      </c>
      <c r="D619" s="5" t="s">
        <v>28</v>
      </c>
      <c r="E619">
        <v>0</v>
      </c>
      <c r="F619">
        <v>0</v>
      </c>
      <c r="G619">
        <v>0</v>
      </c>
      <c r="I619" t="s">
        <v>654</v>
      </c>
      <c r="J619" t="str">
        <f>HYPERLINK("http://pbs.twimg.com/media/EInFPsRW4AIdbn-.jpg", "http://pbs.twimg.com/media/EInFPsRW4AIdbn-.jpg")</f>
        <v>http://pbs.twimg.com/media/EInFPsRW4AIdbn-.jpg</v>
      </c>
      <c r="N619">
        <v>0</v>
      </c>
      <c r="O619">
        <v>0</v>
      </c>
      <c r="P619">
        <v>1</v>
      </c>
      <c r="Q619">
        <v>0</v>
      </c>
    </row>
    <row r="620" spans="1:17" x14ac:dyDescent="0.2">
      <c r="A620" s="1" t="str">
        <f>HYPERLINK("http://www.twitter.com/Ugo_Roux/status/1191700369903996929", "1191700369903996929")</f>
        <v>1191700369903996929</v>
      </c>
      <c r="B620" t="s">
        <v>370</v>
      </c>
      <c r="C620" s="3">
        <v>43774.537997685176</v>
      </c>
      <c r="D620" s="5" t="s">
        <v>28</v>
      </c>
      <c r="E620">
        <v>0</v>
      </c>
      <c r="F620">
        <v>0</v>
      </c>
      <c r="G620">
        <v>0</v>
      </c>
      <c r="I620" t="s">
        <v>655</v>
      </c>
      <c r="J620" t="str">
        <f>HYPERLINK("http://pbs.twimg.com/media/EInFK6OUEAA-wht.jpg", "http://pbs.twimg.com/media/EInFK6OUEAA-wht.jpg")</f>
        <v>http://pbs.twimg.com/media/EInFK6OUEAA-wht.jpg</v>
      </c>
      <c r="N620">
        <v>0</v>
      </c>
      <c r="O620">
        <v>0</v>
      </c>
      <c r="P620">
        <v>1</v>
      </c>
      <c r="Q620">
        <v>0</v>
      </c>
    </row>
    <row r="621" spans="1:17" x14ac:dyDescent="0.2">
      <c r="A621" s="1" t="str">
        <f>HYPERLINK("http://www.twitter.com/Ugo_Roux/status/1191295546151051265", "1191295546151051265")</f>
        <v>1191295546151051265</v>
      </c>
      <c r="B621" t="s">
        <v>142</v>
      </c>
      <c r="C621" s="3">
        <v>43773.420902777783</v>
      </c>
      <c r="D621" s="5" t="s">
        <v>17</v>
      </c>
      <c r="E621">
        <v>2</v>
      </c>
      <c r="F621">
        <v>1</v>
      </c>
      <c r="G621">
        <v>0</v>
      </c>
      <c r="I621" t="s">
        <v>656</v>
      </c>
      <c r="N621">
        <v>0</v>
      </c>
      <c r="O621">
        <v>0</v>
      </c>
      <c r="P621">
        <v>1</v>
      </c>
      <c r="Q621">
        <v>0</v>
      </c>
    </row>
    <row r="622" spans="1:17" x14ac:dyDescent="0.2">
      <c r="A622" s="1" t="str">
        <f>HYPERLINK("http://www.twitter.com/Ugo_Roux/status/1190197242654683137", "1190197242654683137")</f>
        <v>1190197242654683137</v>
      </c>
      <c r="B622" t="s">
        <v>476</v>
      </c>
      <c r="C622" s="3">
        <v>43770.390162037038</v>
      </c>
      <c r="D622" s="5" t="s">
        <v>28</v>
      </c>
      <c r="E622">
        <v>1</v>
      </c>
      <c r="F622">
        <v>0</v>
      </c>
      <c r="G622">
        <v>0</v>
      </c>
      <c r="I622" t="s">
        <v>657</v>
      </c>
      <c r="J622" t="str">
        <f>HYPERLINK("http://pbs.twimg.com/media/EIRuFFaWoAAs0Qm.jpg", "http://pbs.twimg.com/media/EIRuFFaWoAAs0Qm.jpg")</f>
        <v>http://pbs.twimg.com/media/EIRuFFaWoAAs0Qm.jpg</v>
      </c>
      <c r="N622">
        <v>0</v>
      </c>
      <c r="O622">
        <v>0</v>
      </c>
      <c r="P622">
        <v>1</v>
      </c>
      <c r="Q622">
        <v>0</v>
      </c>
    </row>
    <row r="623" spans="1:17" x14ac:dyDescent="0.2">
      <c r="A623" s="1" t="str">
        <f>HYPERLINK("http://www.twitter.com/Ugo_Roux/status/1189930287179935744", "1189930287179935744")</f>
        <v>1189930287179935744</v>
      </c>
      <c r="B623" t="s">
        <v>425</v>
      </c>
      <c r="C623" s="3">
        <v>43769.653495370367</v>
      </c>
      <c r="D623" s="5" t="s">
        <v>41</v>
      </c>
      <c r="E623">
        <v>0</v>
      </c>
      <c r="F623">
        <v>0</v>
      </c>
      <c r="G623">
        <v>0</v>
      </c>
      <c r="I623" t="s">
        <v>658</v>
      </c>
      <c r="J623" t="str">
        <f>HYPERLINK("http://pbs.twimg.com/media/EIN7SZOXYAEmc9w.jpg", "http://pbs.twimg.com/media/EIN7SZOXYAEmc9w.jpg")</f>
        <v>http://pbs.twimg.com/media/EIN7SZOXYAEmc9w.jpg</v>
      </c>
      <c r="K623" t="str">
        <f>HYPERLINK("http://pbs.twimg.com/media/EIN7SZOX0AAohJH.jpg", "http://pbs.twimg.com/media/EIN7SZOX0AAohJH.jpg")</f>
        <v>http://pbs.twimg.com/media/EIN7SZOX0AAohJH.jpg</v>
      </c>
      <c r="L623" t="str">
        <f>HYPERLINK("http://pbs.twimg.com/media/EIN7SZVWwAEyn6Q.jpg", "http://pbs.twimg.com/media/EIN7SZVWwAEyn6Q.jpg")</f>
        <v>http://pbs.twimg.com/media/EIN7SZVWwAEyn6Q.jpg</v>
      </c>
      <c r="M623" t="str">
        <f>HYPERLINK("http://pbs.twimg.com/media/EIN7SZOXsAAbV_T.jpg", "http://pbs.twimg.com/media/EIN7SZOXsAAbV_T.jpg")</f>
        <v>http://pbs.twimg.com/media/EIN7SZOXsAAbV_T.jpg</v>
      </c>
      <c r="N623">
        <v>0</v>
      </c>
      <c r="O623">
        <v>0</v>
      </c>
      <c r="P623">
        <v>1</v>
      </c>
      <c r="Q623">
        <v>0</v>
      </c>
    </row>
    <row r="624" spans="1:17" x14ac:dyDescent="0.2">
      <c r="A624" s="1" t="str">
        <f>HYPERLINK("http://www.twitter.com/Ugo_Roux/status/1189917083603283974", "1189917083603283974")</f>
        <v>1189917083603283974</v>
      </c>
      <c r="B624" t="s">
        <v>130</v>
      </c>
      <c r="C624" s="3">
        <v>43769.617060185177</v>
      </c>
      <c r="D624" s="5" t="s">
        <v>28</v>
      </c>
      <c r="E624">
        <v>0</v>
      </c>
      <c r="F624">
        <v>0</v>
      </c>
      <c r="G624">
        <v>0</v>
      </c>
      <c r="I624" t="s">
        <v>659</v>
      </c>
      <c r="J624" t="str">
        <f>HYPERLINK("http://pbs.twimg.com/media/EINvP_qXsAAfvFA.jpg", "http://pbs.twimg.com/media/EINvP_qXsAAfvFA.jpg")</f>
        <v>http://pbs.twimg.com/media/EINvP_qXsAAfvFA.jpg</v>
      </c>
      <c r="N624">
        <v>0</v>
      </c>
      <c r="O624">
        <v>0</v>
      </c>
      <c r="P624">
        <v>1</v>
      </c>
      <c r="Q624">
        <v>0</v>
      </c>
    </row>
    <row r="625" spans="1:17" x14ac:dyDescent="0.2">
      <c r="A625" s="1" t="str">
        <f>HYPERLINK("http://www.twitter.com/Ugo_Roux/status/1189864844620681216", "1189864844620681216")</f>
        <v>1189864844620681216</v>
      </c>
      <c r="B625" t="s">
        <v>47</v>
      </c>
      <c r="C625" s="3">
        <v>43769.472916666673</v>
      </c>
      <c r="D625" s="5" t="s">
        <v>24</v>
      </c>
      <c r="E625">
        <v>0</v>
      </c>
      <c r="F625">
        <v>0</v>
      </c>
      <c r="G625">
        <v>0</v>
      </c>
      <c r="I625" t="s">
        <v>660</v>
      </c>
      <c r="N625">
        <v>0</v>
      </c>
      <c r="O625">
        <v>0</v>
      </c>
      <c r="P625">
        <v>1</v>
      </c>
      <c r="Q625">
        <v>0</v>
      </c>
    </row>
    <row r="626" spans="1:17" x14ac:dyDescent="0.2">
      <c r="A626" s="1" t="str">
        <f>HYPERLINK("http://www.twitter.com/Ugo_Roux/status/1189542275140988928", "1189542275140988928")</f>
        <v>1189542275140988928</v>
      </c>
      <c r="B626" t="s">
        <v>142</v>
      </c>
      <c r="C626" s="3">
        <v>43768.582789351851</v>
      </c>
      <c r="D626" s="5" t="s">
        <v>17</v>
      </c>
      <c r="E626">
        <v>0</v>
      </c>
      <c r="F626">
        <v>1</v>
      </c>
      <c r="G626">
        <v>0</v>
      </c>
      <c r="I626" t="s">
        <v>661</v>
      </c>
      <c r="J626" t="str">
        <f>HYPERLINK("http://pbs.twimg.com/media/EIIaY8nXUAAKtnt.jpg", "http://pbs.twimg.com/media/EIIaY8nXUAAKtnt.jpg")</f>
        <v>http://pbs.twimg.com/media/EIIaY8nXUAAKtnt.jpg</v>
      </c>
      <c r="N626">
        <v>-0.2263</v>
      </c>
      <c r="O626">
        <v>5.2999999999999999E-2</v>
      </c>
      <c r="P626">
        <v>0.94699999999999995</v>
      </c>
      <c r="Q626">
        <v>0</v>
      </c>
    </row>
    <row r="627" spans="1:17" x14ac:dyDescent="0.2">
      <c r="A627" s="1" t="str">
        <f>HYPERLINK("http://www.twitter.com/Ugo_Roux/status/1188776422766080000", "1188776422766080000")</f>
        <v>1188776422766080000</v>
      </c>
      <c r="B627" t="s">
        <v>47</v>
      </c>
      <c r="C627" s="3">
        <v>43766.469444444447</v>
      </c>
      <c r="D627" s="5" t="s">
        <v>24</v>
      </c>
      <c r="E627">
        <v>4</v>
      </c>
      <c r="F627">
        <v>0</v>
      </c>
      <c r="G627">
        <v>0</v>
      </c>
      <c r="I627" t="s">
        <v>662</v>
      </c>
      <c r="N627">
        <v>0</v>
      </c>
      <c r="O627">
        <v>0</v>
      </c>
      <c r="P627">
        <v>1</v>
      </c>
      <c r="Q627">
        <v>0</v>
      </c>
    </row>
    <row r="628" spans="1:17" x14ac:dyDescent="0.2">
      <c r="A628" s="1" t="str">
        <f>HYPERLINK("http://www.twitter.com/Ugo_Roux/status/1187699829503381504", "1187699829503381504")</f>
        <v>1187699829503381504</v>
      </c>
      <c r="B628" t="s">
        <v>370</v>
      </c>
      <c r="C628" s="3">
        <v>43763.498611111107</v>
      </c>
      <c r="D628" s="5" t="s">
        <v>28</v>
      </c>
      <c r="E628">
        <v>0</v>
      </c>
      <c r="F628">
        <v>0</v>
      </c>
      <c r="G628">
        <v>0</v>
      </c>
      <c r="I628" t="s">
        <v>663</v>
      </c>
      <c r="J628" t="str">
        <f>HYPERLINK("http://pbs.twimg.com/media/EHuOsyQWsAASupa.jpg", "http://pbs.twimg.com/media/EHuOsyQWsAASupa.jpg")</f>
        <v>http://pbs.twimg.com/media/EHuOsyQWsAASupa.jpg</v>
      </c>
      <c r="N628">
        <v>0</v>
      </c>
      <c r="O628">
        <v>0</v>
      </c>
      <c r="P628">
        <v>1</v>
      </c>
      <c r="Q628">
        <v>0</v>
      </c>
    </row>
    <row r="629" spans="1:17" x14ac:dyDescent="0.2">
      <c r="A629" s="1" t="str">
        <f>HYPERLINK("http://www.twitter.com/Ugo_Roux/status/1187698281595338752", "1187698281595338752")</f>
        <v>1187698281595338752</v>
      </c>
      <c r="B629" t="s">
        <v>370</v>
      </c>
      <c r="C629" s="3">
        <v>43763.494340277779</v>
      </c>
      <c r="D629" s="5" t="s">
        <v>28</v>
      </c>
      <c r="E629">
        <v>0</v>
      </c>
      <c r="F629">
        <v>0</v>
      </c>
      <c r="G629">
        <v>0</v>
      </c>
      <c r="I629" t="s">
        <v>664</v>
      </c>
      <c r="J629" t="str">
        <f>HYPERLINK("http://pbs.twimg.com/media/EHuNSsNUcAAG_ld.jpg", "http://pbs.twimg.com/media/EHuNSsNUcAAG_ld.jpg")</f>
        <v>http://pbs.twimg.com/media/EHuNSsNUcAAG_ld.jpg</v>
      </c>
      <c r="N629">
        <v>0</v>
      </c>
      <c r="O629">
        <v>0</v>
      </c>
      <c r="P629">
        <v>1</v>
      </c>
      <c r="Q629">
        <v>0</v>
      </c>
    </row>
    <row r="630" spans="1:17" x14ac:dyDescent="0.2">
      <c r="A630" s="1" t="str">
        <f>HYPERLINK("http://www.twitter.com/Ugo_Roux/status/1187647379442454528", "1187647379442454528")</f>
        <v>1187647379442454528</v>
      </c>
      <c r="B630" t="s">
        <v>285</v>
      </c>
      <c r="C630" s="3">
        <v>43763.353877314818</v>
      </c>
      <c r="D630" s="3" t="s">
        <v>28</v>
      </c>
      <c r="E630">
        <v>1</v>
      </c>
      <c r="F630">
        <v>0</v>
      </c>
      <c r="G630">
        <v>0</v>
      </c>
      <c r="I630" t="s">
        <v>665</v>
      </c>
      <c r="J630" t="str">
        <f>HYPERLINK("http://pbs.twimg.com/media/EHte_iGX4AIgP5G.jpg", "http://pbs.twimg.com/media/EHte_iGX4AIgP5G.jpg")</f>
        <v>http://pbs.twimg.com/media/EHte_iGX4AIgP5G.jpg</v>
      </c>
      <c r="N630">
        <v>0</v>
      </c>
      <c r="O630">
        <v>0</v>
      </c>
      <c r="P630">
        <v>1</v>
      </c>
      <c r="Q630">
        <v>0</v>
      </c>
    </row>
    <row r="631" spans="1:17" x14ac:dyDescent="0.2">
      <c r="A631" s="1" t="str">
        <f>HYPERLINK("http://www.twitter.com/Ugo_Roux/status/1187010899762122752", "1187010899762122752")</f>
        <v>1187010899762122752</v>
      </c>
      <c r="B631" t="s">
        <v>130</v>
      </c>
      <c r="C631" s="3">
        <v>43761.59752314815</v>
      </c>
      <c r="D631" s="5" t="s">
        <v>28</v>
      </c>
      <c r="E631">
        <v>0</v>
      </c>
      <c r="F631">
        <v>1</v>
      </c>
      <c r="G631">
        <v>0</v>
      </c>
      <c r="I631" t="s">
        <v>666</v>
      </c>
      <c r="J631" t="str">
        <f>HYPERLINK("http://pbs.twimg.com/media/EHkcF4cWwAEcRPa.jpg", "http://pbs.twimg.com/media/EHkcF4cWwAEcRPa.jpg")</f>
        <v>http://pbs.twimg.com/media/EHkcF4cWwAEcRPa.jpg</v>
      </c>
      <c r="N631">
        <v>0</v>
      </c>
      <c r="O631">
        <v>0</v>
      </c>
      <c r="P631">
        <v>1</v>
      </c>
      <c r="Q631">
        <v>0</v>
      </c>
    </row>
    <row r="632" spans="1:17" x14ac:dyDescent="0.2">
      <c r="A632" s="1" t="str">
        <f>HYPERLINK("http://www.twitter.com/Ugo_Roux/status/1186628051670634499", "1186628051670634499")</f>
        <v>1186628051670634499</v>
      </c>
      <c r="B632" t="s">
        <v>414</v>
      </c>
      <c r="C632" s="3">
        <v>43760.541064814817</v>
      </c>
      <c r="D632" s="5" t="s">
        <v>28</v>
      </c>
      <c r="E632">
        <v>1</v>
      </c>
      <c r="F632">
        <v>0</v>
      </c>
      <c r="G632">
        <v>0</v>
      </c>
      <c r="I632" t="s">
        <v>667</v>
      </c>
      <c r="J632" t="str">
        <f>HYPERLINK("http://pbs.twimg.com/media/EHe_4vXWsAUfLNs.jpg", "http://pbs.twimg.com/media/EHe_4vXWsAUfLNs.jpg")</f>
        <v>http://pbs.twimg.com/media/EHe_4vXWsAUfLNs.jpg</v>
      </c>
      <c r="N632">
        <v>-0.33479999999999999</v>
      </c>
      <c r="O632">
        <v>7.2999999999999995E-2</v>
      </c>
      <c r="P632">
        <v>0.92700000000000005</v>
      </c>
      <c r="Q632">
        <v>0</v>
      </c>
    </row>
    <row r="633" spans="1:17" x14ac:dyDescent="0.2">
      <c r="A633" s="1" t="str">
        <f>HYPERLINK("http://www.twitter.com/Ugo_Roux/status/1186627227573719040", "1186627227573719040")</f>
        <v>1186627227573719040</v>
      </c>
      <c r="B633" t="s">
        <v>97</v>
      </c>
      <c r="C633" s="3">
        <v>43760.5387962963</v>
      </c>
      <c r="D633" s="5" t="s">
        <v>24</v>
      </c>
      <c r="E633">
        <v>0</v>
      </c>
      <c r="F633">
        <v>0</v>
      </c>
      <c r="G633">
        <v>0</v>
      </c>
      <c r="I633" t="s">
        <v>668</v>
      </c>
      <c r="N633">
        <v>0</v>
      </c>
      <c r="O633">
        <v>0</v>
      </c>
      <c r="P633">
        <v>1</v>
      </c>
      <c r="Q633">
        <v>0</v>
      </c>
    </row>
    <row r="634" spans="1:17" x14ac:dyDescent="0.2">
      <c r="A634" s="1" t="str">
        <f>HYPERLINK("http://www.twitter.com/Ugo_Roux/status/1186618648443666432", "1186618648443666432")</f>
        <v>1186618648443666432</v>
      </c>
      <c r="B634" t="s">
        <v>285</v>
      </c>
      <c r="C634" s="3">
        <v>43760.515115740738</v>
      </c>
      <c r="D634" s="5" t="s">
        <v>28</v>
      </c>
      <c r="E634">
        <v>0</v>
      </c>
      <c r="F634">
        <v>0</v>
      </c>
      <c r="G634">
        <v>0</v>
      </c>
      <c r="I634" t="s">
        <v>669</v>
      </c>
      <c r="J634" t="str">
        <f>HYPERLINK("http://pbs.twimg.com/media/EHe3XR4W4AE4yX5.jpg", "http://pbs.twimg.com/media/EHe3XR4W4AE4yX5.jpg")</f>
        <v>http://pbs.twimg.com/media/EHe3XR4W4AE4yX5.jpg</v>
      </c>
      <c r="N634">
        <v>0</v>
      </c>
      <c r="O634">
        <v>0</v>
      </c>
      <c r="P634">
        <v>1</v>
      </c>
      <c r="Q634">
        <v>0</v>
      </c>
    </row>
    <row r="635" spans="1:17" x14ac:dyDescent="0.2">
      <c r="A635" s="1" t="str">
        <f>HYPERLINK("http://www.twitter.com/Ugo_Roux/status/1186609968230916099", "1186609968230916099")</f>
        <v>1186609968230916099</v>
      </c>
      <c r="B635" t="s">
        <v>285</v>
      </c>
      <c r="C635" s="3">
        <v>43760.491168981483</v>
      </c>
      <c r="D635" s="5" t="s">
        <v>17</v>
      </c>
      <c r="E635">
        <v>0</v>
      </c>
      <c r="F635">
        <v>0</v>
      </c>
      <c r="G635">
        <v>0</v>
      </c>
      <c r="I635" t="s">
        <v>670</v>
      </c>
      <c r="N635">
        <v>0</v>
      </c>
      <c r="O635">
        <v>0</v>
      </c>
      <c r="P635">
        <v>1</v>
      </c>
      <c r="Q635">
        <v>0</v>
      </c>
    </row>
    <row r="636" spans="1:17" x14ac:dyDescent="0.2">
      <c r="A636" s="1" t="str">
        <f>HYPERLINK("http://www.twitter.com/Ugo_Roux/status/1186592247099351040", "1186592247099351040")</f>
        <v>1186592247099351040</v>
      </c>
      <c r="B636" t="s">
        <v>16</v>
      </c>
      <c r="C636" s="3">
        <v>43760.44226851852</v>
      </c>
      <c r="D636" s="3" t="s">
        <v>28</v>
      </c>
      <c r="E636">
        <v>1</v>
      </c>
      <c r="F636">
        <v>0</v>
      </c>
      <c r="G636">
        <v>0</v>
      </c>
      <c r="I636" t="s">
        <v>671</v>
      </c>
      <c r="J636" t="str">
        <f>HYPERLINK("http://pbs.twimg.com/media/EHefWeUXkAEq2_f.jpg", "http://pbs.twimg.com/media/EHefWeUXkAEq2_f.jpg")</f>
        <v>http://pbs.twimg.com/media/EHefWeUXkAEq2_f.jpg</v>
      </c>
      <c r="N636">
        <v>0</v>
      </c>
      <c r="O636">
        <v>0</v>
      </c>
      <c r="P636">
        <v>1</v>
      </c>
      <c r="Q636">
        <v>0</v>
      </c>
    </row>
    <row r="637" spans="1:17" x14ac:dyDescent="0.2">
      <c r="A637" s="1" t="str">
        <f>HYPERLINK("http://www.twitter.com/Ugo_Roux/status/1186564447554412544", "1186564447554412544")</f>
        <v>1186564447554412544</v>
      </c>
      <c r="B637" t="s">
        <v>476</v>
      </c>
      <c r="C637" s="3">
        <v>43760.365555555552</v>
      </c>
      <c r="D637" s="5" t="s">
        <v>24</v>
      </c>
      <c r="E637">
        <v>0</v>
      </c>
      <c r="F637">
        <v>0</v>
      </c>
      <c r="G637">
        <v>0</v>
      </c>
      <c r="I637" t="s">
        <v>672</v>
      </c>
      <c r="J637" t="str">
        <f>HYPERLINK("http://pbs.twimg.com/media/EHeGD8-XYAEefir.jpg", "http://pbs.twimg.com/media/EHeGD8-XYAEefir.jpg")</f>
        <v>http://pbs.twimg.com/media/EHeGD8-XYAEefir.jpg</v>
      </c>
      <c r="K637" t="str">
        <f>HYPERLINK("http://pbs.twimg.com/media/EHeGD8QWkAADi70.jpg", "http://pbs.twimg.com/media/EHeGD8QWkAADi70.jpg")</f>
        <v>http://pbs.twimg.com/media/EHeGD8QWkAADi70.jpg</v>
      </c>
      <c r="L637" t="str">
        <f>HYPERLINK("http://pbs.twimg.com/media/EHeGD8XXUAAllUI.jpg", "http://pbs.twimg.com/media/EHeGD8XXUAAllUI.jpg")</f>
        <v>http://pbs.twimg.com/media/EHeGD8XXUAAllUI.jpg</v>
      </c>
      <c r="M637" t="str">
        <f>HYPERLINK("http://pbs.twimg.com/media/EHeGD8bXUAIUYsU.jpg", "http://pbs.twimg.com/media/EHeGD8bXUAIUYsU.jpg")</f>
        <v>http://pbs.twimg.com/media/EHeGD8bXUAIUYsU.jpg</v>
      </c>
      <c r="N637">
        <v>0</v>
      </c>
      <c r="O637">
        <v>0</v>
      </c>
      <c r="P637">
        <v>1</v>
      </c>
      <c r="Q637">
        <v>0</v>
      </c>
    </row>
    <row r="638" spans="1:17" x14ac:dyDescent="0.2">
      <c r="A638" s="1" t="str">
        <f>HYPERLINK("http://www.twitter.com/Ugo_Roux/status/1185949078196228104", "1185949078196228104")</f>
        <v>1185949078196228104</v>
      </c>
      <c r="B638" t="s">
        <v>97</v>
      </c>
      <c r="C638" s="3">
        <v>43758.667453703703</v>
      </c>
      <c r="D638" s="5" t="s">
        <v>41</v>
      </c>
      <c r="E638">
        <v>1</v>
      </c>
      <c r="F638">
        <v>0</v>
      </c>
      <c r="G638">
        <v>0</v>
      </c>
      <c r="I638" t="s">
        <v>673</v>
      </c>
      <c r="N638">
        <v>0</v>
      </c>
      <c r="O638">
        <v>0</v>
      </c>
      <c r="P638">
        <v>1</v>
      </c>
      <c r="Q638">
        <v>0</v>
      </c>
    </row>
    <row r="639" spans="1:17" x14ac:dyDescent="0.2">
      <c r="A639" s="1" t="str">
        <f>HYPERLINK("http://www.twitter.com/Ugo_Roux/status/1185561956201172995", "1185561956201172995")</f>
        <v>1185561956201172995</v>
      </c>
      <c r="B639" t="s">
        <v>425</v>
      </c>
      <c r="C639" s="3">
        <v>43757.59920138889</v>
      </c>
      <c r="D639" s="5" t="s">
        <v>41</v>
      </c>
      <c r="E639">
        <v>0</v>
      </c>
      <c r="F639">
        <v>0</v>
      </c>
      <c r="G639">
        <v>0</v>
      </c>
      <c r="I639" t="s">
        <v>674</v>
      </c>
      <c r="J639" t="str">
        <f>HYPERLINK("http://pbs.twimg.com/media/EHP2T7-WsAActbU.jpg", "http://pbs.twimg.com/media/EHP2T7-WsAActbU.jpg")</f>
        <v>http://pbs.twimg.com/media/EHP2T7-WsAActbU.jpg</v>
      </c>
      <c r="K639" t="str">
        <f>HYPERLINK("http://pbs.twimg.com/media/EHP2T8BWkAAB1RJ.jpg", "http://pbs.twimg.com/media/EHP2T8BWkAAB1RJ.jpg")</f>
        <v>http://pbs.twimg.com/media/EHP2T8BWkAAB1RJ.jpg</v>
      </c>
      <c r="L639" t="str">
        <f>HYPERLINK("http://pbs.twimg.com/media/EHP2T8PX0AAzaHw.jpg", "http://pbs.twimg.com/media/EHP2T8PX0AAzaHw.jpg")</f>
        <v>http://pbs.twimg.com/media/EHP2T8PX0AAzaHw.jpg</v>
      </c>
      <c r="N639">
        <v>0</v>
      </c>
      <c r="O639">
        <v>0</v>
      </c>
      <c r="P639">
        <v>1</v>
      </c>
      <c r="Q639">
        <v>0</v>
      </c>
    </row>
    <row r="640" spans="1:17" x14ac:dyDescent="0.2">
      <c r="A640" s="1" t="str">
        <f>HYPERLINK("http://www.twitter.com/Ugo_Roux/status/1185535034788319232", "1185535034788319232")</f>
        <v>1185535034788319232</v>
      </c>
      <c r="B640" t="s">
        <v>142</v>
      </c>
      <c r="C640" s="3">
        <v>43757.524918981479</v>
      </c>
      <c r="D640" s="5" t="s">
        <v>28</v>
      </c>
      <c r="E640">
        <v>13</v>
      </c>
      <c r="F640">
        <v>5</v>
      </c>
      <c r="G640">
        <v>1</v>
      </c>
      <c r="I640" t="s">
        <v>675</v>
      </c>
      <c r="J640" t="str">
        <f>HYPERLINK("http://pbs.twimg.com/media/EHPd0yAWwAAHgGA.jpg", "http://pbs.twimg.com/media/EHPd0yAWwAAHgGA.jpg")</f>
        <v>http://pbs.twimg.com/media/EHPd0yAWwAAHgGA.jpg</v>
      </c>
      <c r="K640" t="str">
        <f>HYPERLINK("http://pbs.twimg.com/media/EHPd0x4X0AMB0Ew.jpg", "http://pbs.twimg.com/media/EHPd0x4X0AMB0Ew.jpg")</f>
        <v>http://pbs.twimg.com/media/EHPd0x4X0AMB0Ew.jpg</v>
      </c>
      <c r="N640">
        <v>0</v>
      </c>
      <c r="O640">
        <v>0</v>
      </c>
      <c r="P640">
        <v>1</v>
      </c>
      <c r="Q640">
        <v>0</v>
      </c>
    </row>
    <row r="641" spans="1:17" x14ac:dyDescent="0.2">
      <c r="A641" s="1" t="str">
        <f>HYPERLINK("http://www.twitter.com/Ugo_Roux/status/1185238781387071488", "1185238781387071488")</f>
        <v>1185238781387071488</v>
      </c>
      <c r="B641" t="s">
        <v>142</v>
      </c>
      <c r="C641" s="3">
        <v>43756.707407407397</v>
      </c>
      <c r="D641" s="5" t="s">
        <v>625</v>
      </c>
      <c r="E641">
        <v>1</v>
      </c>
      <c r="F641">
        <v>2</v>
      </c>
      <c r="G641">
        <v>0</v>
      </c>
      <c r="I641" t="s">
        <v>676</v>
      </c>
      <c r="N641">
        <v>0</v>
      </c>
      <c r="O641">
        <v>0</v>
      </c>
      <c r="P641">
        <v>1</v>
      </c>
      <c r="Q641">
        <v>0</v>
      </c>
    </row>
    <row r="642" spans="1:17" x14ac:dyDescent="0.2">
      <c r="A642" s="1" t="str">
        <f>HYPERLINK("http://www.twitter.com/Ugo_Roux/status/1185207201314549763", "1185207201314549763")</f>
        <v>1185207201314549763</v>
      </c>
      <c r="B642" t="s">
        <v>425</v>
      </c>
      <c r="C642" s="3">
        <v>43756.620266203703</v>
      </c>
      <c r="D642" s="5" t="s">
        <v>28</v>
      </c>
      <c r="E642">
        <v>0</v>
      </c>
      <c r="F642">
        <v>0</v>
      </c>
      <c r="G642">
        <v>0</v>
      </c>
      <c r="I642" t="s">
        <v>677</v>
      </c>
      <c r="J642" t="str">
        <f>HYPERLINK("http://pbs.twimg.com/media/EHKzqmMX4AgMmdB.jpg", "http://pbs.twimg.com/media/EHKzqmMX4AgMmdB.jpg")</f>
        <v>http://pbs.twimg.com/media/EHKzqmMX4AgMmdB.jpg</v>
      </c>
      <c r="N642">
        <v>0.3382</v>
      </c>
      <c r="O642">
        <v>0</v>
      </c>
      <c r="P642">
        <v>0.93600000000000005</v>
      </c>
      <c r="Q642">
        <v>6.4000000000000001E-2</v>
      </c>
    </row>
    <row r="643" spans="1:17" x14ac:dyDescent="0.2">
      <c r="A643" s="1" t="str">
        <f>HYPERLINK("http://www.twitter.com/Ugo_Roux/status/1185186047958945796", "1185186047958945796")</f>
        <v>1185186047958945796</v>
      </c>
      <c r="B643" t="s">
        <v>142</v>
      </c>
      <c r="C643" s="3">
        <v>43756.561898148153</v>
      </c>
      <c r="D643" s="5" t="s">
        <v>17</v>
      </c>
      <c r="E643">
        <v>1</v>
      </c>
      <c r="F643">
        <v>1</v>
      </c>
      <c r="G643">
        <v>0</v>
      </c>
      <c r="I643" t="s">
        <v>678</v>
      </c>
      <c r="J643" t="str">
        <f>HYPERLINK("http://pbs.twimg.com/media/EHKgbWRX0AAg6Ic.jpg", "http://pbs.twimg.com/media/EHKgbWRX0AAg6Ic.jpg")</f>
        <v>http://pbs.twimg.com/media/EHKgbWRX0AAg6Ic.jpg</v>
      </c>
      <c r="N643">
        <v>0.20230000000000001</v>
      </c>
      <c r="O643">
        <v>0</v>
      </c>
      <c r="P643">
        <v>0.95499999999999996</v>
      </c>
      <c r="Q643">
        <v>4.4999999999999998E-2</v>
      </c>
    </row>
    <row r="644" spans="1:17" x14ac:dyDescent="0.2">
      <c r="A644" s="1" t="str">
        <f>HYPERLINK("http://www.twitter.com/Ugo_Roux/status/1185089462767882240", "1185089462767882240")</f>
        <v>1185089462767882240</v>
      </c>
      <c r="B644" t="s">
        <v>285</v>
      </c>
      <c r="C644" s="3">
        <v>43756.295370370368</v>
      </c>
      <c r="D644" s="5" t="s">
        <v>17</v>
      </c>
      <c r="E644">
        <v>5</v>
      </c>
      <c r="F644">
        <v>3</v>
      </c>
      <c r="G644">
        <v>0</v>
      </c>
      <c r="I644" t="s">
        <v>679</v>
      </c>
      <c r="J644" t="str">
        <f>HYPERLINK("http://pbs.twimg.com/media/EHJIk4MWsAEyylx.jpg", "http://pbs.twimg.com/media/EHJIk4MWsAEyylx.jpg")</f>
        <v>http://pbs.twimg.com/media/EHJIk4MWsAEyylx.jpg</v>
      </c>
      <c r="K644" t="str">
        <f>HYPERLINK("http://pbs.twimg.com/media/EHJIk36XUAAzIUX.jpg", "http://pbs.twimg.com/media/EHJIk36XUAAzIUX.jpg")</f>
        <v>http://pbs.twimg.com/media/EHJIk36XUAAzIUX.jpg</v>
      </c>
      <c r="N644">
        <v>0</v>
      </c>
      <c r="O644">
        <v>0</v>
      </c>
      <c r="P644">
        <v>1</v>
      </c>
      <c r="Q644">
        <v>0</v>
      </c>
    </row>
    <row r="645" spans="1:17" x14ac:dyDescent="0.2">
      <c r="A645" s="1" t="str">
        <f>HYPERLINK("http://www.twitter.com/Ugo_Roux/status/1184485549400305664", "1184485549400305664")</f>
        <v>1184485549400305664</v>
      </c>
      <c r="B645" t="s">
        <v>47</v>
      </c>
      <c r="C645" s="3">
        <v>43754.628888888888</v>
      </c>
      <c r="D645" s="5" t="s">
        <v>41</v>
      </c>
      <c r="E645">
        <v>0</v>
      </c>
      <c r="F645">
        <v>1</v>
      </c>
      <c r="G645">
        <v>0</v>
      </c>
      <c r="I645" t="s">
        <v>680</v>
      </c>
      <c r="J645" t="str">
        <f>HYPERLINK("http://pbs.twimg.com/media/EHAjU5aX0AAo3p2.jpg", "http://pbs.twimg.com/media/EHAjU5aX0AAo3p2.jpg")</f>
        <v>http://pbs.twimg.com/media/EHAjU5aX0AAo3p2.jpg</v>
      </c>
      <c r="N645">
        <v>0</v>
      </c>
      <c r="O645">
        <v>0</v>
      </c>
      <c r="P645">
        <v>1</v>
      </c>
      <c r="Q645">
        <v>0</v>
      </c>
    </row>
    <row r="646" spans="1:17" x14ac:dyDescent="0.2">
      <c r="A646" s="1" t="str">
        <f>HYPERLINK("http://www.twitter.com/Ugo_Roux/status/1184039927845130241", "1184039927845130241")</f>
        <v>1184039927845130241</v>
      </c>
      <c r="B646" t="s">
        <v>47</v>
      </c>
      <c r="C646" s="3">
        <v>43753.399201388893</v>
      </c>
      <c r="D646" s="5" t="s">
        <v>41</v>
      </c>
      <c r="E646">
        <v>3</v>
      </c>
      <c r="F646">
        <v>0</v>
      </c>
      <c r="G646">
        <v>0</v>
      </c>
      <c r="I646" t="s">
        <v>681</v>
      </c>
      <c r="J646" t="str">
        <f>HYPERLINK("http://pbs.twimg.com/media/EG6OCDoXUAA-ZJ3.jpg", "http://pbs.twimg.com/media/EG6OCDoXUAA-ZJ3.jpg")</f>
        <v>http://pbs.twimg.com/media/EG6OCDoXUAA-ZJ3.jpg</v>
      </c>
      <c r="K646" t="str">
        <f>HYPERLINK("http://pbs.twimg.com/media/EG6OCD0WsAEZyI7.jpg", "http://pbs.twimg.com/media/EG6OCD0WsAEZyI7.jpg")</f>
        <v>http://pbs.twimg.com/media/EG6OCD0WsAEZyI7.jpg</v>
      </c>
      <c r="L646" t="str">
        <f>HYPERLINK("http://pbs.twimg.com/media/EG6OCD6XkAAyYxC.jpg", "http://pbs.twimg.com/media/EG6OCD6XkAAyYxC.jpg")</f>
        <v>http://pbs.twimg.com/media/EG6OCD6XkAAyYxC.jpg</v>
      </c>
      <c r="M646" t="str">
        <f>HYPERLINK("http://pbs.twimg.com/media/EG6OCEGWwAsLtIB.jpg", "http://pbs.twimg.com/media/EG6OCEGWwAsLtIB.jpg")</f>
        <v>http://pbs.twimg.com/media/EG6OCEGWwAsLtIB.jpg</v>
      </c>
      <c r="N646">
        <v>0</v>
      </c>
      <c r="O646">
        <v>0</v>
      </c>
      <c r="P646">
        <v>1</v>
      </c>
      <c r="Q646">
        <v>0</v>
      </c>
    </row>
    <row r="647" spans="1:17" x14ac:dyDescent="0.2">
      <c r="A647" s="1" t="str">
        <f>HYPERLINK("http://www.twitter.com/Ugo_Roux/status/1183992715152936960", "1183992715152936960")</f>
        <v>1183992715152936960</v>
      </c>
      <c r="B647" t="s">
        <v>285</v>
      </c>
      <c r="C647" s="3">
        <v>43753.268923611111</v>
      </c>
      <c r="D647" s="5" t="s">
        <v>17</v>
      </c>
      <c r="E647">
        <v>3</v>
      </c>
      <c r="F647">
        <v>1</v>
      </c>
      <c r="G647">
        <v>0</v>
      </c>
      <c r="I647" t="s">
        <v>682</v>
      </c>
      <c r="J647" t="str">
        <f>HYPERLINK("http://pbs.twimg.com/media/EG5jGRWXkAE7L23.jpg", "http://pbs.twimg.com/media/EG5jGRWXkAE7L23.jpg")</f>
        <v>http://pbs.twimg.com/media/EG5jGRWXkAE7L23.jpg</v>
      </c>
      <c r="N647">
        <v>0</v>
      </c>
      <c r="O647">
        <v>0</v>
      </c>
      <c r="P647">
        <v>1</v>
      </c>
      <c r="Q647">
        <v>0</v>
      </c>
    </row>
    <row r="648" spans="1:17" x14ac:dyDescent="0.2">
      <c r="A648" s="1" t="str">
        <f>HYPERLINK("http://www.twitter.com/Ugo_Roux/status/1182684783492636673", "1182684783492636673")</f>
        <v>1182684783492636673</v>
      </c>
      <c r="B648" t="s">
        <v>47</v>
      </c>
      <c r="C648" s="3">
        <v>43749.659722222219</v>
      </c>
      <c r="D648" s="5" t="s">
        <v>28</v>
      </c>
      <c r="E648">
        <v>3</v>
      </c>
      <c r="F648">
        <v>1</v>
      </c>
      <c r="G648">
        <v>0</v>
      </c>
      <c r="I648" t="s">
        <v>683</v>
      </c>
      <c r="J648" t="str">
        <f>HYPERLINK("http://pbs.twimg.com/media/D_CYMHcWkAAwLBO.jpg", "http://pbs.twimg.com/media/D_CYMHcWkAAwLBO.jpg")</f>
        <v>http://pbs.twimg.com/media/D_CYMHcWkAAwLBO.jpg</v>
      </c>
      <c r="N648">
        <v>0</v>
      </c>
      <c r="O648">
        <v>0</v>
      </c>
      <c r="P648">
        <v>1</v>
      </c>
      <c r="Q648">
        <v>0</v>
      </c>
    </row>
    <row r="649" spans="1:17" x14ac:dyDescent="0.2">
      <c r="A649" s="1" t="str">
        <f>HYPERLINK("http://www.twitter.com/Ugo_Roux/status/1182681255432851458", "1182681255432851458")</f>
        <v>1182681255432851458</v>
      </c>
      <c r="B649" t="s">
        <v>142</v>
      </c>
      <c r="C649" s="3">
        <v>43749.649988425917</v>
      </c>
      <c r="D649" s="5" t="s">
        <v>17</v>
      </c>
      <c r="E649">
        <v>0</v>
      </c>
      <c r="F649">
        <v>2</v>
      </c>
      <c r="G649">
        <v>0</v>
      </c>
      <c r="I649" t="s">
        <v>684</v>
      </c>
      <c r="J649" t="str">
        <f>HYPERLINK("http://pbs.twimg.com/media/EGm6VIoW4AEOR1W.jpg", "http://pbs.twimg.com/media/EGm6VIoW4AEOR1W.jpg")</f>
        <v>http://pbs.twimg.com/media/EGm6VIoW4AEOR1W.jpg</v>
      </c>
      <c r="N649">
        <v>0</v>
      </c>
      <c r="O649">
        <v>0</v>
      </c>
      <c r="P649">
        <v>1</v>
      </c>
      <c r="Q649">
        <v>0</v>
      </c>
    </row>
    <row r="650" spans="1:17" x14ac:dyDescent="0.2">
      <c r="A650" s="1" t="str">
        <f>HYPERLINK("http://www.twitter.com/Ugo_Roux/status/1182680494225395713", "1182680494225395713")</f>
        <v>1182680494225395713</v>
      </c>
      <c r="B650" t="s">
        <v>142</v>
      </c>
      <c r="C650" s="3">
        <v>43749.647881944453</v>
      </c>
      <c r="D650" s="5" t="s">
        <v>41</v>
      </c>
      <c r="E650">
        <v>0</v>
      </c>
      <c r="F650">
        <v>1</v>
      </c>
      <c r="G650">
        <v>0</v>
      </c>
      <c r="I650" t="s">
        <v>685</v>
      </c>
      <c r="J650" t="str">
        <f>HYPERLINK("http://pbs.twimg.com/media/EGm5mFFW4AAfMg9.jpg", "http://pbs.twimg.com/media/EGm5mFFW4AAfMg9.jpg")</f>
        <v>http://pbs.twimg.com/media/EGm5mFFW4AAfMg9.jpg</v>
      </c>
      <c r="N650">
        <v>0</v>
      </c>
      <c r="O650">
        <v>0</v>
      </c>
      <c r="P650">
        <v>1</v>
      </c>
      <c r="Q650">
        <v>0</v>
      </c>
    </row>
    <row r="651" spans="1:17" x14ac:dyDescent="0.2">
      <c r="A651" s="1" t="str">
        <f>HYPERLINK("http://www.twitter.com/Ugo_Roux/status/1182651456308076544", "1182651456308076544")</f>
        <v>1182651456308076544</v>
      </c>
      <c r="B651" t="s">
        <v>130</v>
      </c>
      <c r="C651" s="3">
        <v>43749.567754629628</v>
      </c>
      <c r="D651" s="5" t="s">
        <v>28</v>
      </c>
      <c r="E651">
        <v>1</v>
      </c>
      <c r="F651">
        <v>0</v>
      </c>
      <c r="G651">
        <v>0</v>
      </c>
      <c r="I651" t="s">
        <v>686</v>
      </c>
      <c r="J651" t="str">
        <f>HYPERLINK("http://pbs.twimg.com/media/EGmfOg0WwAEEDbt.jpg", "http://pbs.twimg.com/media/EGmfOg0WwAEEDbt.jpg")</f>
        <v>http://pbs.twimg.com/media/EGmfOg0WwAEEDbt.jpg</v>
      </c>
      <c r="N651">
        <v>0</v>
      </c>
      <c r="O651">
        <v>0</v>
      </c>
      <c r="P651">
        <v>1</v>
      </c>
      <c r="Q651">
        <v>0</v>
      </c>
    </row>
    <row r="652" spans="1:17" x14ac:dyDescent="0.2">
      <c r="A652" s="1" t="str">
        <f>HYPERLINK("http://www.twitter.com/Ugo_Roux/status/1181956851803533316", "1181956851803533316")</f>
        <v>1181956851803533316</v>
      </c>
      <c r="B652" t="s">
        <v>425</v>
      </c>
      <c r="C652" s="3">
        <v>43747.651006944441</v>
      </c>
      <c r="D652" s="5" t="s">
        <v>28</v>
      </c>
      <c r="E652">
        <v>0</v>
      </c>
      <c r="F652">
        <v>0</v>
      </c>
      <c r="G652">
        <v>0</v>
      </c>
      <c r="I652" t="s">
        <v>687</v>
      </c>
      <c r="J652" t="str">
        <f>HYPERLINK("http://pbs.twimg.com/media/EGcne8SWoAEs-2Y.jpg", "http://pbs.twimg.com/media/EGcne8SWoAEs-2Y.jpg")</f>
        <v>http://pbs.twimg.com/media/EGcne8SWoAEs-2Y.jpg</v>
      </c>
      <c r="N652">
        <v>0</v>
      </c>
      <c r="O652">
        <v>0</v>
      </c>
      <c r="P652">
        <v>1</v>
      </c>
      <c r="Q652">
        <v>0</v>
      </c>
    </row>
    <row r="653" spans="1:17" x14ac:dyDescent="0.2">
      <c r="A653" s="1" t="str">
        <f>HYPERLINK("http://www.twitter.com/Ugo_Roux/status/1181923523419410433", "1181923523419410433")</f>
        <v>1181923523419410433</v>
      </c>
      <c r="B653" t="s">
        <v>206</v>
      </c>
      <c r="C653" s="3">
        <v>43747.559039351851</v>
      </c>
      <c r="D653" s="5" t="s">
        <v>28</v>
      </c>
      <c r="E653">
        <v>4</v>
      </c>
      <c r="F653">
        <v>1</v>
      </c>
      <c r="G653">
        <v>0</v>
      </c>
      <c r="I653" t="s">
        <v>688</v>
      </c>
      <c r="J653" t="str">
        <f>HYPERLINK("http://pbs.twimg.com/media/EGcJLHPX0AAzJPx.jpg", "http://pbs.twimg.com/media/EGcJLHPX0AAzJPx.jpg")</f>
        <v>http://pbs.twimg.com/media/EGcJLHPX0AAzJPx.jpg</v>
      </c>
      <c r="N653">
        <v>0</v>
      </c>
      <c r="O653">
        <v>0</v>
      </c>
      <c r="P653">
        <v>1</v>
      </c>
      <c r="Q653">
        <v>0</v>
      </c>
    </row>
    <row r="654" spans="1:17" x14ac:dyDescent="0.2">
      <c r="A654" s="1" t="str">
        <f>HYPERLINK("http://www.twitter.com/Ugo_Roux/status/1181921060503113734", "1181921060503113734")</f>
        <v>1181921060503113734</v>
      </c>
      <c r="B654" t="s">
        <v>206</v>
      </c>
      <c r="C654" s="3">
        <v>43747.552245370367</v>
      </c>
      <c r="D654" s="5" t="s">
        <v>17</v>
      </c>
      <c r="E654">
        <v>21</v>
      </c>
      <c r="F654">
        <v>6</v>
      </c>
      <c r="G654">
        <v>0</v>
      </c>
      <c r="I654" t="s">
        <v>689</v>
      </c>
      <c r="J654" t="str">
        <f>HYPERLINK("http://pbs.twimg.com/media/EGcG71BXUAsjhcJ.jpg", "http://pbs.twimg.com/media/EGcG71BXUAsjhcJ.jpg")</f>
        <v>http://pbs.twimg.com/media/EGcG71BXUAsjhcJ.jpg</v>
      </c>
      <c r="K654" t="str">
        <f>HYPERLINK("http://pbs.twimg.com/media/EGcG71YXYAAlIH4.jpg", "http://pbs.twimg.com/media/EGcG71YXYAAlIH4.jpg")</f>
        <v>http://pbs.twimg.com/media/EGcG71YXYAAlIH4.jpg</v>
      </c>
      <c r="L654" t="str">
        <f>HYPERLINK("http://pbs.twimg.com/media/EGcG71aWkAAYbnM.jpg", "http://pbs.twimg.com/media/EGcG71aWkAAYbnM.jpg")</f>
        <v>http://pbs.twimg.com/media/EGcG71aWkAAYbnM.jpg</v>
      </c>
      <c r="N654">
        <v>0</v>
      </c>
      <c r="O654">
        <v>0</v>
      </c>
      <c r="P654">
        <v>1</v>
      </c>
      <c r="Q654">
        <v>0</v>
      </c>
    </row>
    <row r="655" spans="1:17" x14ac:dyDescent="0.2">
      <c r="A655" s="1" t="str">
        <f>HYPERLINK("http://www.twitter.com/Ugo_Roux/status/1181913360939589632", "1181913360939589632")</f>
        <v>1181913360939589632</v>
      </c>
      <c r="B655" t="s">
        <v>414</v>
      </c>
      <c r="C655" s="3">
        <v>43747.530995370369</v>
      </c>
      <c r="D655" s="5" t="s">
        <v>28</v>
      </c>
      <c r="E655">
        <v>0</v>
      </c>
      <c r="F655">
        <v>0</v>
      </c>
      <c r="G655">
        <v>0</v>
      </c>
      <c r="I655" t="s">
        <v>690</v>
      </c>
      <c r="J655" t="str">
        <f>HYPERLINK("http://pbs.twimg.com/media/EGb_5e8W4AAwmwH.jpg", "http://pbs.twimg.com/media/EGb_5e8W4AAwmwH.jpg")</f>
        <v>http://pbs.twimg.com/media/EGb_5e8W4AAwmwH.jpg</v>
      </c>
      <c r="N655">
        <v>0</v>
      </c>
      <c r="O655">
        <v>0</v>
      </c>
      <c r="P655">
        <v>1</v>
      </c>
      <c r="Q655">
        <v>0</v>
      </c>
    </row>
    <row r="656" spans="1:17" x14ac:dyDescent="0.2">
      <c r="A656" s="1" t="str">
        <f>HYPERLINK("http://www.twitter.com/Ugo_Roux/status/1181864592143798272", "1181864592143798272")</f>
        <v>1181864592143798272</v>
      </c>
      <c r="B656" t="s">
        <v>97</v>
      </c>
      <c r="C656" s="3">
        <v>43747.396423611113</v>
      </c>
      <c r="D656" s="5" t="s">
        <v>28</v>
      </c>
      <c r="E656">
        <v>0</v>
      </c>
      <c r="F656">
        <v>0</v>
      </c>
      <c r="G656">
        <v>0</v>
      </c>
      <c r="I656" t="s">
        <v>691</v>
      </c>
      <c r="J656" t="str">
        <f>HYPERLINK("http://pbs.twimg.com/media/EGbTlVQXYAAZsLq.jpg", "http://pbs.twimg.com/media/EGbTlVQXYAAZsLq.jpg")</f>
        <v>http://pbs.twimg.com/media/EGbTlVQXYAAZsLq.jpg</v>
      </c>
      <c r="N656">
        <v>0</v>
      </c>
      <c r="O656">
        <v>0</v>
      </c>
      <c r="P656">
        <v>1</v>
      </c>
      <c r="Q656">
        <v>0</v>
      </c>
    </row>
    <row r="657" spans="1:17" x14ac:dyDescent="0.2">
      <c r="A657" s="1" t="str">
        <f>HYPERLINK("http://www.twitter.com/Ugo_Roux/status/1181822117983215617", "1181822117983215617")</f>
        <v>1181822117983215617</v>
      </c>
      <c r="B657" t="s">
        <v>142</v>
      </c>
      <c r="C657" s="3">
        <v>43747.27921296296</v>
      </c>
      <c r="D657" s="5" t="s">
        <v>41</v>
      </c>
      <c r="E657">
        <v>0</v>
      </c>
      <c r="F657">
        <v>1</v>
      </c>
      <c r="G657">
        <v>0</v>
      </c>
      <c r="I657" t="s">
        <v>692</v>
      </c>
      <c r="J657" t="str">
        <f>HYPERLINK("http://pbs.twimg.com/media/EGas6RTWwAAi4T-.jpg", "http://pbs.twimg.com/media/EGas6RTWwAAi4T-.jpg")</f>
        <v>http://pbs.twimg.com/media/EGas6RTWwAAi4T-.jpg</v>
      </c>
      <c r="N657">
        <v>0</v>
      </c>
      <c r="O657">
        <v>0</v>
      </c>
      <c r="P657">
        <v>1</v>
      </c>
      <c r="Q657">
        <v>0</v>
      </c>
    </row>
    <row r="658" spans="1:17" x14ac:dyDescent="0.2">
      <c r="A658" s="1" t="str">
        <f>HYPERLINK("http://www.twitter.com/Ugo_Roux/status/1181821518499721216", "1181821518499721216")</f>
        <v>1181821518499721216</v>
      </c>
      <c r="B658" t="s">
        <v>285</v>
      </c>
      <c r="C658" s="3">
        <v>43747.277557870373</v>
      </c>
      <c r="D658" s="5" t="s">
        <v>17</v>
      </c>
      <c r="E658">
        <v>0</v>
      </c>
      <c r="F658">
        <v>0</v>
      </c>
      <c r="G658">
        <v>0</v>
      </c>
      <c r="I658" t="s">
        <v>693</v>
      </c>
      <c r="J658" t="str">
        <f>HYPERLINK("http://pbs.twimg.com/media/EGasZ3QWoAE2PI8.jpg", "http://pbs.twimg.com/media/EGasZ3QWoAE2PI8.jpg")</f>
        <v>http://pbs.twimg.com/media/EGasZ3QWoAE2PI8.jpg</v>
      </c>
      <c r="N658">
        <v>0</v>
      </c>
      <c r="O658">
        <v>0</v>
      </c>
      <c r="P658">
        <v>1</v>
      </c>
      <c r="Q658">
        <v>0</v>
      </c>
    </row>
    <row r="659" spans="1:17" x14ac:dyDescent="0.2">
      <c r="A659" s="1" t="str">
        <f>HYPERLINK("http://www.twitter.com/Ugo_Roux/status/1181143643996016640", "1181143643996016640")</f>
        <v>1181143643996016640</v>
      </c>
      <c r="B659" t="s">
        <v>142</v>
      </c>
      <c r="C659" s="3">
        <v>43745.40697916667</v>
      </c>
      <c r="D659" s="5" t="s">
        <v>28</v>
      </c>
      <c r="E659">
        <v>4</v>
      </c>
      <c r="F659">
        <v>4</v>
      </c>
      <c r="G659">
        <v>0</v>
      </c>
      <c r="I659" t="s">
        <v>694</v>
      </c>
      <c r="N659">
        <v>0</v>
      </c>
      <c r="O659">
        <v>0</v>
      </c>
      <c r="P659">
        <v>1</v>
      </c>
      <c r="Q659">
        <v>0</v>
      </c>
    </row>
    <row r="660" spans="1:17" x14ac:dyDescent="0.2">
      <c r="A660" s="1" t="str">
        <f>HYPERLINK("http://www.twitter.com/Ugo_Roux/status/1180502559670390785", "1180502559670390785")</f>
        <v>1180502559670390785</v>
      </c>
      <c r="B660" t="s">
        <v>47</v>
      </c>
      <c r="C660" s="3">
        <v>43743.637928240743</v>
      </c>
      <c r="D660" s="5" t="s">
        <v>28</v>
      </c>
      <c r="E660">
        <v>5</v>
      </c>
      <c r="F660">
        <v>1</v>
      </c>
      <c r="G660">
        <v>0</v>
      </c>
      <c r="I660" t="s">
        <v>695</v>
      </c>
      <c r="J660" t="str">
        <f>HYPERLINK("http://pbs.twimg.com/media/EGH80SOX0AAVFZD.jpg", "http://pbs.twimg.com/media/EGH80SOX0AAVFZD.jpg")</f>
        <v>http://pbs.twimg.com/media/EGH80SOX0AAVFZD.jpg</v>
      </c>
      <c r="K660" t="str">
        <f>HYPERLINK("http://pbs.twimg.com/media/EGH80SKXYAA1PNd.jpg", "http://pbs.twimg.com/media/EGH80SKXYAA1PNd.jpg")</f>
        <v>http://pbs.twimg.com/media/EGH80SKXYAA1PNd.jpg</v>
      </c>
      <c r="N660">
        <v>0</v>
      </c>
      <c r="O660">
        <v>0</v>
      </c>
      <c r="P660">
        <v>1</v>
      </c>
      <c r="Q660">
        <v>0</v>
      </c>
    </row>
    <row r="661" spans="1:17" x14ac:dyDescent="0.2">
      <c r="A661" s="1" t="str">
        <f>HYPERLINK("http://www.twitter.com/Ugo_Roux/status/1180170211468726272", "1180170211468726272")</f>
        <v>1180170211468726272</v>
      </c>
      <c r="B661" t="s">
        <v>142</v>
      </c>
      <c r="C661" s="3">
        <v>43742.720821759263</v>
      </c>
      <c r="D661" s="5" t="s">
        <v>17</v>
      </c>
      <c r="E661">
        <v>1</v>
      </c>
      <c r="F661">
        <v>1</v>
      </c>
      <c r="G661">
        <v>0</v>
      </c>
      <c r="I661" t="s">
        <v>696</v>
      </c>
      <c r="N661">
        <v>0</v>
      </c>
      <c r="O661">
        <v>0</v>
      </c>
      <c r="P661">
        <v>1</v>
      </c>
      <c r="Q661">
        <v>0</v>
      </c>
    </row>
    <row r="662" spans="1:17" x14ac:dyDescent="0.2">
      <c r="A662" s="1" t="str">
        <f>HYPERLINK("http://www.twitter.com/Ugo_Roux/status/1180124177438826496", "1180124177438826496")</f>
        <v>1180124177438826496</v>
      </c>
      <c r="B662" t="s">
        <v>476</v>
      </c>
      <c r="C662" s="3">
        <v>43742.5937962963</v>
      </c>
      <c r="D662" s="5" t="s">
        <v>24</v>
      </c>
      <c r="E662">
        <v>0</v>
      </c>
      <c r="F662">
        <v>0</v>
      </c>
      <c r="G662">
        <v>0</v>
      </c>
      <c r="I662" t="s">
        <v>697</v>
      </c>
      <c r="N662">
        <v>0</v>
      </c>
      <c r="O662">
        <v>0</v>
      </c>
      <c r="P662">
        <v>1</v>
      </c>
      <c r="Q662">
        <v>0</v>
      </c>
    </row>
    <row r="663" spans="1:17" x14ac:dyDescent="0.2">
      <c r="A663" s="1" t="str">
        <f>HYPERLINK("http://www.twitter.com/Ugo_Roux/status/1180007160962588672", "1180007160962588672")</f>
        <v>1180007160962588672</v>
      </c>
      <c r="B663" t="s">
        <v>285</v>
      </c>
      <c r="C663" s="3">
        <v>43742.270891203712</v>
      </c>
      <c r="D663" s="5" t="s">
        <v>28</v>
      </c>
      <c r="E663">
        <v>5</v>
      </c>
      <c r="F663">
        <v>2</v>
      </c>
      <c r="G663">
        <v>0</v>
      </c>
      <c r="I663" t="s">
        <v>698</v>
      </c>
      <c r="J663" t="str">
        <f>HYPERLINK("http://pbs.twimg.com/media/EGA6QLLXkAAopBD.jpg", "http://pbs.twimg.com/media/EGA6QLLXkAAopBD.jpg")</f>
        <v>http://pbs.twimg.com/media/EGA6QLLXkAAopBD.jpg</v>
      </c>
      <c r="K663" t="str">
        <f>HYPERLINK("http://pbs.twimg.com/media/EGA6QLmXUAA2ZZD.jpg", "http://pbs.twimg.com/media/EGA6QLmXUAA2ZZD.jpg")</f>
        <v>http://pbs.twimg.com/media/EGA6QLmXUAA2ZZD.jpg</v>
      </c>
      <c r="L663" t="str">
        <f>HYPERLINK("http://pbs.twimg.com/media/EGA6QLPWkAAze4E.jpg", "http://pbs.twimg.com/media/EGA6QLPWkAAze4E.jpg")</f>
        <v>http://pbs.twimg.com/media/EGA6QLPWkAAze4E.jpg</v>
      </c>
      <c r="N663">
        <v>0</v>
      </c>
      <c r="O663">
        <v>0</v>
      </c>
      <c r="P663">
        <v>1</v>
      </c>
      <c r="Q663">
        <v>0</v>
      </c>
    </row>
    <row r="664" spans="1:17" x14ac:dyDescent="0.2">
      <c r="A664" s="1" t="str">
        <f>HYPERLINK("http://www.twitter.com/Ugo_Roux/status/1179653638383394816", "1179653638383394816")</f>
        <v>1179653638383394816</v>
      </c>
      <c r="B664" t="s">
        <v>142</v>
      </c>
      <c r="C664" s="3">
        <v>43741.295347222222</v>
      </c>
      <c r="D664" s="5" t="s">
        <v>28</v>
      </c>
      <c r="E664">
        <v>3</v>
      </c>
      <c r="F664">
        <v>3</v>
      </c>
      <c r="G664">
        <v>0</v>
      </c>
      <c r="I664" t="s">
        <v>699</v>
      </c>
      <c r="J664" t="str">
        <f>HYPERLINK("http://pbs.twimg.com/media/EF74uMiXYAA-o8a.jpg", "http://pbs.twimg.com/media/EF74uMiXYAA-o8a.jpg")</f>
        <v>http://pbs.twimg.com/media/EF74uMiXYAA-o8a.jpg</v>
      </c>
      <c r="N664">
        <v>0.59940000000000004</v>
      </c>
      <c r="O664">
        <v>0</v>
      </c>
      <c r="P664">
        <v>0.85499999999999998</v>
      </c>
      <c r="Q664">
        <v>0.14499999999999999</v>
      </c>
    </row>
    <row r="665" spans="1:17" x14ac:dyDescent="0.2">
      <c r="A665" s="1" t="str">
        <f>HYPERLINK("http://www.twitter.com/Ugo_Roux/status/1179413459588583424", "1179413459588583424")</f>
        <v>1179413459588583424</v>
      </c>
      <c r="B665" t="s">
        <v>414</v>
      </c>
      <c r="C665" s="3">
        <v>43740.632581018523</v>
      </c>
      <c r="D665" s="5" t="s">
        <v>41</v>
      </c>
      <c r="E665">
        <v>1</v>
      </c>
      <c r="F665">
        <v>0</v>
      </c>
      <c r="G665">
        <v>0</v>
      </c>
      <c r="I665" t="s">
        <v>700</v>
      </c>
      <c r="J665" t="str">
        <f>HYPERLINK("http://pbs.twimg.com/media/EF4eOjQXkAAL5ac.jpg", "http://pbs.twimg.com/media/EF4eOjQXkAAL5ac.jpg")</f>
        <v>http://pbs.twimg.com/media/EF4eOjQXkAAL5ac.jpg</v>
      </c>
      <c r="N665">
        <v>0</v>
      </c>
      <c r="O665">
        <v>0</v>
      </c>
      <c r="P665">
        <v>1</v>
      </c>
      <c r="Q665">
        <v>0</v>
      </c>
    </row>
    <row r="666" spans="1:17" x14ac:dyDescent="0.2">
      <c r="A666" s="1" t="str">
        <f>HYPERLINK("http://www.twitter.com/Ugo_Roux/status/1179407641547857920", "1179407641547857920")</f>
        <v>1179407641547857920</v>
      </c>
      <c r="B666" t="s">
        <v>425</v>
      </c>
      <c r="C666" s="3">
        <v>43740.616527777784</v>
      </c>
      <c r="D666" s="5" t="s">
        <v>17</v>
      </c>
      <c r="E666">
        <v>0</v>
      </c>
      <c r="F666">
        <v>0</v>
      </c>
      <c r="G666">
        <v>0</v>
      </c>
      <c r="I666" t="s">
        <v>701</v>
      </c>
      <c r="N666">
        <v>0.57069999999999999</v>
      </c>
      <c r="O666">
        <v>0</v>
      </c>
      <c r="P666">
        <v>0.90900000000000003</v>
      </c>
      <c r="Q666">
        <v>9.0999999999999998E-2</v>
      </c>
    </row>
    <row r="667" spans="1:17" x14ac:dyDescent="0.2">
      <c r="A667" s="1" t="str">
        <f>HYPERLINK("http://www.twitter.com/Ugo_Roux/status/1179329085232816129", "1179329085232816129")</f>
        <v>1179329085232816129</v>
      </c>
      <c r="B667" t="s">
        <v>285</v>
      </c>
      <c r="C667" s="3">
        <v>43740.399756944447</v>
      </c>
      <c r="D667" s="5" t="s">
        <v>28</v>
      </c>
      <c r="E667">
        <v>0</v>
      </c>
      <c r="F667">
        <v>0</v>
      </c>
      <c r="G667">
        <v>0</v>
      </c>
      <c r="I667" t="s">
        <v>702</v>
      </c>
      <c r="N667">
        <v>0</v>
      </c>
      <c r="O667">
        <v>0</v>
      </c>
      <c r="P667">
        <v>1</v>
      </c>
      <c r="Q667">
        <v>0</v>
      </c>
    </row>
    <row r="668" spans="1:17" x14ac:dyDescent="0.2">
      <c r="A668" s="1" t="str">
        <f>HYPERLINK("http://www.twitter.com/Ugo_Roux/status/1179314880135991296", "1179314880135991296")</f>
        <v>1179314880135991296</v>
      </c>
      <c r="B668" t="s">
        <v>425</v>
      </c>
      <c r="C668" s="3">
        <v>43740.360555555562</v>
      </c>
      <c r="D668" s="5" t="s">
        <v>28</v>
      </c>
      <c r="E668">
        <v>0</v>
      </c>
      <c r="F668">
        <v>0</v>
      </c>
      <c r="G668">
        <v>0</v>
      </c>
      <c r="I668" t="s">
        <v>703</v>
      </c>
      <c r="N668">
        <v>0</v>
      </c>
      <c r="O668">
        <v>0</v>
      </c>
      <c r="P668">
        <v>1</v>
      </c>
      <c r="Q668">
        <v>0</v>
      </c>
    </row>
    <row r="669" spans="1:17" x14ac:dyDescent="0.2">
      <c r="A669" s="1" t="str">
        <f>HYPERLINK("http://www.twitter.com/Ugo_Roux/status/1179303958478757888", "1179303958478757888")</f>
        <v>1179303958478757888</v>
      </c>
      <c r="B669" t="s">
        <v>425</v>
      </c>
      <c r="C669" s="3">
        <v>43740.330416666657</v>
      </c>
      <c r="D669" s="5" t="s">
        <v>28</v>
      </c>
      <c r="E669">
        <v>0</v>
      </c>
      <c r="F669">
        <v>0</v>
      </c>
      <c r="G669">
        <v>0</v>
      </c>
      <c r="I669" t="s">
        <v>704</v>
      </c>
      <c r="N669">
        <v>0</v>
      </c>
      <c r="O669">
        <v>0</v>
      </c>
      <c r="P669">
        <v>1</v>
      </c>
      <c r="Q669">
        <v>0</v>
      </c>
    </row>
    <row r="670" spans="1:17" x14ac:dyDescent="0.2">
      <c r="A670" s="1" t="str">
        <f>HYPERLINK("http://www.twitter.com/Ugo_Roux/status/1179048580708999170", "1179048580708999170")</f>
        <v>1179048580708999170</v>
      </c>
      <c r="B670" t="s">
        <v>425</v>
      </c>
      <c r="C670" s="3">
        <v>43739.625706018523</v>
      </c>
      <c r="D670" s="5" t="s">
        <v>28</v>
      </c>
      <c r="E670">
        <v>0</v>
      </c>
      <c r="F670">
        <v>0</v>
      </c>
      <c r="G670">
        <v>0</v>
      </c>
      <c r="I670" t="s">
        <v>705</v>
      </c>
      <c r="J670" t="str">
        <f>HYPERLINK("http://pbs.twimg.com/media/EFzSbpQXYAcp9yA.jpg", "http://pbs.twimg.com/media/EFzSbpQXYAcp9yA.jpg")</f>
        <v>http://pbs.twimg.com/media/EFzSbpQXYAcp9yA.jpg</v>
      </c>
      <c r="N670">
        <v>0</v>
      </c>
      <c r="O670">
        <v>0</v>
      </c>
      <c r="P670">
        <v>1</v>
      </c>
      <c r="Q670">
        <v>0</v>
      </c>
    </row>
    <row r="671" spans="1:17" x14ac:dyDescent="0.2">
      <c r="A671" s="1" t="str">
        <f>HYPERLINK("http://www.twitter.com/Ugo_Roux/status/1178972411569545216", "1178972411569545216")</f>
        <v>1178972411569545216</v>
      </c>
      <c r="B671" t="s">
        <v>414</v>
      </c>
      <c r="C671" s="3">
        <v>43739.415520833332</v>
      </c>
      <c r="D671" s="5" t="s">
        <v>28</v>
      </c>
      <c r="E671">
        <v>0</v>
      </c>
      <c r="F671">
        <v>0</v>
      </c>
      <c r="G671">
        <v>0</v>
      </c>
      <c r="I671" t="s">
        <v>706</v>
      </c>
      <c r="N671">
        <v>0</v>
      </c>
      <c r="O671">
        <v>0</v>
      </c>
      <c r="P671">
        <v>1</v>
      </c>
      <c r="Q671">
        <v>0</v>
      </c>
    </row>
    <row r="672" spans="1:17" x14ac:dyDescent="0.2">
      <c r="A672" s="1" t="str">
        <f>HYPERLINK("http://www.twitter.com/Ugo_Roux/status/1178950462311190528", "1178950462311190528")</f>
        <v>1178950462311190528</v>
      </c>
      <c r="B672" t="s">
        <v>285</v>
      </c>
      <c r="C672" s="3">
        <v>43739.354953703703</v>
      </c>
      <c r="D672" s="5" t="s">
        <v>17</v>
      </c>
      <c r="E672">
        <v>0</v>
      </c>
      <c r="F672">
        <v>0</v>
      </c>
      <c r="G672">
        <v>0</v>
      </c>
      <c r="I672" t="s">
        <v>707</v>
      </c>
      <c r="N672">
        <v>0</v>
      </c>
      <c r="O672">
        <v>0</v>
      </c>
      <c r="P672">
        <v>1</v>
      </c>
      <c r="Q672">
        <v>0</v>
      </c>
    </row>
    <row r="673" spans="1:17" x14ac:dyDescent="0.2">
      <c r="A673" s="1" t="str">
        <f>HYPERLINK("http://www.twitter.com/Ugo_Roux/status/1178950434393862146", "1178950434393862146")</f>
        <v>1178950434393862146</v>
      </c>
      <c r="B673" t="s">
        <v>285</v>
      </c>
      <c r="C673" s="3">
        <v>43739.354884259257</v>
      </c>
      <c r="D673" s="5" t="s">
        <v>460</v>
      </c>
      <c r="E673">
        <v>0</v>
      </c>
      <c r="F673">
        <v>0</v>
      </c>
      <c r="G673">
        <v>0</v>
      </c>
      <c r="I673" t="s">
        <v>708</v>
      </c>
      <c r="N673">
        <v>0</v>
      </c>
      <c r="O673">
        <v>0</v>
      </c>
      <c r="P673">
        <v>1</v>
      </c>
      <c r="Q673">
        <v>0</v>
      </c>
    </row>
    <row r="674" spans="1:17" x14ac:dyDescent="0.2">
      <c r="A674" s="1" t="str">
        <f>HYPERLINK("http://www.twitter.com/Ugo_Roux/status/1177960075220140034", "1177960075220140034")</f>
        <v>1177960075220140034</v>
      </c>
      <c r="B674" t="s">
        <v>130</v>
      </c>
      <c r="C674" s="3">
        <v>43736.622013888889</v>
      </c>
      <c r="D674" s="5" t="s">
        <v>28</v>
      </c>
      <c r="E674">
        <v>1</v>
      </c>
      <c r="F674">
        <v>0</v>
      </c>
      <c r="G674">
        <v>0</v>
      </c>
      <c r="I674" t="s">
        <v>709</v>
      </c>
      <c r="J674" t="str">
        <f>HYPERLINK("http://pbs.twimg.com/media/EFj0bf_XoAAijKA.jpg", "http://pbs.twimg.com/media/EFj0bf_XoAAijKA.jpg")</f>
        <v>http://pbs.twimg.com/media/EFj0bf_XoAAijKA.jpg</v>
      </c>
      <c r="N674">
        <v>0.49390000000000001</v>
      </c>
      <c r="O674">
        <v>0</v>
      </c>
      <c r="P674">
        <v>0.91400000000000003</v>
      </c>
      <c r="Q674">
        <v>8.5999999999999993E-2</v>
      </c>
    </row>
    <row r="675" spans="1:17" x14ac:dyDescent="0.2">
      <c r="A675" s="1" t="str">
        <f>HYPERLINK("http://www.twitter.com/Ugo_Roux/status/1177603430766010368", "1177603430766010368")</f>
        <v>1177603430766010368</v>
      </c>
      <c r="B675" t="s">
        <v>425</v>
      </c>
      <c r="C675" s="3">
        <v>43735.637858796297</v>
      </c>
      <c r="D675" s="5" t="s">
        <v>28</v>
      </c>
      <c r="E675">
        <v>1</v>
      </c>
      <c r="F675">
        <v>0</v>
      </c>
      <c r="G675">
        <v>0</v>
      </c>
      <c r="I675" t="s">
        <v>710</v>
      </c>
      <c r="J675" t="str">
        <f>HYPERLINK("http://pbs.twimg.com/media/EFewE8dWwAMxook.jpg", "http://pbs.twimg.com/media/EFewE8dWwAMxook.jpg")</f>
        <v>http://pbs.twimg.com/media/EFewE8dWwAMxook.jpg</v>
      </c>
      <c r="N675">
        <v>0</v>
      </c>
      <c r="O675">
        <v>0</v>
      </c>
      <c r="P675">
        <v>1</v>
      </c>
      <c r="Q675">
        <v>0</v>
      </c>
    </row>
    <row r="676" spans="1:17" x14ac:dyDescent="0.2">
      <c r="A676" s="1" t="str">
        <f>HYPERLINK("http://www.twitter.com/Ugo_Roux/status/1177151110362128386", "1177151110362128386")</f>
        <v>1177151110362128386</v>
      </c>
      <c r="B676" t="s">
        <v>425</v>
      </c>
      <c r="C676" s="3">
        <v>43734.389687499999</v>
      </c>
      <c r="D676" s="5" t="s">
        <v>28</v>
      </c>
      <c r="E676">
        <v>1</v>
      </c>
      <c r="F676">
        <v>0</v>
      </c>
      <c r="G676">
        <v>0</v>
      </c>
      <c r="I676" t="s">
        <v>711</v>
      </c>
      <c r="J676" t="str">
        <f>HYPERLINK("http://pbs.twimg.com/media/EFYUsaxWkAUNN7C.jpg", "http://pbs.twimg.com/media/EFYUsaxWkAUNN7C.jpg")</f>
        <v>http://pbs.twimg.com/media/EFYUsaxWkAUNN7C.jpg</v>
      </c>
      <c r="N676">
        <v>0</v>
      </c>
      <c r="O676">
        <v>0</v>
      </c>
      <c r="P676">
        <v>1</v>
      </c>
      <c r="Q676">
        <v>0</v>
      </c>
    </row>
    <row r="677" spans="1:17" x14ac:dyDescent="0.2">
      <c r="A677" s="1" t="str">
        <f>HYPERLINK("http://www.twitter.com/Ugo_Roux/status/1176797386213068800", "1176797386213068800")</f>
        <v>1176797386213068800</v>
      </c>
      <c r="B677" t="s">
        <v>456</v>
      </c>
      <c r="C677" s="3">
        <v>43733.413599537038</v>
      </c>
      <c r="D677" t="s">
        <v>17</v>
      </c>
      <c r="E677">
        <v>4</v>
      </c>
      <c r="F677">
        <v>0</v>
      </c>
      <c r="G677">
        <v>0</v>
      </c>
      <c r="I677" t="s">
        <v>712</v>
      </c>
      <c r="J677" t="str">
        <f>HYPERLINK("http://pbs.twimg.com/media/EFTS-64XUAAP-oq.jpg", "http://pbs.twimg.com/media/EFTS-64XUAAP-oq.jpg")</f>
        <v>http://pbs.twimg.com/media/EFTS-64XUAAP-oq.jpg</v>
      </c>
      <c r="N677">
        <v>0</v>
      </c>
      <c r="O677">
        <v>0</v>
      </c>
      <c r="P677">
        <v>1</v>
      </c>
      <c r="Q677">
        <v>0</v>
      </c>
    </row>
    <row r="678" spans="1:17" x14ac:dyDescent="0.2">
      <c r="A678" s="1" t="str">
        <f>HYPERLINK("http://www.twitter.com/Ugo_Roux/status/1176796781771984896", "1176796781771984896")</f>
        <v>1176796781771984896</v>
      </c>
      <c r="B678" t="s">
        <v>456</v>
      </c>
      <c r="C678" s="3">
        <v>43733.411932870367</v>
      </c>
      <c r="D678" t="s">
        <v>28</v>
      </c>
      <c r="E678">
        <v>4</v>
      </c>
      <c r="F678">
        <v>3</v>
      </c>
      <c r="G678">
        <v>0</v>
      </c>
      <c r="I678" t="s">
        <v>713</v>
      </c>
      <c r="J678" t="str">
        <f>HYPERLINK("http://pbs.twimg.com/media/EFTSbxCX4AAs6ul.jpg", "http://pbs.twimg.com/media/EFTSbxCX4AAs6ul.jpg")</f>
        <v>http://pbs.twimg.com/media/EFTSbxCX4AAs6ul.jpg</v>
      </c>
      <c r="N678">
        <v>0</v>
      </c>
      <c r="O678">
        <v>0</v>
      </c>
      <c r="P678">
        <v>1</v>
      </c>
      <c r="Q678">
        <v>0</v>
      </c>
    </row>
    <row r="679" spans="1:17" x14ac:dyDescent="0.2">
      <c r="A679" s="1" t="str">
        <f>HYPERLINK("http://www.twitter.com/Ugo_Roux/status/1175433388586668032", "1175433388586668032")</f>
        <v>1175433388586668032</v>
      </c>
      <c r="B679" t="s">
        <v>206</v>
      </c>
      <c r="C679" s="3">
        <v>43729.649675925917</v>
      </c>
      <c r="D679" s="5" t="s">
        <v>41</v>
      </c>
      <c r="E679">
        <v>8</v>
      </c>
      <c r="F679">
        <v>1</v>
      </c>
      <c r="G679">
        <v>3</v>
      </c>
      <c r="I679" t="s">
        <v>714</v>
      </c>
      <c r="J679" t="str">
        <f>HYPERLINK("http://pbs.twimg.com/media/EE_6bmnWsAEKOpA.jpg", "http://pbs.twimg.com/media/EE_6bmnWsAEKOpA.jpg")</f>
        <v>http://pbs.twimg.com/media/EE_6bmnWsAEKOpA.jpg</v>
      </c>
      <c r="K679" t="str">
        <f>HYPERLINK("http://pbs.twimg.com/media/EE_6bm1XsAAWQLA.jpg", "http://pbs.twimg.com/media/EE_6bm1XsAAWQLA.jpg")</f>
        <v>http://pbs.twimg.com/media/EE_6bm1XsAAWQLA.jpg</v>
      </c>
      <c r="N679">
        <v>0</v>
      </c>
      <c r="O679">
        <v>0</v>
      </c>
      <c r="P679">
        <v>1</v>
      </c>
      <c r="Q679">
        <v>0</v>
      </c>
    </row>
    <row r="680" spans="1:17" x14ac:dyDescent="0.2">
      <c r="A680" s="1" t="str">
        <f>HYPERLINK("http://www.twitter.com/Ugo_Roux/status/1175420358452809728", "1175420358452809728")</f>
        <v>1175420358452809728</v>
      </c>
      <c r="B680" t="s">
        <v>47</v>
      </c>
      <c r="C680" s="3">
        <v>43729.613726851851</v>
      </c>
      <c r="D680" s="5" t="s">
        <v>41</v>
      </c>
      <c r="E680">
        <v>5</v>
      </c>
      <c r="F680">
        <v>0</v>
      </c>
      <c r="G680">
        <v>0</v>
      </c>
      <c r="I680" t="s">
        <v>715</v>
      </c>
      <c r="J680" t="str">
        <f>HYPERLINK("http://pbs.twimg.com/media/EE_uk1eW4AAJWrU.jpg", "http://pbs.twimg.com/media/EE_uk1eW4AAJWrU.jpg")</f>
        <v>http://pbs.twimg.com/media/EE_uk1eW4AAJWrU.jpg</v>
      </c>
      <c r="N680">
        <v>0</v>
      </c>
      <c r="O680">
        <v>0</v>
      </c>
      <c r="P680">
        <v>1</v>
      </c>
      <c r="Q680">
        <v>0</v>
      </c>
    </row>
    <row r="681" spans="1:17" x14ac:dyDescent="0.2">
      <c r="A681" s="1" t="str">
        <f>HYPERLINK("http://www.twitter.com/Ugo_Roux/status/1174992632214425605", "1174992632214425605")</f>
        <v>1174992632214425605</v>
      </c>
      <c r="B681" t="s">
        <v>97</v>
      </c>
      <c r="C681" s="3">
        <v>43728.433425925927</v>
      </c>
      <c r="D681" s="5" t="s">
        <v>28</v>
      </c>
      <c r="E681">
        <v>0</v>
      </c>
      <c r="F681">
        <v>0</v>
      </c>
      <c r="G681">
        <v>0</v>
      </c>
      <c r="I681" t="s">
        <v>716</v>
      </c>
      <c r="J681" t="str">
        <f>HYPERLINK("http://pbs.twimg.com/media/EE5pkkoX4AQqb0m.jpg", "http://pbs.twimg.com/media/EE5pkkoX4AQqb0m.jpg")</f>
        <v>http://pbs.twimg.com/media/EE5pkkoX4AQqb0m.jpg</v>
      </c>
      <c r="N681">
        <v>0</v>
      </c>
      <c r="O681">
        <v>0</v>
      </c>
      <c r="P681">
        <v>1</v>
      </c>
      <c r="Q681">
        <v>0</v>
      </c>
    </row>
    <row r="682" spans="1:17" x14ac:dyDescent="0.2">
      <c r="A682" s="1" t="str">
        <f>HYPERLINK("http://www.twitter.com/Ugo_Roux/status/1174985802453004294", "1174985802453004294")</f>
        <v>1174985802453004294</v>
      </c>
      <c r="B682" t="s">
        <v>425</v>
      </c>
      <c r="C682" s="3">
        <v>43728.414583333331</v>
      </c>
      <c r="D682" s="5" t="s">
        <v>28</v>
      </c>
      <c r="E682">
        <v>0</v>
      </c>
      <c r="F682">
        <v>0</v>
      </c>
      <c r="G682">
        <v>0</v>
      </c>
      <c r="I682" t="s">
        <v>717</v>
      </c>
      <c r="J682" t="str">
        <f>HYPERLINK("http://pbs.twimg.com/media/EE5jW6jWsAAG8ue.png", "http://pbs.twimg.com/media/EE5jW6jWsAAG8ue.png")</f>
        <v>http://pbs.twimg.com/media/EE5jW6jWsAAG8ue.png</v>
      </c>
      <c r="N682">
        <v>0</v>
      </c>
      <c r="O682">
        <v>0</v>
      </c>
      <c r="P682">
        <v>1</v>
      </c>
      <c r="Q682">
        <v>0</v>
      </c>
    </row>
    <row r="683" spans="1:17" x14ac:dyDescent="0.2">
      <c r="A683" s="1" t="str">
        <f>HYPERLINK("http://www.twitter.com/Ugo_Roux/status/1174977037016023041", "1174977037016023041")</f>
        <v>1174977037016023041</v>
      </c>
      <c r="B683" t="s">
        <v>285</v>
      </c>
      <c r="C683" s="3">
        <v>43728.390393518523</v>
      </c>
      <c r="D683" s="5" t="s">
        <v>28</v>
      </c>
      <c r="E683">
        <v>3</v>
      </c>
      <c r="F683">
        <v>1</v>
      </c>
      <c r="G683">
        <v>0</v>
      </c>
      <c r="I683" t="s">
        <v>718</v>
      </c>
      <c r="J683" t="str">
        <f>HYPERLINK("http://pbs.twimg.com/media/EE5bYaYU0AAM7LA.jpg", "http://pbs.twimg.com/media/EE5bYaYU0AAM7LA.jpg")</f>
        <v>http://pbs.twimg.com/media/EE5bYaYU0AAM7LA.jpg</v>
      </c>
      <c r="K683" t="str">
        <f>HYPERLINK("http://pbs.twimg.com/media/EE5bYbMVUAApi8i.jpg", "http://pbs.twimg.com/media/EE5bYbMVUAApi8i.jpg")</f>
        <v>http://pbs.twimg.com/media/EE5bYbMVUAApi8i.jpg</v>
      </c>
      <c r="L683" t="str">
        <f>HYPERLINK("http://pbs.twimg.com/media/EE5bYbRVUAI59j9.jpg", "http://pbs.twimg.com/media/EE5bYbRVUAI59j9.jpg")</f>
        <v>http://pbs.twimg.com/media/EE5bYbRVUAI59j9.jpg</v>
      </c>
      <c r="N683">
        <v>0</v>
      </c>
      <c r="O683">
        <v>0</v>
      </c>
      <c r="P683">
        <v>1</v>
      </c>
      <c r="Q683">
        <v>0</v>
      </c>
    </row>
    <row r="684" spans="1:17" x14ac:dyDescent="0.2">
      <c r="A684" s="1" t="str">
        <f>HYPERLINK("http://www.twitter.com/Ugo_Roux/status/1174254466155065345", "1174254466155065345")</f>
        <v>1174254466155065345</v>
      </c>
      <c r="B684" t="s">
        <v>130</v>
      </c>
      <c r="C684" s="3">
        <v>43726.396469907413</v>
      </c>
      <c r="D684" s="5" t="s">
        <v>28</v>
      </c>
      <c r="E684">
        <v>1</v>
      </c>
      <c r="F684">
        <v>0</v>
      </c>
      <c r="G684">
        <v>0</v>
      </c>
      <c r="I684" t="s">
        <v>719</v>
      </c>
      <c r="J684" t="str">
        <f>HYPERLINK("http://pbs.twimg.com/media/EEvKNStXsAIeXh7.png", "http://pbs.twimg.com/media/EEvKNStXsAIeXh7.png")</f>
        <v>http://pbs.twimg.com/media/EEvKNStXsAIeXh7.png</v>
      </c>
      <c r="N684">
        <v>0</v>
      </c>
      <c r="O684">
        <v>0</v>
      </c>
      <c r="P684">
        <v>1</v>
      </c>
      <c r="Q684">
        <v>0</v>
      </c>
    </row>
    <row r="685" spans="1:17" x14ac:dyDescent="0.2">
      <c r="A685" s="1" t="str">
        <f>HYPERLINK("http://www.twitter.com/Ugo_Roux/status/1174233042040360960", "1174233042040360960")</f>
        <v>1174233042040360960</v>
      </c>
      <c r="B685" t="s">
        <v>425</v>
      </c>
      <c r="C685" s="3">
        <v>43726.337361111109</v>
      </c>
      <c r="D685" s="5" t="s">
        <v>28</v>
      </c>
      <c r="E685">
        <v>1</v>
      </c>
      <c r="F685">
        <v>0</v>
      </c>
      <c r="G685">
        <v>0</v>
      </c>
      <c r="I685" t="s">
        <v>720</v>
      </c>
      <c r="J685" t="str">
        <f>HYPERLINK("http://pbs.twimg.com/media/EEu2uVxXkAEc6FK.jpg", "http://pbs.twimg.com/media/EEu2uVxXkAEc6FK.jpg")</f>
        <v>http://pbs.twimg.com/media/EEu2uVxXkAEc6FK.jpg</v>
      </c>
      <c r="N685">
        <v>0.6734</v>
      </c>
      <c r="O685">
        <v>0</v>
      </c>
      <c r="P685">
        <v>0.90300000000000002</v>
      </c>
      <c r="Q685">
        <v>9.7000000000000003E-2</v>
      </c>
    </row>
    <row r="686" spans="1:17" x14ac:dyDescent="0.2">
      <c r="A686" s="1" t="str">
        <f>HYPERLINK("http://www.twitter.com/Ugo_Roux/status/1173978321023111168", "1173978321023111168")</f>
        <v>1173978321023111168</v>
      </c>
      <c r="B686" t="s">
        <v>370</v>
      </c>
      <c r="C686" s="3">
        <v>43725.634456018517</v>
      </c>
      <c r="D686" s="3" t="s">
        <v>28</v>
      </c>
      <c r="E686">
        <v>0</v>
      </c>
      <c r="F686">
        <v>0</v>
      </c>
      <c r="G686">
        <v>0</v>
      </c>
      <c r="I686" t="s">
        <v>721</v>
      </c>
      <c r="J686" t="str">
        <f>HYPERLINK("http://pbs.twimg.com/media/EErPD8CWwAAq92O.jpg", "http://pbs.twimg.com/media/EErPD8CWwAAq92O.jpg")</f>
        <v>http://pbs.twimg.com/media/EErPD8CWwAAq92O.jpg</v>
      </c>
      <c r="N686">
        <v>0</v>
      </c>
      <c r="O686">
        <v>0</v>
      </c>
      <c r="P686">
        <v>1</v>
      </c>
      <c r="Q686">
        <v>0</v>
      </c>
    </row>
    <row r="687" spans="1:17" x14ac:dyDescent="0.2">
      <c r="A687" s="1" t="str">
        <f>HYPERLINK("http://www.twitter.com/Ugo_Roux/status/1173897695771144192", "1173897695771144192")</f>
        <v>1173897695771144192</v>
      </c>
      <c r="B687" t="s">
        <v>97</v>
      </c>
      <c r="C687" s="3">
        <v>43725.411979166667</v>
      </c>
      <c r="D687" s="5" t="s">
        <v>28</v>
      </c>
      <c r="E687">
        <v>0</v>
      </c>
      <c r="F687">
        <v>0</v>
      </c>
      <c r="G687">
        <v>0</v>
      </c>
      <c r="I687" t="s">
        <v>722</v>
      </c>
      <c r="J687" t="str">
        <f>HYPERLINK("http://pbs.twimg.com/media/EEqFu7PXsAAdiKs.jpg", "http://pbs.twimg.com/media/EEqFu7PXsAAdiKs.jpg")</f>
        <v>http://pbs.twimg.com/media/EEqFu7PXsAAdiKs.jpg</v>
      </c>
      <c r="N687">
        <v>0</v>
      </c>
      <c r="O687">
        <v>0</v>
      </c>
      <c r="P687">
        <v>1</v>
      </c>
      <c r="Q687">
        <v>0</v>
      </c>
    </row>
    <row r="688" spans="1:17" x14ac:dyDescent="0.2">
      <c r="A688" s="1" t="str">
        <f>HYPERLINK("http://www.twitter.com/Ugo_Roux/status/1172776121072590848", "1172776121072590848")</f>
        <v>1172776121072590848</v>
      </c>
      <c r="B688" t="s">
        <v>414</v>
      </c>
      <c r="C688" s="3">
        <v>43722.317025462973</v>
      </c>
      <c r="D688" s="5" t="s">
        <v>28</v>
      </c>
      <c r="E688">
        <v>0</v>
      </c>
      <c r="F688">
        <v>0</v>
      </c>
      <c r="G688">
        <v>0</v>
      </c>
      <c r="I688" t="s">
        <v>723</v>
      </c>
      <c r="J688" t="str">
        <f>HYPERLINK("http://pbs.twimg.com/media/EEaJqMUXYAAgJ_M.jpg", "http://pbs.twimg.com/media/EEaJqMUXYAAgJ_M.jpg")</f>
        <v>http://pbs.twimg.com/media/EEaJqMUXYAAgJ_M.jpg</v>
      </c>
      <c r="N688">
        <v>0</v>
      </c>
      <c r="O688">
        <v>0</v>
      </c>
      <c r="P688">
        <v>1</v>
      </c>
      <c r="Q688">
        <v>0</v>
      </c>
    </row>
    <row r="689" spans="1:17" x14ac:dyDescent="0.2">
      <c r="A689" s="1" t="str">
        <f>HYPERLINK("http://www.twitter.com/Ugo_Roux/status/1172549578454982656", "1172549578454982656")</f>
        <v>1172549578454982656</v>
      </c>
      <c r="B689" t="s">
        <v>130</v>
      </c>
      <c r="C689" s="3">
        <v>43721.691886574074</v>
      </c>
      <c r="D689" s="5" t="s">
        <v>28</v>
      </c>
      <c r="E689">
        <v>1</v>
      </c>
      <c r="F689">
        <v>0</v>
      </c>
      <c r="G689">
        <v>0</v>
      </c>
      <c r="I689" t="s">
        <v>724</v>
      </c>
      <c r="J689" t="str">
        <f>HYPERLINK("http://pbs.twimg.com/media/EEW7iJwXoAEhXti.jpg", "http://pbs.twimg.com/media/EEW7iJwXoAEhXti.jpg")</f>
        <v>http://pbs.twimg.com/media/EEW7iJwXoAEhXti.jpg</v>
      </c>
      <c r="N689">
        <v>0</v>
      </c>
      <c r="O689">
        <v>0</v>
      </c>
      <c r="P689">
        <v>1</v>
      </c>
      <c r="Q689">
        <v>0</v>
      </c>
    </row>
    <row r="690" spans="1:17" x14ac:dyDescent="0.2">
      <c r="A690" s="1" t="str">
        <f>HYPERLINK("http://www.twitter.com/Ugo_Roux/status/1172508980909924353", "1172508980909924353")</f>
        <v>1172508980909924353</v>
      </c>
      <c r="B690" t="s">
        <v>47</v>
      </c>
      <c r="C690" s="3">
        <v>43721.57984953704</v>
      </c>
      <c r="D690" s="5" t="s">
        <v>28</v>
      </c>
      <c r="E690">
        <v>2</v>
      </c>
      <c r="F690">
        <v>1</v>
      </c>
      <c r="G690">
        <v>0</v>
      </c>
      <c r="I690" t="s">
        <v>725</v>
      </c>
      <c r="J690" t="str">
        <f>HYPERLINK("http://pbs.twimg.com/media/EEWWozlWsAA6P59.jpg", "http://pbs.twimg.com/media/EEWWozlWsAA6P59.jpg")</f>
        <v>http://pbs.twimg.com/media/EEWWozlWsAA6P59.jpg</v>
      </c>
      <c r="K690" t="str">
        <f>HYPERLINK("http://pbs.twimg.com/media/EEWWo0sWsAAAXHT.jpg", "http://pbs.twimg.com/media/EEWWo0sWsAAAXHT.jpg")</f>
        <v>http://pbs.twimg.com/media/EEWWo0sWsAAAXHT.jpg</v>
      </c>
      <c r="L690" t="str">
        <f>HYPERLINK("http://pbs.twimg.com/media/EEWWozvW4AccXDG.jpg", "http://pbs.twimg.com/media/EEWWozvW4AccXDG.jpg")</f>
        <v>http://pbs.twimg.com/media/EEWWozvW4AccXDG.jpg</v>
      </c>
      <c r="N690">
        <v>0</v>
      </c>
      <c r="O690">
        <v>0</v>
      </c>
      <c r="P690">
        <v>1</v>
      </c>
      <c r="Q690">
        <v>0</v>
      </c>
    </row>
    <row r="691" spans="1:17" x14ac:dyDescent="0.2">
      <c r="A691" s="1" t="str">
        <f>HYPERLINK("http://www.twitter.com/Ugo_Roux/status/1172453049907994627", "1172453049907994627")</f>
        <v>1172453049907994627</v>
      </c>
      <c r="B691" t="s">
        <v>142</v>
      </c>
      <c r="C691" s="3">
        <v>43721.425509259258</v>
      </c>
      <c r="D691" s="5" t="s">
        <v>24</v>
      </c>
      <c r="E691">
        <v>1</v>
      </c>
      <c r="F691">
        <v>1</v>
      </c>
      <c r="G691">
        <v>0</v>
      </c>
      <c r="I691" t="s">
        <v>726</v>
      </c>
      <c r="N691">
        <v>0</v>
      </c>
      <c r="O691">
        <v>0</v>
      </c>
      <c r="P691">
        <v>1</v>
      </c>
      <c r="Q691">
        <v>0</v>
      </c>
    </row>
    <row r="692" spans="1:17" x14ac:dyDescent="0.2">
      <c r="A692" s="1" t="str">
        <f>HYPERLINK("http://www.twitter.com/Ugo_Roux/status/1172403431211843586", "1172403431211843586")</f>
        <v>1172403431211843586</v>
      </c>
      <c r="B692" t="s">
        <v>370</v>
      </c>
      <c r="C692" s="3">
        <v>43721.288587962961</v>
      </c>
      <c r="D692" s="3" t="s">
        <v>28</v>
      </c>
      <c r="E692">
        <v>0</v>
      </c>
      <c r="F692">
        <v>0</v>
      </c>
      <c r="G692">
        <v>0</v>
      </c>
      <c r="I692" t="s">
        <v>727</v>
      </c>
      <c r="J692" t="str">
        <f>HYPERLINK("http://pbs.twimg.com/media/EEU2tRvVUAAnx-I.jpg", "http://pbs.twimg.com/media/EEU2tRvVUAAnx-I.jpg")</f>
        <v>http://pbs.twimg.com/media/EEU2tRvVUAAnx-I.jpg</v>
      </c>
      <c r="N692">
        <v>0</v>
      </c>
      <c r="O692">
        <v>0</v>
      </c>
      <c r="P692">
        <v>1</v>
      </c>
      <c r="Q692">
        <v>0</v>
      </c>
    </row>
    <row r="693" spans="1:17" x14ac:dyDescent="0.2">
      <c r="A693" s="1" t="str">
        <f>HYPERLINK("http://www.twitter.com/Ugo_Roux/status/1172393754151419904", "1172393754151419904")</f>
        <v>1172393754151419904</v>
      </c>
      <c r="B693" t="s">
        <v>142</v>
      </c>
      <c r="C693" s="3">
        <v>43721.261886574073</v>
      </c>
      <c r="D693" s="5" t="s">
        <v>28</v>
      </c>
      <c r="E693">
        <v>5</v>
      </c>
      <c r="F693">
        <v>2</v>
      </c>
      <c r="G693">
        <v>0</v>
      </c>
      <c r="I693" t="s">
        <v>728</v>
      </c>
      <c r="N693">
        <v>0</v>
      </c>
      <c r="O693">
        <v>0</v>
      </c>
      <c r="P693">
        <v>1</v>
      </c>
      <c r="Q693">
        <v>0</v>
      </c>
    </row>
    <row r="694" spans="1:17" x14ac:dyDescent="0.2">
      <c r="A694" s="1" t="str">
        <f>HYPERLINK("http://www.twitter.com/Ugo_Roux/status/1172141528946548736", "1172141528946548736")</f>
        <v>1172141528946548736</v>
      </c>
      <c r="B694" t="s">
        <v>130</v>
      </c>
      <c r="C694" s="3">
        <v>43720.565879629627</v>
      </c>
      <c r="D694" s="5" t="s">
        <v>28</v>
      </c>
      <c r="E694">
        <v>1</v>
      </c>
      <c r="F694">
        <v>0</v>
      </c>
      <c r="G694">
        <v>0</v>
      </c>
      <c r="I694" t="s">
        <v>729</v>
      </c>
      <c r="J694" t="str">
        <f>HYPERLINK("http://pbs.twimg.com/media/EERIgSjW4AApYxi.jpg", "http://pbs.twimg.com/media/EERIgSjW4AApYxi.jpg")</f>
        <v>http://pbs.twimg.com/media/EERIgSjW4AApYxi.jpg</v>
      </c>
      <c r="N694">
        <v>0</v>
      </c>
      <c r="O694">
        <v>0</v>
      </c>
      <c r="P694">
        <v>1</v>
      </c>
      <c r="Q694">
        <v>0</v>
      </c>
    </row>
    <row r="695" spans="1:17" x14ac:dyDescent="0.2">
      <c r="A695" s="1" t="str">
        <f>HYPERLINK("http://www.twitter.com/Ugo_Roux/status/1172078286291316736", "1172078286291316736")</f>
        <v>1172078286291316736</v>
      </c>
      <c r="B695" t="s">
        <v>142</v>
      </c>
      <c r="C695" s="3">
        <v>43720.391365740739</v>
      </c>
      <c r="D695" s="5" t="s">
        <v>17</v>
      </c>
      <c r="E695">
        <v>4</v>
      </c>
      <c r="F695">
        <v>2</v>
      </c>
      <c r="G695">
        <v>0</v>
      </c>
      <c r="I695" t="s">
        <v>730</v>
      </c>
      <c r="J695" t="str">
        <f>HYPERLINK("http://pbs.twimg.com/media/EEQO6hcWsAICzeV.jpg", "http://pbs.twimg.com/media/EEQO6hcWsAICzeV.jpg")</f>
        <v>http://pbs.twimg.com/media/EEQO6hcWsAICzeV.jpg</v>
      </c>
      <c r="N695">
        <v>0</v>
      </c>
      <c r="O695">
        <v>0</v>
      </c>
      <c r="P695">
        <v>1</v>
      </c>
      <c r="Q695">
        <v>0</v>
      </c>
    </row>
    <row r="696" spans="1:17" x14ac:dyDescent="0.2">
      <c r="A696" s="1" t="str">
        <f>HYPERLINK("http://www.twitter.com/Ugo_Roux/status/1171757111853944832", "1171757111853944832")</f>
        <v>1171757111853944832</v>
      </c>
      <c r="B696" t="s">
        <v>370</v>
      </c>
      <c r="C696" s="3">
        <v>43719.50509259259</v>
      </c>
      <c r="D696" s="3" t="s">
        <v>24</v>
      </c>
      <c r="E696">
        <v>1</v>
      </c>
      <c r="F696">
        <v>0</v>
      </c>
      <c r="G696">
        <v>0</v>
      </c>
      <c r="I696" t="s">
        <v>731</v>
      </c>
      <c r="J696" t="str">
        <f>HYPERLINK("http://pbs.twimg.com/media/EELq4d9W4AERsaF.jpg", "http://pbs.twimg.com/media/EELq4d9W4AERsaF.jpg")</f>
        <v>http://pbs.twimg.com/media/EELq4d9W4AERsaF.jpg</v>
      </c>
      <c r="N696">
        <v>0</v>
      </c>
      <c r="O696">
        <v>0</v>
      </c>
      <c r="P696">
        <v>1</v>
      </c>
      <c r="Q696">
        <v>0</v>
      </c>
    </row>
    <row r="697" spans="1:17" x14ac:dyDescent="0.2">
      <c r="A697" s="1" t="str">
        <f>HYPERLINK("http://www.twitter.com/Ugo_Roux/status/1171666664305364992", "1171666664305364992")</f>
        <v>1171666664305364992</v>
      </c>
      <c r="B697" t="s">
        <v>414</v>
      </c>
      <c r="C697" s="3">
        <v>43719.255497685182</v>
      </c>
      <c r="D697" s="5" t="s">
        <v>28</v>
      </c>
      <c r="E697">
        <v>0</v>
      </c>
      <c r="F697">
        <v>0</v>
      </c>
      <c r="G697">
        <v>0</v>
      </c>
      <c r="I697" t="s">
        <v>732</v>
      </c>
      <c r="J697" t="str">
        <f>HYPERLINK("http://pbs.twimg.com/media/EEKYnKoWkAE3cH6.jpg", "http://pbs.twimg.com/media/EEKYnKoWkAE3cH6.jpg")</f>
        <v>http://pbs.twimg.com/media/EEKYnKoWkAE3cH6.jpg</v>
      </c>
      <c r="N697">
        <v>0</v>
      </c>
      <c r="O697">
        <v>0</v>
      </c>
      <c r="P697">
        <v>1</v>
      </c>
      <c r="Q697">
        <v>0</v>
      </c>
    </row>
    <row r="698" spans="1:17" x14ac:dyDescent="0.2">
      <c r="A698" s="1" t="str">
        <f>HYPERLINK("http://www.twitter.com/Ugo_Roux/status/1171665610272587776", "1171665610272587776")</f>
        <v>1171665610272587776</v>
      </c>
      <c r="B698" t="s">
        <v>414</v>
      </c>
      <c r="C698" s="3">
        <v>43719.252592592587</v>
      </c>
      <c r="D698" s="5" t="s">
        <v>28</v>
      </c>
      <c r="E698">
        <v>0</v>
      </c>
      <c r="F698">
        <v>0</v>
      </c>
      <c r="G698">
        <v>0</v>
      </c>
      <c r="I698" t="s">
        <v>733</v>
      </c>
      <c r="J698" t="str">
        <f>HYPERLINK("http://pbs.twimg.com/media/EEKXp2LX4AAeWT7.jpg", "http://pbs.twimg.com/media/EEKXp2LX4AAeWT7.jpg")</f>
        <v>http://pbs.twimg.com/media/EEKXp2LX4AAeWT7.jpg</v>
      </c>
      <c r="N698">
        <v>0</v>
      </c>
      <c r="O698">
        <v>0</v>
      </c>
      <c r="P698">
        <v>1</v>
      </c>
      <c r="Q698">
        <v>0</v>
      </c>
    </row>
    <row r="699" spans="1:17" x14ac:dyDescent="0.2">
      <c r="A699" s="1" t="str">
        <f>HYPERLINK("http://www.twitter.com/Ugo_Roux/status/1171305260440334336", "1171305260440334336")</f>
        <v>1171305260440334336</v>
      </c>
      <c r="B699" t="s">
        <v>142</v>
      </c>
      <c r="C699" s="3">
        <v>43718.258217592593</v>
      </c>
      <c r="D699" s="5" t="s">
        <v>17</v>
      </c>
      <c r="E699">
        <v>2</v>
      </c>
      <c r="F699">
        <v>2</v>
      </c>
      <c r="G699">
        <v>0</v>
      </c>
      <c r="I699" t="s">
        <v>734</v>
      </c>
      <c r="J699" t="str">
        <f>HYPERLINK("http://pbs.twimg.com/media/EEFP63zXsAAzNap.jpg", "http://pbs.twimg.com/media/EEFP63zXsAAzNap.jpg")</f>
        <v>http://pbs.twimg.com/media/EEFP63zXsAAzNap.jpg</v>
      </c>
      <c r="N699">
        <v>0</v>
      </c>
      <c r="O699">
        <v>0</v>
      </c>
      <c r="P699">
        <v>1</v>
      </c>
      <c r="Q699">
        <v>0</v>
      </c>
    </row>
    <row r="700" spans="1:17" x14ac:dyDescent="0.2">
      <c r="A700" s="1" t="str">
        <f>HYPERLINK("http://www.twitter.com/Ugo_Roux/status/1170682916101394432", "1170682916101394432")</f>
        <v>1170682916101394432</v>
      </c>
      <c r="B700" t="s">
        <v>142</v>
      </c>
      <c r="C700" s="3">
        <v>43716.540879629632</v>
      </c>
      <c r="D700" s="5" t="s">
        <v>28</v>
      </c>
      <c r="E700">
        <v>2</v>
      </c>
      <c r="F700">
        <v>1</v>
      </c>
      <c r="G700">
        <v>0</v>
      </c>
      <c r="I700" t="s">
        <v>735</v>
      </c>
      <c r="J700" t="str">
        <f>HYPERLINK("http://pbs.twimg.com/media/ED8Z5n7XYAAodG9.jpg", "http://pbs.twimg.com/media/ED8Z5n7XYAAodG9.jpg")</f>
        <v>http://pbs.twimg.com/media/ED8Z5n7XYAAodG9.jpg</v>
      </c>
      <c r="N700">
        <v>0</v>
      </c>
      <c r="O700">
        <v>0</v>
      </c>
      <c r="P700">
        <v>1</v>
      </c>
      <c r="Q700">
        <v>0</v>
      </c>
    </row>
    <row r="701" spans="1:17" x14ac:dyDescent="0.2">
      <c r="A701" s="1" t="str">
        <f>HYPERLINK("http://www.twitter.com/Ugo_Roux/status/1170245043111759872", "1170245043111759872")</f>
        <v>1170245043111759872</v>
      </c>
      <c r="B701" t="s">
        <v>425</v>
      </c>
      <c r="C701" s="3">
        <v>43715.33258101852</v>
      </c>
      <c r="D701" s="5" t="s">
        <v>28</v>
      </c>
      <c r="E701">
        <v>0</v>
      </c>
      <c r="F701">
        <v>0</v>
      </c>
      <c r="G701">
        <v>0</v>
      </c>
      <c r="I701" t="s">
        <v>736</v>
      </c>
      <c r="J701" t="str">
        <f>HYPERLINK("http://pbs.twimg.com/media/ED2LqYyWwAA9Mvr.jpg", "http://pbs.twimg.com/media/ED2LqYyWwAA9Mvr.jpg")</f>
        <v>http://pbs.twimg.com/media/ED2LqYyWwAA9Mvr.jpg</v>
      </c>
      <c r="N701">
        <v>0</v>
      </c>
      <c r="O701">
        <v>0</v>
      </c>
      <c r="P701">
        <v>1</v>
      </c>
      <c r="Q701">
        <v>0</v>
      </c>
    </row>
    <row r="702" spans="1:17" x14ac:dyDescent="0.2">
      <c r="A702" s="1" t="str">
        <f>HYPERLINK("http://www.twitter.com/Ugo_Roux/status/1169946485577932800", "1169946485577932800")</f>
        <v>1169946485577932800</v>
      </c>
      <c r="B702" t="s">
        <v>142</v>
      </c>
      <c r="C702" s="3">
        <v>43714.508715277778</v>
      </c>
      <c r="D702" s="5" t="s">
        <v>28</v>
      </c>
      <c r="E702">
        <v>4</v>
      </c>
      <c r="F702">
        <v>9</v>
      </c>
      <c r="G702">
        <v>0</v>
      </c>
      <c r="I702" t="s">
        <v>737</v>
      </c>
      <c r="N702">
        <v>-0.26950000000000002</v>
      </c>
      <c r="O702">
        <v>5.8999999999999997E-2</v>
      </c>
      <c r="P702">
        <v>0.94099999999999995</v>
      </c>
      <c r="Q702">
        <v>0</v>
      </c>
    </row>
    <row r="703" spans="1:17" x14ac:dyDescent="0.2">
      <c r="A703" s="1" t="str">
        <f>HYPERLINK("http://www.twitter.com/Ugo_Roux/status/1169543178875285504", "1169543178875285504")</f>
        <v>1169543178875285504</v>
      </c>
      <c r="B703" t="s">
        <v>425</v>
      </c>
      <c r="C703" s="3">
        <v>43713.395798611113</v>
      </c>
      <c r="D703" s="5" t="s">
        <v>17</v>
      </c>
      <c r="E703">
        <v>1</v>
      </c>
      <c r="F703">
        <v>0</v>
      </c>
      <c r="G703">
        <v>0</v>
      </c>
      <c r="I703" t="s">
        <v>738</v>
      </c>
      <c r="N703">
        <v>0</v>
      </c>
      <c r="O703">
        <v>0</v>
      </c>
      <c r="P703">
        <v>1</v>
      </c>
      <c r="Q703">
        <v>0</v>
      </c>
    </row>
    <row r="704" spans="1:17" x14ac:dyDescent="0.2">
      <c r="A704" s="1" t="str">
        <f>HYPERLINK("http://www.twitter.com/Ugo_Roux/status/1169492878827118592", "1169492878827118592")</f>
        <v>1169492878827118592</v>
      </c>
      <c r="B704" t="s">
        <v>142</v>
      </c>
      <c r="C704" s="3">
        <v>43713.257002314807</v>
      </c>
      <c r="D704" s="5" t="s">
        <v>17</v>
      </c>
      <c r="E704">
        <v>0</v>
      </c>
      <c r="F704">
        <v>0</v>
      </c>
      <c r="G704">
        <v>0</v>
      </c>
      <c r="I704" t="s">
        <v>739</v>
      </c>
      <c r="N704">
        <v>0</v>
      </c>
      <c r="O704">
        <v>0</v>
      </c>
      <c r="P704">
        <v>1</v>
      </c>
      <c r="Q704">
        <v>0</v>
      </c>
    </row>
    <row r="705" spans="1:17" x14ac:dyDescent="0.2">
      <c r="A705" s="1" t="str">
        <f>HYPERLINK("http://www.twitter.com/Ugo_Roux/status/1168430181993914368", "1168430181993914368")</f>
        <v>1168430181993914368</v>
      </c>
      <c r="B705" t="s">
        <v>142</v>
      </c>
      <c r="C705" s="3">
        <v>43710.324513888889</v>
      </c>
      <c r="D705" s="5" t="s">
        <v>41</v>
      </c>
      <c r="E705">
        <v>0</v>
      </c>
      <c r="F705">
        <v>1</v>
      </c>
      <c r="G705">
        <v>0</v>
      </c>
      <c r="I705" t="s">
        <v>740</v>
      </c>
      <c r="J705" t="str">
        <f>HYPERLINK("http://pbs.twimg.com/media/EDcZDNnWwAIBEfy.jpg", "http://pbs.twimg.com/media/EDcZDNnWwAIBEfy.jpg")</f>
        <v>http://pbs.twimg.com/media/EDcZDNnWwAIBEfy.jpg</v>
      </c>
      <c r="N705">
        <v>0</v>
      </c>
      <c r="O705">
        <v>0</v>
      </c>
      <c r="P705">
        <v>1</v>
      </c>
      <c r="Q705">
        <v>0</v>
      </c>
    </row>
    <row r="706" spans="1:17" x14ac:dyDescent="0.2">
      <c r="A706" s="1" t="str">
        <f>HYPERLINK("http://www.twitter.com/Ugo_Roux/status/1168428641329516544", "1168428641329516544")</f>
        <v>1168428641329516544</v>
      </c>
      <c r="B706" t="s">
        <v>471</v>
      </c>
      <c r="C706" s="3">
        <v>43710.3202662037</v>
      </c>
      <c r="D706" s="3" t="s">
        <v>41</v>
      </c>
      <c r="E706">
        <v>0</v>
      </c>
      <c r="F706">
        <v>0</v>
      </c>
      <c r="G706">
        <v>0</v>
      </c>
      <c r="I706" t="s">
        <v>741</v>
      </c>
      <c r="J706" t="str">
        <f>HYPERLINK("http://pbs.twimg.com/media/EDcXpLLXUAI0m07.jpg", "http://pbs.twimg.com/media/EDcXpLLXUAI0m07.jpg")</f>
        <v>http://pbs.twimg.com/media/EDcXpLLXUAI0m07.jpg</v>
      </c>
      <c r="N706">
        <v>0</v>
      </c>
      <c r="O706">
        <v>0</v>
      </c>
      <c r="P706">
        <v>1</v>
      </c>
      <c r="Q706">
        <v>0</v>
      </c>
    </row>
    <row r="707" spans="1:17" x14ac:dyDescent="0.2">
      <c r="A707" s="1" t="str">
        <f>HYPERLINK("http://www.twitter.com/Ugo_Roux/status/1167703018533523456", "1167703018533523456")</f>
        <v>1167703018533523456</v>
      </c>
      <c r="B707" t="s">
        <v>471</v>
      </c>
      <c r="C707" s="3">
        <v>43708.317928240736</v>
      </c>
      <c r="D707" s="3" t="s">
        <v>41</v>
      </c>
      <c r="E707">
        <v>0</v>
      </c>
      <c r="F707">
        <v>0</v>
      </c>
      <c r="G707">
        <v>0</v>
      </c>
      <c r="I707" t="s">
        <v>742</v>
      </c>
      <c r="J707" t="str">
        <f>HYPERLINK("http://pbs.twimg.com/media/EDSDsZfWwAAg9ZE.jpg", "http://pbs.twimg.com/media/EDSDsZfWwAAg9ZE.jpg")</f>
        <v>http://pbs.twimg.com/media/EDSDsZfWwAAg9ZE.jpg</v>
      </c>
      <c r="N707">
        <v>0</v>
      </c>
      <c r="O707">
        <v>0</v>
      </c>
      <c r="P707">
        <v>1</v>
      </c>
      <c r="Q707">
        <v>0</v>
      </c>
    </row>
    <row r="708" spans="1:17" x14ac:dyDescent="0.2">
      <c r="A708" s="1" t="str">
        <f>HYPERLINK("http://www.twitter.com/Ugo_Roux/status/1166693378861490176", "1166693378861490176")</f>
        <v>1166693378861490176</v>
      </c>
      <c r="B708" t="s">
        <v>130</v>
      </c>
      <c r="C708" s="3">
        <v>43705.531851851847</v>
      </c>
      <c r="D708" s="5" t="s">
        <v>28</v>
      </c>
      <c r="E708">
        <v>0</v>
      </c>
      <c r="F708">
        <v>0</v>
      </c>
      <c r="G708">
        <v>0</v>
      </c>
      <c r="I708" t="s">
        <v>743</v>
      </c>
      <c r="J708" t="str">
        <f>HYPERLINK("http://pbs.twimg.com/media/EDDtbn9XYAEmml-.jpg", "http://pbs.twimg.com/media/EDDtbn9XYAEmml-.jpg")</f>
        <v>http://pbs.twimg.com/media/EDDtbn9XYAEmml-.jpg</v>
      </c>
      <c r="N708">
        <v>0</v>
      </c>
      <c r="O708">
        <v>0</v>
      </c>
      <c r="P708">
        <v>1</v>
      </c>
      <c r="Q708">
        <v>0</v>
      </c>
    </row>
    <row r="709" spans="1:17" x14ac:dyDescent="0.2">
      <c r="A709" s="1" t="str">
        <f>HYPERLINK("http://www.twitter.com/Ugo_Roux/status/1166599562041147399", "1166599562041147399")</f>
        <v>1166599562041147399</v>
      </c>
      <c r="B709" t="s">
        <v>471</v>
      </c>
      <c r="C709" s="3">
        <v>43705.272962962961</v>
      </c>
      <c r="D709" s="3" t="s">
        <v>28</v>
      </c>
      <c r="E709">
        <v>0</v>
      </c>
      <c r="F709">
        <v>0</v>
      </c>
      <c r="G709">
        <v>0</v>
      </c>
      <c r="I709" t="s">
        <v>744</v>
      </c>
      <c r="J709" t="str">
        <f>HYPERLINK("http://pbs.twimg.com/media/EDCX3xQXkAAM9-c.jpg", "http://pbs.twimg.com/media/EDCX3xQXkAAM9-c.jpg")</f>
        <v>http://pbs.twimg.com/media/EDCX3xQXkAAM9-c.jpg</v>
      </c>
      <c r="K709" t="str">
        <f>HYPERLINK("http://pbs.twimg.com/media/EDCX3xXW4AMeHnz.jpg", "http://pbs.twimg.com/media/EDCX3xXW4AMeHnz.jpg")</f>
        <v>http://pbs.twimg.com/media/EDCX3xXW4AMeHnz.jpg</v>
      </c>
      <c r="L709" t="str">
        <f>HYPERLINK("http://pbs.twimg.com/media/EDCX3xZXUAAUI7c.jpg", "http://pbs.twimg.com/media/EDCX3xZXUAAUI7c.jpg")</f>
        <v>http://pbs.twimg.com/media/EDCX3xZXUAAUI7c.jpg</v>
      </c>
      <c r="N709">
        <v>0.36799999999999999</v>
      </c>
      <c r="O709">
        <v>0</v>
      </c>
      <c r="P709">
        <v>0.93899999999999995</v>
      </c>
      <c r="Q709">
        <v>6.0999999999999999E-2</v>
      </c>
    </row>
    <row r="710" spans="1:17" x14ac:dyDescent="0.2">
      <c r="A710" s="1" t="str">
        <f>HYPERLINK("http://www.twitter.com/Ugo_Roux/status/1165517023524413442", "1165517023524413442")</f>
        <v>1165517023524413442</v>
      </c>
      <c r="B710" t="s">
        <v>142</v>
      </c>
      <c r="C710" s="3">
        <v>43702.285729166673</v>
      </c>
      <c r="D710" s="5" t="s">
        <v>17</v>
      </c>
      <c r="E710">
        <v>3</v>
      </c>
      <c r="F710">
        <v>1</v>
      </c>
      <c r="G710">
        <v>0</v>
      </c>
      <c r="I710" t="s">
        <v>745</v>
      </c>
      <c r="J710" t="str">
        <f>HYPERLINK("http://pbs.twimg.com/media/ECy_jIjW4AEM_Lp.jpg", "http://pbs.twimg.com/media/ECy_jIjW4AEM_Lp.jpg")</f>
        <v>http://pbs.twimg.com/media/ECy_jIjW4AEM_Lp.jpg</v>
      </c>
      <c r="N710">
        <v>0</v>
      </c>
      <c r="O710">
        <v>0</v>
      </c>
      <c r="P710">
        <v>1</v>
      </c>
      <c r="Q710">
        <v>0</v>
      </c>
    </row>
    <row r="711" spans="1:17" x14ac:dyDescent="0.2">
      <c r="A711" s="1" t="str">
        <f>HYPERLINK("http://www.twitter.com/Ugo_Roux/status/1165244445132017666", "1165244445132017666")</f>
        <v>1165244445132017666</v>
      </c>
      <c r="B711" t="s">
        <v>425</v>
      </c>
      <c r="C711" s="3">
        <v>43701.533553240741</v>
      </c>
      <c r="D711" s="5" t="s">
        <v>28</v>
      </c>
      <c r="E711">
        <v>1</v>
      </c>
      <c r="F711">
        <v>0</v>
      </c>
      <c r="G711">
        <v>0</v>
      </c>
      <c r="I711" t="s">
        <v>746</v>
      </c>
      <c r="J711" t="str">
        <f>HYPERLINK("http://pbs.twimg.com/media/ECvHo4UWwAAYa70.jpg", "http://pbs.twimg.com/media/ECvHo4UWwAAYa70.jpg")</f>
        <v>http://pbs.twimg.com/media/ECvHo4UWwAAYa70.jpg</v>
      </c>
      <c r="N711">
        <v>0</v>
      </c>
      <c r="O711">
        <v>0</v>
      </c>
      <c r="P711">
        <v>1</v>
      </c>
      <c r="Q711">
        <v>0</v>
      </c>
    </row>
    <row r="712" spans="1:17" x14ac:dyDescent="0.2">
      <c r="A712" s="1" t="str">
        <f>HYPERLINK("http://www.twitter.com/Ugo_Roux/status/1164839354579087360", "1164839354579087360")</f>
        <v>1164839354579087360</v>
      </c>
      <c r="B712" t="s">
        <v>414</v>
      </c>
      <c r="C712" s="3">
        <v>43700.415717592587</v>
      </c>
      <c r="D712" s="5" t="s">
        <v>28</v>
      </c>
      <c r="E712">
        <v>0</v>
      </c>
      <c r="F712">
        <v>0</v>
      </c>
      <c r="G712">
        <v>0</v>
      </c>
      <c r="I712" t="s">
        <v>747</v>
      </c>
      <c r="J712" t="str">
        <f>HYPERLINK("http://pbs.twimg.com/media/ECpXM0hUEAQhzT4.jpg", "http://pbs.twimg.com/media/ECpXM0hUEAQhzT4.jpg")</f>
        <v>http://pbs.twimg.com/media/ECpXM0hUEAQhzT4.jpg</v>
      </c>
      <c r="K712" t="str">
        <f>HYPERLINK("http://pbs.twimg.com/media/ECpXM0dU4AMia0V.jpg", "http://pbs.twimg.com/media/ECpXM0dU4AMia0V.jpg")</f>
        <v>http://pbs.twimg.com/media/ECpXM0dU4AMia0V.jpg</v>
      </c>
      <c r="N712">
        <v>0</v>
      </c>
      <c r="O712">
        <v>0</v>
      </c>
      <c r="P712">
        <v>1</v>
      </c>
      <c r="Q712">
        <v>0</v>
      </c>
    </row>
    <row r="713" spans="1:17" x14ac:dyDescent="0.2">
      <c r="A713" s="1" t="str">
        <f>HYPERLINK("http://www.twitter.com/Ugo_Roux/status/1164081243484491777", "1164081243484491777")</f>
        <v>1164081243484491777</v>
      </c>
      <c r="B713" t="s">
        <v>414</v>
      </c>
      <c r="C713" s="3">
        <v>43698.32372685185</v>
      </c>
      <c r="D713" s="5" t="s">
        <v>24</v>
      </c>
      <c r="E713">
        <v>0</v>
      </c>
      <c r="F713">
        <v>0</v>
      </c>
      <c r="G713">
        <v>0</v>
      </c>
      <c r="I713" t="s">
        <v>748</v>
      </c>
      <c r="J713" t="str">
        <f>HYPERLINK("http://pbs.twimg.com/media/ECelj7uXoAAhZFa.jpg", "http://pbs.twimg.com/media/ECelj7uXoAAhZFa.jpg")</f>
        <v>http://pbs.twimg.com/media/ECelj7uXoAAhZFa.jpg</v>
      </c>
      <c r="N713">
        <v>0.50929999999999997</v>
      </c>
      <c r="O713">
        <v>0</v>
      </c>
      <c r="P713">
        <v>0.752</v>
      </c>
      <c r="Q713">
        <v>0.248</v>
      </c>
    </row>
    <row r="714" spans="1:17" x14ac:dyDescent="0.2">
      <c r="A714" s="1" t="str">
        <f>HYPERLINK("http://www.twitter.com/Ugo_Roux/status/1163697435987906560", "1163697435987906560")</f>
        <v>1163697435987906560</v>
      </c>
      <c r="B714" t="s">
        <v>285</v>
      </c>
      <c r="C714" s="3">
        <v>43697.264618055553</v>
      </c>
      <c r="D714" s="5" t="s">
        <v>28</v>
      </c>
      <c r="E714">
        <v>0</v>
      </c>
      <c r="F714">
        <v>0</v>
      </c>
      <c r="G714">
        <v>0</v>
      </c>
      <c r="I714" t="s">
        <v>749</v>
      </c>
      <c r="J714" t="str">
        <f>HYPERLINK("http://pbs.twimg.com/media/ECZIpNIXoAAvZs2.jpg", "http://pbs.twimg.com/media/ECZIpNIXoAAvZs2.jpg")</f>
        <v>http://pbs.twimg.com/media/ECZIpNIXoAAvZs2.jpg</v>
      </c>
      <c r="K714" t="str">
        <f>HYPERLINK("http://pbs.twimg.com/media/ECZIpNgXkAEH8WM.jpg", "http://pbs.twimg.com/media/ECZIpNgXkAEH8WM.jpg")</f>
        <v>http://pbs.twimg.com/media/ECZIpNgXkAEH8WM.jpg</v>
      </c>
      <c r="N714">
        <v>0</v>
      </c>
      <c r="O714">
        <v>0</v>
      </c>
      <c r="P714">
        <v>1</v>
      </c>
      <c r="Q714">
        <v>0</v>
      </c>
    </row>
    <row r="715" spans="1:17" x14ac:dyDescent="0.2">
      <c r="A715" s="1" t="str">
        <f>HYPERLINK("http://www.twitter.com/Ugo_Roux/status/1161633429982785537", "1161633429982785537")</f>
        <v>1161633429982785537</v>
      </c>
      <c r="B715" t="s">
        <v>142</v>
      </c>
      <c r="C715" s="3">
        <v>43691.569050925929</v>
      </c>
      <c r="D715" s="5" t="s">
        <v>24</v>
      </c>
      <c r="E715">
        <v>1</v>
      </c>
      <c r="F715">
        <v>1</v>
      </c>
      <c r="G715">
        <v>0</v>
      </c>
      <c r="I715" t="s">
        <v>750</v>
      </c>
      <c r="J715" t="str">
        <f>HYPERLINK("http://pbs.twimg.com/media/EB7zcQ0XkAUBOV0.jpg", "http://pbs.twimg.com/media/EB7zcQ0XkAUBOV0.jpg")</f>
        <v>http://pbs.twimg.com/media/EB7zcQ0XkAUBOV0.jpg</v>
      </c>
      <c r="N715">
        <v>0</v>
      </c>
      <c r="O715">
        <v>0</v>
      </c>
      <c r="P715">
        <v>1</v>
      </c>
      <c r="Q715">
        <v>0</v>
      </c>
    </row>
    <row r="716" spans="1:17" x14ac:dyDescent="0.2">
      <c r="A716" s="1" t="str">
        <f>HYPERLINK("http://www.twitter.com/Ugo_Roux/status/1161256920562511872", "1161256920562511872")</f>
        <v>1161256920562511872</v>
      </c>
      <c r="B716" t="s">
        <v>370</v>
      </c>
      <c r="C716" s="3">
        <v>43690.530081018522</v>
      </c>
      <c r="D716" s="5" t="s">
        <v>28</v>
      </c>
      <c r="E716">
        <v>0</v>
      </c>
      <c r="F716">
        <v>0</v>
      </c>
      <c r="G716">
        <v>1</v>
      </c>
      <c r="I716" t="s">
        <v>751</v>
      </c>
      <c r="J716" t="str">
        <f>HYPERLINK("http://pbs.twimg.com/media/EB2dA6WXoAEyOFZ.jpg", "http://pbs.twimg.com/media/EB2dA6WXoAEyOFZ.jpg")</f>
        <v>http://pbs.twimg.com/media/EB2dA6WXoAEyOFZ.jpg</v>
      </c>
      <c r="N716">
        <v>0</v>
      </c>
      <c r="O716">
        <v>0</v>
      </c>
      <c r="P716">
        <v>1</v>
      </c>
      <c r="Q716">
        <v>0</v>
      </c>
    </row>
    <row r="717" spans="1:17" x14ac:dyDescent="0.2">
      <c r="A717" s="1" t="str">
        <f>HYPERLINK("http://www.twitter.com/Ugo_Roux/status/1161256746524037121", "1161256746524037121")</f>
        <v>1161256746524037121</v>
      </c>
      <c r="B717" t="s">
        <v>370</v>
      </c>
      <c r="C717" s="3">
        <v>43690.529606481483</v>
      </c>
      <c r="D717" s="5" t="s">
        <v>28</v>
      </c>
      <c r="E717">
        <v>0</v>
      </c>
      <c r="F717">
        <v>0</v>
      </c>
      <c r="G717">
        <v>0</v>
      </c>
      <c r="I717" t="s">
        <v>752</v>
      </c>
      <c r="J717" t="str">
        <f>HYPERLINK("http://pbs.twimg.com/media/EB2c20JXYAAUmbS.jpg", "http://pbs.twimg.com/media/EB2c20JXYAAUmbS.jpg")</f>
        <v>http://pbs.twimg.com/media/EB2c20JXYAAUmbS.jpg</v>
      </c>
      <c r="N717">
        <v>0</v>
      </c>
      <c r="O717">
        <v>0</v>
      </c>
      <c r="P717">
        <v>1</v>
      </c>
      <c r="Q717">
        <v>0</v>
      </c>
    </row>
    <row r="718" spans="1:17" x14ac:dyDescent="0.2">
      <c r="A718" s="1" t="str">
        <f>HYPERLINK("http://www.twitter.com/Ugo_Roux/status/1160569324328882176", "1160569324328882176")</f>
        <v>1160569324328882176</v>
      </c>
      <c r="B718" t="s">
        <v>142</v>
      </c>
      <c r="C718" s="3">
        <v>43688.632673611108</v>
      </c>
      <c r="D718" s="5" t="s">
        <v>17</v>
      </c>
      <c r="E718">
        <v>3</v>
      </c>
      <c r="F718">
        <v>2</v>
      </c>
      <c r="G718">
        <v>0</v>
      </c>
      <c r="I718" t="s">
        <v>753</v>
      </c>
      <c r="J718" t="str">
        <f>HYPERLINK("http://pbs.twimg.com/media/EBsroLxWkAIFbg4.jpg", "http://pbs.twimg.com/media/EBsroLxWkAIFbg4.jpg")</f>
        <v>http://pbs.twimg.com/media/EBsroLxWkAIFbg4.jpg</v>
      </c>
      <c r="N718">
        <v>0</v>
      </c>
      <c r="O718">
        <v>0</v>
      </c>
      <c r="P718">
        <v>1</v>
      </c>
      <c r="Q718">
        <v>0</v>
      </c>
    </row>
    <row r="719" spans="1:17" x14ac:dyDescent="0.2">
      <c r="A719" s="1" t="str">
        <f>HYPERLINK("http://www.twitter.com/Ugo_Roux/status/1159720342086176768", "1159720342086176768")</f>
        <v>1159720342086176768</v>
      </c>
      <c r="B719" t="s">
        <v>285</v>
      </c>
      <c r="C719" s="3">
        <v>43686.289930555547</v>
      </c>
      <c r="D719" s="3" t="s">
        <v>17</v>
      </c>
      <c r="E719">
        <v>1</v>
      </c>
      <c r="F719">
        <v>1</v>
      </c>
      <c r="G719">
        <v>1</v>
      </c>
      <c r="I719" t="s">
        <v>754</v>
      </c>
      <c r="J719" t="str">
        <f>HYPERLINK("http://pbs.twimg.com/media/EBgnf0QWkAAdCqZ.jpg", "http://pbs.twimg.com/media/EBgnf0QWkAAdCqZ.jpg")</f>
        <v>http://pbs.twimg.com/media/EBgnf0QWkAAdCqZ.jpg</v>
      </c>
      <c r="K719" t="str">
        <f>HYPERLINK("http://pbs.twimg.com/media/EBgnf0LXYAA1fca.jpg", "http://pbs.twimg.com/media/EBgnf0LXYAA1fca.jpg")</f>
        <v>http://pbs.twimg.com/media/EBgnf0LXYAA1fca.jpg</v>
      </c>
      <c r="L719" t="str">
        <f>HYPERLINK("http://pbs.twimg.com/media/EBgnf0SXkAIDD3u.jpg", "http://pbs.twimg.com/media/EBgnf0SXkAIDD3u.jpg")</f>
        <v>http://pbs.twimg.com/media/EBgnf0SXkAIDD3u.jpg</v>
      </c>
      <c r="N719">
        <v>0</v>
      </c>
      <c r="O719">
        <v>0</v>
      </c>
      <c r="P719">
        <v>1</v>
      </c>
      <c r="Q719">
        <v>0</v>
      </c>
    </row>
    <row r="720" spans="1:17" x14ac:dyDescent="0.2">
      <c r="A720" s="1" t="str">
        <f>HYPERLINK("http://www.twitter.com/Ugo_Roux/status/1159354658986635265", "1159354658986635265")</f>
        <v>1159354658986635265</v>
      </c>
      <c r="B720" t="s">
        <v>285</v>
      </c>
      <c r="C720" s="3">
        <v>43685.280844907407</v>
      </c>
      <c r="D720" s="5" t="s">
        <v>17</v>
      </c>
      <c r="E720">
        <v>0</v>
      </c>
      <c r="F720">
        <v>0</v>
      </c>
      <c r="G720">
        <v>0</v>
      </c>
      <c r="I720" t="s">
        <v>755</v>
      </c>
      <c r="J720" t="str">
        <f>HYPERLINK("http://pbs.twimg.com/media/EBba6iTXUAAQNIq.jpg", "http://pbs.twimg.com/media/EBba6iTXUAAQNIq.jpg")</f>
        <v>http://pbs.twimg.com/media/EBba6iTXUAAQNIq.jpg</v>
      </c>
      <c r="N720">
        <v>0.45879999999999999</v>
      </c>
      <c r="O720">
        <v>0</v>
      </c>
      <c r="P720">
        <v>0.78600000000000003</v>
      </c>
      <c r="Q720">
        <v>0.214</v>
      </c>
    </row>
    <row r="721" spans="1:17" x14ac:dyDescent="0.2">
      <c r="A721" s="1" t="str">
        <f>HYPERLINK("http://www.twitter.com/Ugo_Roux/status/1159074675013619712", "1159074675013619712")</f>
        <v>1159074675013619712</v>
      </c>
      <c r="B721" t="s">
        <v>130</v>
      </c>
      <c r="C721" s="3">
        <v>43684.508229166669</v>
      </c>
      <c r="D721" s="5" t="s">
        <v>41</v>
      </c>
      <c r="E721">
        <v>0</v>
      </c>
      <c r="F721">
        <v>0</v>
      </c>
      <c r="G721">
        <v>0</v>
      </c>
      <c r="I721" t="s">
        <v>756</v>
      </c>
      <c r="J721" t="str">
        <f>HYPERLINK("http://pbs.twimg.com/media/EBXcMg7WsAArfAr.jpg", "http://pbs.twimg.com/media/EBXcMg7WsAArfAr.jpg")</f>
        <v>http://pbs.twimg.com/media/EBXcMg7WsAArfAr.jpg</v>
      </c>
      <c r="N721">
        <v>0</v>
      </c>
      <c r="O721">
        <v>0</v>
      </c>
      <c r="P721">
        <v>1</v>
      </c>
      <c r="Q721">
        <v>0</v>
      </c>
    </row>
    <row r="722" spans="1:17" x14ac:dyDescent="0.2">
      <c r="A722" s="1" t="str">
        <f>HYPERLINK("http://www.twitter.com/Ugo_Roux/status/1159034391483564032", "1159034391483564032")</f>
        <v>1159034391483564032</v>
      </c>
      <c r="B722" t="s">
        <v>471</v>
      </c>
      <c r="C722" s="3">
        <v>43684.39707175926</v>
      </c>
      <c r="D722" s="3" t="s">
        <v>17</v>
      </c>
      <c r="E722">
        <v>0</v>
      </c>
      <c r="F722">
        <v>0</v>
      </c>
      <c r="G722">
        <v>0</v>
      </c>
      <c r="I722" t="s">
        <v>757</v>
      </c>
      <c r="J722" t="str">
        <f>HYPERLINK("http://pbs.twimg.com/media/EBW3nziW4AAngux.jpg", "http://pbs.twimg.com/media/EBW3nziW4AAngux.jpg")</f>
        <v>http://pbs.twimg.com/media/EBW3nziW4AAngux.jpg</v>
      </c>
      <c r="N722">
        <v>0.53739999999999999</v>
      </c>
      <c r="O722">
        <v>4.5999999999999999E-2</v>
      </c>
      <c r="P722">
        <v>0.84499999999999997</v>
      </c>
      <c r="Q722">
        <v>0.109</v>
      </c>
    </row>
    <row r="723" spans="1:17" x14ac:dyDescent="0.2">
      <c r="A723" s="1" t="str">
        <f>HYPERLINK("http://www.twitter.com/Ugo_Roux/status/1158989418616762368", "1158989418616762368")</f>
        <v>1158989418616762368</v>
      </c>
      <c r="B723" t="s">
        <v>285</v>
      </c>
      <c r="C723" s="3">
        <v>43684.272974537038</v>
      </c>
      <c r="D723" s="5" t="s">
        <v>17</v>
      </c>
      <c r="E723">
        <v>0</v>
      </c>
      <c r="F723">
        <v>0</v>
      </c>
      <c r="G723">
        <v>0</v>
      </c>
      <c r="I723" t="s">
        <v>758</v>
      </c>
      <c r="J723" t="str">
        <f>HYPERLINK("http://pbs.twimg.com/media/EBWOuwlW4AAG_vH.jpg", "http://pbs.twimg.com/media/EBWOuwlW4AAG_vH.jpg")</f>
        <v>http://pbs.twimg.com/media/EBWOuwlW4AAG_vH.jpg</v>
      </c>
      <c r="N723">
        <v>0</v>
      </c>
      <c r="O723">
        <v>0</v>
      </c>
      <c r="P723">
        <v>1</v>
      </c>
      <c r="Q723">
        <v>0</v>
      </c>
    </row>
    <row r="724" spans="1:17" x14ac:dyDescent="0.2">
      <c r="A724" s="1" t="str">
        <f>HYPERLINK("http://www.twitter.com/Ugo_Roux/status/1158709762290307072", "1158709762290307072")</f>
        <v>1158709762290307072</v>
      </c>
      <c r="B724" t="s">
        <v>285</v>
      </c>
      <c r="C724" s="3">
        <v>43683.501261574071</v>
      </c>
      <c r="D724" s="5" t="s">
        <v>239</v>
      </c>
      <c r="E724">
        <v>0</v>
      </c>
      <c r="F724">
        <v>0</v>
      </c>
      <c r="G724">
        <v>0</v>
      </c>
      <c r="I724" t="s">
        <v>759</v>
      </c>
      <c r="N724">
        <v>0</v>
      </c>
      <c r="O724">
        <v>0</v>
      </c>
      <c r="P724">
        <v>1</v>
      </c>
      <c r="Q724">
        <v>0</v>
      </c>
    </row>
    <row r="725" spans="1:17" x14ac:dyDescent="0.2">
      <c r="A725" s="1" t="str">
        <f>HYPERLINK("http://www.twitter.com/Ugo_Roux/status/1158627153996595200", "1158627153996595200")</f>
        <v>1158627153996595200</v>
      </c>
      <c r="B725" t="s">
        <v>285</v>
      </c>
      <c r="C725" s="3">
        <v>43683.273310185177</v>
      </c>
      <c r="D725" s="5" t="s">
        <v>460</v>
      </c>
      <c r="E725">
        <v>0</v>
      </c>
      <c r="F725">
        <v>0</v>
      </c>
      <c r="G725">
        <v>0</v>
      </c>
      <c r="I725" t="s">
        <v>760</v>
      </c>
      <c r="N725">
        <v>0</v>
      </c>
      <c r="O725">
        <v>0</v>
      </c>
      <c r="P725">
        <v>1</v>
      </c>
      <c r="Q725">
        <v>0</v>
      </c>
    </row>
    <row r="726" spans="1:17" x14ac:dyDescent="0.2">
      <c r="A726" s="1" t="str">
        <f>HYPERLINK("http://www.twitter.com/Ugo_Roux/status/1158624005781446656", "1158624005781446656")</f>
        <v>1158624005781446656</v>
      </c>
      <c r="B726" t="s">
        <v>285</v>
      </c>
      <c r="C726" s="3">
        <v>43683.264618055553</v>
      </c>
      <c r="D726" s="5" t="s">
        <v>17</v>
      </c>
      <c r="E726">
        <v>1</v>
      </c>
      <c r="F726">
        <v>1</v>
      </c>
      <c r="G726">
        <v>0</v>
      </c>
      <c r="I726" t="s">
        <v>761</v>
      </c>
      <c r="N726">
        <v>0</v>
      </c>
      <c r="O726">
        <v>0</v>
      </c>
      <c r="P726">
        <v>1</v>
      </c>
      <c r="Q726">
        <v>0</v>
      </c>
    </row>
    <row r="727" spans="1:17" x14ac:dyDescent="0.2">
      <c r="A727" s="1" t="str">
        <f>HYPERLINK("http://www.twitter.com/Ugo_Roux/status/1158275845737332737", "1158275845737332737")</f>
        <v>1158275845737332737</v>
      </c>
      <c r="B727" t="s">
        <v>471</v>
      </c>
      <c r="C727" s="3">
        <v>43682.303888888891</v>
      </c>
      <c r="D727" s="3" t="s">
        <v>239</v>
      </c>
      <c r="E727">
        <v>2</v>
      </c>
      <c r="F727">
        <v>1</v>
      </c>
      <c r="G727">
        <v>0</v>
      </c>
      <c r="I727" t="s">
        <v>762</v>
      </c>
      <c r="J727" t="str">
        <f>HYPERLINK("http://pbs.twimg.com/media/EBMFvH8XoAAytjw.jpg", "http://pbs.twimg.com/media/EBMFvH8XoAAytjw.jpg")</f>
        <v>http://pbs.twimg.com/media/EBMFvH8XoAAytjw.jpg</v>
      </c>
      <c r="N727">
        <v>0</v>
      </c>
      <c r="O727">
        <v>0</v>
      </c>
      <c r="P727">
        <v>1</v>
      </c>
      <c r="Q727">
        <v>0</v>
      </c>
    </row>
    <row r="728" spans="1:17" x14ac:dyDescent="0.2">
      <c r="A728" s="1" t="str">
        <f>HYPERLINK("http://www.twitter.com/Ugo_Roux/status/1157667852825923584", "1157667852825923584")</f>
        <v>1157667852825923584</v>
      </c>
      <c r="B728" t="s">
        <v>97</v>
      </c>
      <c r="C728" s="3">
        <v>43680.626145833332</v>
      </c>
      <c r="D728" s="5" t="s">
        <v>24</v>
      </c>
      <c r="E728">
        <v>2</v>
      </c>
      <c r="F728">
        <v>0</v>
      </c>
      <c r="G728">
        <v>0</v>
      </c>
      <c r="I728" t="s">
        <v>763</v>
      </c>
      <c r="J728" t="str">
        <f>HYPERLINK("http://pbs.twimg.com/media/EBDcxueUIAIazXX.jpg", "http://pbs.twimg.com/media/EBDcxueUIAIazXX.jpg")</f>
        <v>http://pbs.twimg.com/media/EBDcxueUIAIazXX.jpg</v>
      </c>
      <c r="N728">
        <v>0</v>
      </c>
      <c r="O728">
        <v>0</v>
      </c>
      <c r="P728">
        <v>1</v>
      </c>
      <c r="Q728">
        <v>0</v>
      </c>
    </row>
    <row r="729" spans="1:17" x14ac:dyDescent="0.2">
      <c r="A729" s="1" t="str">
        <f>HYPERLINK("http://www.twitter.com/Ugo_Roux/status/1157598460046131201", "1157598460046131201")</f>
        <v>1157598460046131201</v>
      </c>
      <c r="B729" t="s">
        <v>285</v>
      </c>
      <c r="C729" s="3">
        <v>43680.434652777767</v>
      </c>
      <c r="D729" s="5" t="s">
        <v>28</v>
      </c>
      <c r="E729">
        <v>0</v>
      </c>
      <c r="F729">
        <v>0</v>
      </c>
      <c r="G729">
        <v>0</v>
      </c>
      <c r="I729" t="s">
        <v>764</v>
      </c>
      <c r="J729" t="str">
        <f>HYPERLINK("http://pbs.twimg.com/media/EBCdqDOWwAAA9et.jpg", "http://pbs.twimg.com/media/EBCdqDOWwAAA9et.jpg")</f>
        <v>http://pbs.twimg.com/media/EBCdqDOWwAAA9et.jpg</v>
      </c>
      <c r="N729">
        <v>0</v>
      </c>
      <c r="O729">
        <v>0</v>
      </c>
      <c r="P729">
        <v>1</v>
      </c>
      <c r="Q729">
        <v>0</v>
      </c>
    </row>
    <row r="730" spans="1:17" x14ac:dyDescent="0.2">
      <c r="A730" s="1" t="str">
        <f>HYPERLINK("http://www.twitter.com/Ugo_Roux/status/1157321168346636290", "1157321168346636290")</f>
        <v>1157321168346636290</v>
      </c>
      <c r="B730" t="s">
        <v>425</v>
      </c>
      <c r="C730" s="3">
        <v>43679.669479166667</v>
      </c>
      <c r="D730" s="5" t="s">
        <v>17</v>
      </c>
      <c r="E730">
        <v>0</v>
      </c>
      <c r="F730">
        <v>0</v>
      </c>
      <c r="G730">
        <v>0</v>
      </c>
      <c r="I730" t="s">
        <v>765</v>
      </c>
      <c r="N730">
        <v>0</v>
      </c>
      <c r="O730">
        <v>0</v>
      </c>
      <c r="P730">
        <v>1</v>
      </c>
      <c r="Q730">
        <v>0</v>
      </c>
    </row>
    <row r="731" spans="1:17" x14ac:dyDescent="0.2">
      <c r="A731" s="1" t="str">
        <f>HYPERLINK("http://www.twitter.com/Ugo_Roux/status/1157285486777552899", "1157285486777552899")</f>
        <v>1157285486777552899</v>
      </c>
      <c r="B731" t="s">
        <v>47</v>
      </c>
      <c r="C731" s="3">
        <v>43679.571018518523</v>
      </c>
      <c r="D731" s="5" t="s">
        <v>17</v>
      </c>
      <c r="E731">
        <v>0</v>
      </c>
      <c r="F731">
        <v>1</v>
      </c>
      <c r="G731">
        <v>0</v>
      </c>
      <c r="I731" t="s">
        <v>766</v>
      </c>
      <c r="J731" t="str">
        <f>HYPERLINK("http://pbs.twimg.com/media/EA-BA-SWsAAv7hf.png", "http://pbs.twimg.com/media/EA-BA-SWsAAv7hf.png")</f>
        <v>http://pbs.twimg.com/media/EA-BA-SWsAAv7hf.png</v>
      </c>
      <c r="N731">
        <v>0</v>
      </c>
      <c r="O731">
        <v>0</v>
      </c>
      <c r="P731">
        <v>1</v>
      </c>
      <c r="Q731">
        <v>0</v>
      </c>
    </row>
    <row r="732" spans="1:17" x14ac:dyDescent="0.2">
      <c r="A732" s="1" t="str">
        <f>HYPERLINK("http://www.twitter.com/Ugo_Roux/status/1156990394330230785", "1156990394330230785")</f>
        <v>1156990394330230785</v>
      </c>
      <c r="B732" t="s">
        <v>142</v>
      </c>
      <c r="C732" s="3">
        <v>43678.756712962961</v>
      </c>
      <c r="D732" s="5" t="s">
        <v>28</v>
      </c>
      <c r="E732">
        <v>0</v>
      </c>
      <c r="F732">
        <v>0</v>
      </c>
      <c r="G732">
        <v>0</v>
      </c>
      <c r="I732" t="s">
        <v>767</v>
      </c>
      <c r="N732">
        <v>0</v>
      </c>
      <c r="O732">
        <v>0</v>
      </c>
      <c r="P732">
        <v>1</v>
      </c>
      <c r="Q732">
        <v>0</v>
      </c>
    </row>
    <row r="733" spans="1:17" x14ac:dyDescent="0.2">
      <c r="A733" s="1" t="str">
        <f>HYPERLINK("http://www.twitter.com/Ugo_Roux/status/1156104733343604738", "1156104733343604738")</f>
        <v>1156104733343604738</v>
      </c>
      <c r="B733" t="s">
        <v>285</v>
      </c>
      <c r="C733" s="3">
        <v>43676.312754629631</v>
      </c>
      <c r="D733" s="5" t="s">
        <v>17</v>
      </c>
      <c r="E733">
        <v>1</v>
      </c>
      <c r="F733">
        <v>0</v>
      </c>
      <c r="G733">
        <v>0</v>
      </c>
      <c r="I733" t="s">
        <v>768</v>
      </c>
      <c r="J733" t="str">
        <f>HYPERLINK("http://pbs.twimg.com/media/EAtPHygWkAAvl_M.jpg", "http://pbs.twimg.com/media/EAtPHygWkAAvl_M.jpg")</f>
        <v>http://pbs.twimg.com/media/EAtPHygWkAAvl_M.jpg</v>
      </c>
      <c r="N733">
        <v>0</v>
      </c>
      <c r="O733">
        <v>0</v>
      </c>
      <c r="P733">
        <v>1</v>
      </c>
      <c r="Q733">
        <v>0</v>
      </c>
    </row>
    <row r="734" spans="1:17" x14ac:dyDescent="0.2">
      <c r="A734" s="1" t="str">
        <f>HYPERLINK("http://www.twitter.com/Ugo_Roux/status/1156100100931932160", "1156100100931932160")</f>
        <v>1156100100931932160</v>
      </c>
      <c r="B734" t="s">
        <v>142</v>
      </c>
      <c r="C734" s="3">
        <v>43676.299976851849</v>
      </c>
      <c r="D734" s="5" t="s">
        <v>28</v>
      </c>
      <c r="E734">
        <v>7</v>
      </c>
      <c r="F734">
        <v>4</v>
      </c>
      <c r="G734">
        <v>0</v>
      </c>
      <c r="I734" t="s">
        <v>769</v>
      </c>
      <c r="J734" t="str">
        <f>HYPERLINK("http://pbs.twimg.com/media/EAtK5GSW4AEIsnP.jpg", "http://pbs.twimg.com/media/EAtK5GSW4AEIsnP.jpg")</f>
        <v>http://pbs.twimg.com/media/EAtK5GSW4AEIsnP.jpg</v>
      </c>
      <c r="K734" t="str">
        <f>HYPERLINK("http://pbs.twimg.com/media/EAtK5GOXsAArpWU.jpg", "http://pbs.twimg.com/media/EAtK5GOXsAArpWU.jpg")</f>
        <v>http://pbs.twimg.com/media/EAtK5GOXsAArpWU.jpg</v>
      </c>
      <c r="N734">
        <v>0</v>
      </c>
      <c r="O734">
        <v>0</v>
      </c>
      <c r="P734">
        <v>1</v>
      </c>
      <c r="Q734">
        <v>0</v>
      </c>
    </row>
    <row r="735" spans="1:17" x14ac:dyDescent="0.2">
      <c r="A735" s="1" t="str">
        <f>HYPERLINK("http://www.twitter.com/Ugo_Roux/status/1155803095487668225", "1155803095487668225")</f>
        <v>1155803095487668225</v>
      </c>
      <c r="B735" t="s">
        <v>142</v>
      </c>
      <c r="C735" s="3">
        <v>43675.480393518519</v>
      </c>
      <c r="D735" s="5" t="s">
        <v>28</v>
      </c>
      <c r="E735">
        <v>4</v>
      </c>
      <c r="F735">
        <v>1</v>
      </c>
      <c r="G735">
        <v>0</v>
      </c>
      <c r="I735" t="s">
        <v>770</v>
      </c>
      <c r="J735" t="str">
        <f>HYPERLINK("http://pbs.twimg.com/media/EAo8yMwXYAEZ-un.jpg", "http://pbs.twimg.com/media/EAo8yMwXYAEZ-un.jpg")</f>
        <v>http://pbs.twimg.com/media/EAo8yMwXYAEZ-un.jpg</v>
      </c>
      <c r="N735">
        <v>0</v>
      </c>
      <c r="O735">
        <v>0</v>
      </c>
      <c r="P735">
        <v>1</v>
      </c>
      <c r="Q735">
        <v>0</v>
      </c>
    </row>
    <row r="736" spans="1:17" x14ac:dyDescent="0.2">
      <c r="A736" s="1" t="str">
        <f>HYPERLINK("http://www.twitter.com/Ugo_Roux/status/1154104336022147074", "1154104336022147074")</f>
        <v>1154104336022147074</v>
      </c>
      <c r="B736" t="s">
        <v>142</v>
      </c>
      <c r="C736" s="3">
        <v>43670.792708333327</v>
      </c>
      <c r="D736" s="5" t="s">
        <v>24</v>
      </c>
      <c r="E736">
        <v>1</v>
      </c>
      <c r="F736">
        <v>2</v>
      </c>
      <c r="G736">
        <v>0</v>
      </c>
      <c r="I736" t="s">
        <v>771</v>
      </c>
      <c r="J736" t="str">
        <f>HYPERLINK("http://pbs.twimg.com/media/EAQzxhDXoAAc0m2.jpg", "http://pbs.twimg.com/media/EAQzxhDXoAAc0m2.jpg")</f>
        <v>http://pbs.twimg.com/media/EAQzxhDXoAAc0m2.jpg</v>
      </c>
      <c r="N736">
        <v>0</v>
      </c>
      <c r="O736">
        <v>0</v>
      </c>
      <c r="P736">
        <v>1</v>
      </c>
      <c r="Q736">
        <v>0</v>
      </c>
    </row>
    <row r="737" spans="1:17" x14ac:dyDescent="0.2">
      <c r="A737" s="1" t="str">
        <f>HYPERLINK("http://www.twitter.com/Ugo_Roux/status/1154038608484900864", "1154038608484900864")</f>
        <v>1154038608484900864</v>
      </c>
      <c r="B737" t="s">
        <v>425</v>
      </c>
      <c r="C737" s="3">
        <v>43670.611331018517</v>
      </c>
      <c r="D737" s="5" t="s">
        <v>24</v>
      </c>
      <c r="E737">
        <v>0</v>
      </c>
      <c r="F737">
        <v>0</v>
      </c>
      <c r="G737">
        <v>0</v>
      </c>
      <c r="I737" t="s">
        <v>772</v>
      </c>
      <c r="N737">
        <v>0</v>
      </c>
      <c r="O737">
        <v>0</v>
      </c>
      <c r="P737">
        <v>1</v>
      </c>
      <c r="Q737">
        <v>0</v>
      </c>
    </row>
    <row r="738" spans="1:17" x14ac:dyDescent="0.2">
      <c r="A738" s="1" t="str">
        <f>HYPERLINK("http://www.twitter.com/Ugo_Roux/status/1153952572543098885", "1153952572543098885")</f>
        <v>1153952572543098885</v>
      </c>
      <c r="B738" t="s">
        <v>425</v>
      </c>
      <c r="C738" s="3">
        <v>43670.373923611107</v>
      </c>
      <c r="D738" s="5" t="s">
        <v>41</v>
      </c>
      <c r="E738">
        <v>0</v>
      </c>
      <c r="F738">
        <v>0</v>
      </c>
      <c r="G738">
        <v>0</v>
      </c>
      <c r="I738" t="s">
        <v>773</v>
      </c>
      <c r="J738" t="str">
        <f>HYPERLINK("http://pbs.twimg.com/media/EAOpu40W4AEBxAd.jpg", "http://pbs.twimg.com/media/EAOpu40W4AEBxAd.jpg")</f>
        <v>http://pbs.twimg.com/media/EAOpu40W4AEBxAd.jpg</v>
      </c>
      <c r="N738">
        <v>0</v>
      </c>
      <c r="O738">
        <v>0</v>
      </c>
      <c r="P738">
        <v>1</v>
      </c>
      <c r="Q738">
        <v>0</v>
      </c>
    </row>
    <row r="739" spans="1:17" x14ac:dyDescent="0.2">
      <c r="A739" s="1" t="str">
        <f>HYPERLINK("http://www.twitter.com/Ugo_Roux/status/1153914078798024704", "1153914078798024704")</f>
        <v>1153914078798024704</v>
      </c>
      <c r="B739" t="s">
        <v>285</v>
      </c>
      <c r="C739" s="3">
        <v>43670.267696759263</v>
      </c>
      <c r="D739" s="5" t="s">
        <v>17</v>
      </c>
      <c r="E739">
        <v>3</v>
      </c>
      <c r="F739">
        <v>0</v>
      </c>
      <c r="G739">
        <v>1</v>
      </c>
      <c r="I739" t="s">
        <v>774</v>
      </c>
      <c r="J739" t="str">
        <f>HYPERLINK("http://pbs.twimg.com/media/EAOGt1tXoAEo4M6.jpg", "http://pbs.twimg.com/media/EAOGt1tXoAEo4M6.jpg")</f>
        <v>http://pbs.twimg.com/media/EAOGt1tXoAEo4M6.jpg</v>
      </c>
      <c r="N739">
        <v>0</v>
      </c>
      <c r="O739">
        <v>0</v>
      </c>
      <c r="P739">
        <v>1</v>
      </c>
      <c r="Q739">
        <v>0</v>
      </c>
    </row>
    <row r="740" spans="1:17" x14ac:dyDescent="0.2">
      <c r="A740" s="1" t="str">
        <f>HYPERLINK("http://www.twitter.com/Ugo_Roux/status/1153673296094945283", "1153673296094945283")</f>
        <v>1153673296094945283</v>
      </c>
      <c r="B740" t="s">
        <v>47</v>
      </c>
      <c r="C740" s="3">
        <v>43669.603263888886</v>
      </c>
      <c r="D740" s="5" t="s">
        <v>24</v>
      </c>
      <c r="E740">
        <v>0</v>
      </c>
      <c r="F740">
        <v>1</v>
      </c>
      <c r="G740">
        <v>1</v>
      </c>
      <c r="I740" t="s">
        <v>775</v>
      </c>
      <c r="J740" t="str">
        <f>HYPERLINK("http://pbs.twimg.com/media/EAKrv0NWwAotD26.jpg", "http://pbs.twimg.com/media/EAKrv0NWwAotD26.jpg")</f>
        <v>http://pbs.twimg.com/media/EAKrv0NWwAotD26.jpg</v>
      </c>
      <c r="N740">
        <v>0</v>
      </c>
      <c r="O740">
        <v>0</v>
      </c>
      <c r="P740">
        <v>1</v>
      </c>
      <c r="Q740">
        <v>0</v>
      </c>
    </row>
    <row r="741" spans="1:17" x14ac:dyDescent="0.2">
      <c r="A741" s="1" t="str">
        <f>HYPERLINK("http://www.twitter.com/Ugo_Roux/status/1153600559754153984", "1153600559754153984")</f>
        <v>1153600559754153984</v>
      </c>
      <c r="B741" t="s">
        <v>206</v>
      </c>
      <c r="C741" s="3">
        <v>43669.402546296304</v>
      </c>
      <c r="D741" s="5" t="s">
        <v>24</v>
      </c>
      <c r="E741">
        <v>1</v>
      </c>
      <c r="F741">
        <v>1</v>
      </c>
      <c r="G741">
        <v>0</v>
      </c>
      <c r="I741" t="s">
        <v>776</v>
      </c>
      <c r="N741">
        <v>0</v>
      </c>
      <c r="O741">
        <v>0</v>
      </c>
      <c r="P741">
        <v>1</v>
      </c>
      <c r="Q741">
        <v>0</v>
      </c>
    </row>
    <row r="742" spans="1:17" x14ac:dyDescent="0.2">
      <c r="A742" s="1" t="str">
        <f>HYPERLINK("http://www.twitter.com/Ugo_Roux/status/1153597012052447232", "1153597012052447232")</f>
        <v>1153597012052447232</v>
      </c>
      <c r="B742" t="s">
        <v>206</v>
      </c>
      <c r="C742" s="3">
        <v>43669.392766203702</v>
      </c>
      <c r="D742" s="5" t="s">
        <v>17</v>
      </c>
      <c r="E742">
        <v>2</v>
      </c>
      <c r="F742">
        <v>0</v>
      </c>
      <c r="G742">
        <v>0</v>
      </c>
      <c r="I742" t="s">
        <v>777</v>
      </c>
      <c r="J742" t="str">
        <f>HYPERLINK("http://pbs.twimg.com/media/EAJmWD1W4AE5V-w.jpg", "http://pbs.twimg.com/media/EAJmWD1W4AE5V-w.jpg")</f>
        <v>http://pbs.twimg.com/media/EAJmWD1W4AE5V-w.jpg</v>
      </c>
      <c r="N742">
        <v>0.2732</v>
      </c>
      <c r="O742">
        <v>0</v>
      </c>
      <c r="P742">
        <v>0.76900000000000002</v>
      </c>
      <c r="Q742">
        <v>0.23100000000000001</v>
      </c>
    </row>
    <row r="743" spans="1:17" x14ac:dyDescent="0.2">
      <c r="A743" s="1" t="str">
        <f>HYPERLINK("http://www.twitter.com/Ugo_Roux/status/1153552861806116864", "1153552861806116864")</f>
        <v>1153552861806116864</v>
      </c>
      <c r="B743" t="s">
        <v>285</v>
      </c>
      <c r="C743" s="3">
        <v>43669.270925925928</v>
      </c>
      <c r="D743" s="5" t="s">
        <v>28</v>
      </c>
      <c r="E743">
        <v>0</v>
      </c>
      <c r="F743">
        <v>0</v>
      </c>
      <c r="G743">
        <v>0</v>
      </c>
      <c r="I743" t="s">
        <v>778</v>
      </c>
      <c r="J743" t="str">
        <f>HYPERLINK("http://pbs.twimg.com/media/EAI-Ds6XUAELqC-.png", "http://pbs.twimg.com/media/EAI-Ds6XUAELqC-.png")</f>
        <v>http://pbs.twimg.com/media/EAI-Ds6XUAELqC-.png</v>
      </c>
      <c r="K743" t="str">
        <f>HYPERLINK("http://pbs.twimg.com/media/EAI-EiRXUAEQVLw.jpg", "http://pbs.twimg.com/media/EAI-EiRXUAEQVLw.jpg")</f>
        <v>http://pbs.twimg.com/media/EAI-EiRXUAEQVLw.jpg</v>
      </c>
      <c r="L743" t="str">
        <f>HYPERLINK("http://pbs.twimg.com/media/EAI-FWEX4AE7APR.jpg", "http://pbs.twimg.com/media/EAI-FWEX4AE7APR.jpg")</f>
        <v>http://pbs.twimg.com/media/EAI-FWEX4AE7APR.jpg</v>
      </c>
      <c r="M743" t="str">
        <f>HYPERLINK("http://pbs.twimg.com/media/EAI-GZmX4AE6LRl.jpg", "http://pbs.twimg.com/media/EAI-GZmX4AE6LRl.jpg")</f>
        <v>http://pbs.twimg.com/media/EAI-GZmX4AE6LRl.jpg</v>
      </c>
      <c r="N743">
        <v>0</v>
      </c>
      <c r="O743">
        <v>0</v>
      </c>
      <c r="P743">
        <v>1</v>
      </c>
      <c r="Q743">
        <v>0</v>
      </c>
    </row>
    <row r="744" spans="1:17" x14ac:dyDescent="0.2">
      <c r="A744" s="1" t="str">
        <f>HYPERLINK("http://www.twitter.com/Ugo_Roux/status/1153551484157665280", "1153551484157665280")</f>
        <v>1153551484157665280</v>
      </c>
      <c r="B744" t="s">
        <v>142</v>
      </c>
      <c r="C744" s="3">
        <v>43669.267129629632</v>
      </c>
      <c r="D744" s="5" t="s">
        <v>28</v>
      </c>
      <c r="E744">
        <v>4</v>
      </c>
      <c r="F744">
        <v>2</v>
      </c>
      <c r="G744">
        <v>1</v>
      </c>
      <c r="I744" t="s">
        <v>779</v>
      </c>
      <c r="J744" t="str">
        <f>HYPERLINK("http://pbs.twimg.com/media/EAI88DkWkAEd420.jpg", "http://pbs.twimg.com/media/EAI88DkWkAEd420.jpg")</f>
        <v>http://pbs.twimg.com/media/EAI88DkWkAEd420.jpg</v>
      </c>
      <c r="N744">
        <v>0</v>
      </c>
      <c r="O744">
        <v>0</v>
      </c>
      <c r="P744">
        <v>1</v>
      </c>
      <c r="Q744">
        <v>0</v>
      </c>
    </row>
    <row r="745" spans="1:17" x14ac:dyDescent="0.2">
      <c r="A745" s="1" t="str">
        <f>HYPERLINK("http://www.twitter.com/Ugo_Roux/status/1152654249161048066", "1152654249161048066")</f>
        <v>1152654249161048066</v>
      </c>
      <c r="B745" t="s">
        <v>142</v>
      </c>
      <c r="C745" s="3">
        <v>43666.791226851848</v>
      </c>
      <c r="D745" s="5" t="s">
        <v>41</v>
      </c>
      <c r="E745">
        <v>2</v>
      </c>
      <c r="F745">
        <v>0</v>
      </c>
      <c r="G745">
        <v>0</v>
      </c>
      <c r="I745" t="s">
        <v>780</v>
      </c>
      <c r="N745">
        <v>0</v>
      </c>
      <c r="O745">
        <v>0</v>
      </c>
      <c r="P745">
        <v>1</v>
      </c>
      <c r="Q745">
        <v>0</v>
      </c>
    </row>
    <row r="746" spans="1:17" x14ac:dyDescent="0.2">
      <c r="A746" s="1" t="str">
        <f>HYPERLINK("http://www.twitter.com/Ugo_Roux/status/1152255224981131265", "1152255224981131265")</f>
        <v>1152255224981131265</v>
      </c>
      <c r="B746" t="s">
        <v>206</v>
      </c>
      <c r="C746" s="3">
        <v>43665.690138888887</v>
      </c>
      <c r="D746" s="5" t="s">
        <v>17</v>
      </c>
      <c r="E746">
        <v>14</v>
      </c>
      <c r="F746">
        <v>7</v>
      </c>
      <c r="G746">
        <v>1</v>
      </c>
      <c r="I746" t="s">
        <v>781</v>
      </c>
      <c r="J746" t="str">
        <f>HYPERLINK("http://pbs.twimg.com/media/D_2hyUhXUAAFuae.jpg", "http://pbs.twimg.com/media/D_2hyUhXUAAFuae.jpg")</f>
        <v>http://pbs.twimg.com/media/D_2hyUhXUAAFuae.jpg</v>
      </c>
      <c r="N746">
        <v>0</v>
      </c>
      <c r="O746">
        <v>0</v>
      </c>
      <c r="P746">
        <v>1</v>
      </c>
      <c r="Q746">
        <v>0</v>
      </c>
    </row>
    <row r="747" spans="1:17" x14ac:dyDescent="0.2">
      <c r="A747" s="1" t="str">
        <f>HYPERLINK("http://www.twitter.com/Ugo_Roux/status/1152209930675531777", "1152209930675531777")</f>
        <v>1152209930675531777</v>
      </c>
      <c r="B747" t="s">
        <v>414</v>
      </c>
      <c r="C747" s="3">
        <v>43665.565150462957</v>
      </c>
      <c r="D747" s="5" t="s">
        <v>24</v>
      </c>
      <c r="E747">
        <v>0</v>
      </c>
      <c r="F747">
        <v>0</v>
      </c>
      <c r="G747">
        <v>0</v>
      </c>
      <c r="I747" t="s">
        <v>782</v>
      </c>
      <c r="J747" t="str">
        <f>HYPERLINK("http://pbs.twimg.com/media/D_140GrWwAYhwbd.jpg", "http://pbs.twimg.com/media/D_140GrWwAYhwbd.jpg")</f>
        <v>http://pbs.twimg.com/media/D_140GrWwAYhwbd.jpg</v>
      </c>
      <c r="N747">
        <v>-0.20030000000000001</v>
      </c>
      <c r="O747">
        <v>5.5E-2</v>
      </c>
      <c r="P747">
        <v>0.94499999999999995</v>
      </c>
      <c r="Q747">
        <v>0</v>
      </c>
    </row>
    <row r="748" spans="1:17" x14ac:dyDescent="0.2">
      <c r="A748" s="1" t="str">
        <f>HYPERLINK("http://www.twitter.com/Ugo_Roux/status/1152190503267590150", "1152190503267590150")</f>
        <v>1152190503267590150</v>
      </c>
      <c r="B748" t="s">
        <v>206</v>
      </c>
      <c r="C748" s="3">
        <v>43665.51153935185</v>
      </c>
      <c r="D748" s="5" t="s">
        <v>41</v>
      </c>
      <c r="E748">
        <v>5</v>
      </c>
      <c r="F748">
        <v>4</v>
      </c>
      <c r="G748">
        <v>0</v>
      </c>
      <c r="I748" t="s">
        <v>783</v>
      </c>
      <c r="J748" t="str">
        <f>HYPERLINK("http://pbs.twimg.com/media/D_1nCpDXoAAT9ad.jpg", "http://pbs.twimg.com/media/D_1nCpDXoAAT9ad.jpg")</f>
        <v>http://pbs.twimg.com/media/D_1nCpDXoAAT9ad.jpg</v>
      </c>
      <c r="K748" t="str">
        <f>HYPERLINK("http://pbs.twimg.com/media/D_1nEm3WkAE6Yur.jpg", "http://pbs.twimg.com/media/D_1nEm3WkAE6Yur.jpg")</f>
        <v>http://pbs.twimg.com/media/D_1nEm3WkAE6Yur.jpg</v>
      </c>
      <c r="N748">
        <v>0</v>
      </c>
      <c r="O748">
        <v>0</v>
      </c>
      <c r="P748">
        <v>1</v>
      </c>
      <c r="Q748">
        <v>0</v>
      </c>
    </row>
    <row r="749" spans="1:17" x14ac:dyDescent="0.2">
      <c r="A749" s="1" t="str">
        <f>HYPERLINK("http://www.twitter.com/Ugo_Roux/status/1152171772520873984", "1152171772520873984")</f>
        <v>1152171772520873984</v>
      </c>
      <c r="B749" t="s">
        <v>285</v>
      </c>
      <c r="C749" s="3">
        <v>43665.459849537037</v>
      </c>
      <c r="D749" s="3" t="s">
        <v>17</v>
      </c>
      <c r="E749">
        <v>5</v>
      </c>
      <c r="F749">
        <v>0</v>
      </c>
      <c r="G749">
        <v>1</v>
      </c>
      <c r="I749" t="s">
        <v>784</v>
      </c>
      <c r="J749" t="str">
        <f>HYPERLINK("http://pbs.twimg.com/media/D_1V3aNX4AA0oWJ.jpg", "http://pbs.twimg.com/media/D_1V3aNX4AA0oWJ.jpg")</f>
        <v>http://pbs.twimg.com/media/D_1V3aNX4AA0oWJ.jpg</v>
      </c>
      <c r="K749" t="str">
        <f>HYPERLINK("http://pbs.twimg.com/media/D_1V4dmXsAEDJQl.jpg", "http://pbs.twimg.com/media/D_1V4dmXsAEDJQl.jpg")</f>
        <v>http://pbs.twimg.com/media/D_1V4dmXsAEDJQl.jpg</v>
      </c>
      <c r="L749" t="str">
        <f>HYPERLINK("http://pbs.twimg.com/media/D_1V8k_XkAInCzv.jpg", "http://pbs.twimg.com/media/D_1V8k_XkAInCzv.jpg")</f>
        <v>http://pbs.twimg.com/media/D_1V8k_XkAInCzv.jpg</v>
      </c>
      <c r="N749">
        <v>0</v>
      </c>
      <c r="O749">
        <v>0</v>
      </c>
      <c r="P749">
        <v>1</v>
      </c>
      <c r="Q749">
        <v>0</v>
      </c>
    </row>
    <row r="750" spans="1:17" x14ac:dyDescent="0.2">
      <c r="A750" s="1" t="str">
        <f>HYPERLINK("http://www.twitter.com/Ugo_Roux/status/1151889761973526528", "1151889761973526528")</f>
        <v>1151889761973526528</v>
      </c>
      <c r="B750" t="s">
        <v>456</v>
      </c>
      <c r="C750" s="3">
        <v>43664.681643518517</v>
      </c>
      <c r="D750" t="s">
        <v>28</v>
      </c>
      <c r="E750">
        <v>3</v>
      </c>
      <c r="F750">
        <v>0</v>
      </c>
      <c r="G750">
        <v>0</v>
      </c>
      <c r="I750" t="s">
        <v>785</v>
      </c>
      <c r="N750">
        <v>0</v>
      </c>
      <c r="O750">
        <v>0</v>
      </c>
      <c r="P750">
        <v>1</v>
      </c>
      <c r="Q750">
        <v>0</v>
      </c>
    </row>
    <row r="751" spans="1:17" x14ac:dyDescent="0.2">
      <c r="A751" s="1" t="str">
        <f>HYPERLINK("http://www.twitter.com/Ugo_Roux/status/1151793767797727233", "1151793767797727233")</f>
        <v>1151793767797727233</v>
      </c>
      <c r="B751" t="s">
        <v>47</v>
      </c>
      <c r="C751" s="3">
        <v>43664.416759259257</v>
      </c>
      <c r="D751" s="5" t="s">
        <v>41</v>
      </c>
      <c r="E751">
        <v>9</v>
      </c>
      <c r="F751">
        <v>3</v>
      </c>
      <c r="G751">
        <v>0</v>
      </c>
      <c r="I751" t="s">
        <v>786</v>
      </c>
      <c r="J751" t="str">
        <f>HYPERLINK("http://pbs.twimg.com/media/D_v-SZEX4AAMXuD.jpg", "http://pbs.twimg.com/media/D_v-SZEX4AAMXuD.jpg")</f>
        <v>http://pbs.twimg.com/media/D_v-SZEX4AAMXuD.jpg</v>
      </c>
      <c r="K751" t="str">
        <f>HYPERLINK("http://pbs.twimg.com/media/D_v-SZEXsAA1tpf.jpg", "http://pbs.twimg.com/media/D_v-SZEXsAA1tpf.jpg")</f>
        <v>http://pbs.twimg.com/media/D_v-SZEXsAA1tpf.jpg</v>
      </c>
      <c r="N751">
        <v>0</v>
      </c>
      <c r="O751">
        <v>0</v>
      </c>
      <c r="P751">
        <v>1</v>
      </c>
      <c r="Q751">
        <v>0</v>
      </c>
    </row>
    <row r="752" spans="1:17" x14ac:dyDescent="0.2">
      <c r="A752" s="1" t="str">
        <f>HYPERLINK("http://www.twitter.com/Ugo_Roux/status/1151731765553324032", "1151731765553324032")</f>
        <v>1151731765553324032</v>
      </c>
      <c r="B752" t="s">
        <v>142</v>
      </c>
      <c r="C752" s="3">
        <v>43664.245659722219</v>
      </c>
      <c r="D752" s="5" t="s">
        <v>28</v>
      </c>
      <c r="E752">
        <v>2</v>
      </c>
      <c r="F752">
        <v>1</v>
      </c>
      <c r="G752">
        <v>0</v>
      </c>
      <c r="I752" t="s">
        <v>787</v>
      </c>
      <c r="J752" t="str">
        <f>HYPERLINK("http://pbs.twimg.com/media/D_vF5UrWkAApM6I.jpg", "http://pbs.twimg.com/media/D_vF5UrWkAApM6I.jpg")</f>
        <v>http://pbs.twimg.com/media/D_vF5UrWkAApM6I.jpg</v>
      </c>
      <c r="N752">
        <v>0</v>
      </c>
      <c r="O752">
        <v>0</v>
      </c>
      <c r="P752">
        <v>1</v>
      </c>
      <c r="Q752">
        <v>0</v>
      </c>
    </row>
    <row r="753" spans="1:17" x14ac:dyDescent="0.2">
      <c r="A753" s="1" t="str">
        <f>HYPERLINK("http://www.twitter.com/Ugo_Roux/status/1151495170581499909", "1151495170581499909")</f>
        <v>1151495170581499909</v>
      </c>
      <c r="B753" t="s">
        <v>206</v>
      </c>
      <c r="C753" s="3">
        <v>43663.592789351853</v>
      </c>
      <c r="D753" s="5" t="s">
        <v>41</v>
      </c>
      <c r="E753">
        <v>3</v>
      </c>
      <c r="F753">
        <v>0</v>
      </c>
      <c r="G753">
        <v>0</v>
      </c>
      <c r="I753" t="s">
        <v>788</v>
      </c>
      <c r="J753" t="str">
        <f>HYPERLINK("http://pbs.twimg.com/media/D_rub07WwAA2W-z.jpg", "http://pbs.twimg.com/media/D_rub07WwAA2W-z.jpg")</f>
        <v>http://pbs.twimg.com/media/D_rub07WwAA2W-z.jpg</v>
      </c>
      <c r="K753" t="str">
        <f>HYPERLINK("http://pbs.twimg.com/media/D_rub09XsAE1DHs.jpg", "http://pbs.twimg.com/media/D_rub09XsAE1DHs.jpg")</f>
        <v>http://pbs.twimg.com/media/D_rub09XsAE1DHs.jpg</v>
      </c>
      <c r="L753" t="str">
        <f>HYPERLINK("http://pbs.twimg.com/media/D_rub1OXoAAxoT2.jpg", "http://pbs.twimg.com/media/D_rub1OXoAAxoT2.jpg")</f>
        <v>http://pbs.twimg.com/media/D_rub1OXoAAxoT2.jpg</v>
      </c>
      <c r="N753">
        <v>0</v>
      </c>
      <c r="O753">
        <v>0</v>
      </c>
      <c r="P753">
        <v>1</v>
      </c>
      <c r="Q753">
        <v>0</v>
      </c>
    </row>
    <row r="754" spans="1:17" x14ac:dyDescent="0.2">
      <c r="A754" s="1" t="str">
        <f>HYPERLINK("http://www.twitter.com/Ugo_Roux/status/1151435335777300480", "1151435335777300480")</f>
        <v>1151435335777300480</v>
      </c>
      <c r="B754" t="s">
        <v>206</v>
      </c>
      <c r="C754" s="3">
        <v>43663.427673611113</v>
      </c>
      <c r="D754" s="5" t="s">
        <v>17</v>
      </c>
      <c r="E754">
        <v>2</v>
      </c>
      <c r="F754">
        <v>1</v>
      </c>
      <c r="G754">
        <v>0</v>
      </c>
      <c r="I754" t="s">
        <v>789</v>
      </c>
      <c r="J754" t="str">
        <f>HYPERLINK("http://pbs.twimg.com/media/D_qzK1CW4AAPOcF.jpg", "http://pbs.twimg.com/media/D_qzK1CW4AAPOcF.jpg")</f>
        <v>http://pbs.twimg.com/media/D_qzK1CW4AAPOcF.jpg</v>
      </c>
      <c r="K754" t="str">
        <f>HYPERLINK("http://pbs.twimg.com/media/D_q30WuXoAA47mu.jpg", "http://pbs.twimg.com/media/D_q30WuXoAA47mu.jpg")</f>
        <v>http://pbs.twimg.com/media/D_q30WuXoAA47mu.jpg</v>
      </c>
      <c r="L754" t="str">
        <f>HYPERLINK("http://pbs.twimg.com/media/D_q4A_DW4AAoGSt.jpg", "http://pbs.twimg.com/media/D_q4A_DW4AAoGSt.jpg")</f>
        <v>http://pbs.twimg.com/media/D_q4A_DW4AAoGSt.jpg</v>
      </c>
      <c r="N754">
        <v>0.35780000000000001</v>
      </c>
      <c r="O754">
        <v>0</v>
      </c>
      <c r="P754">
        <v>0.91</v>
      </c>
      <c r="Q754">
        <v>0.09</v>
      </c>
    </row>
    <row r="755" spans="1:17" x14ac:dyDescent="0.2">
      <c r="A755" s="1" t="str">
        <f>HYPERLINK("http://www.twitter.com/Ugo_Roux/status/1151378842247991296", "1151378842247991296")</f>
        <v>1151378842247991296</v>
      </c>
      <c r="B755" t="s">
        <v>142</v>
      </c>
      <c r="C755" s="3">
        <v>43663.271782407413</v>
      </c>
      <c r="D755" s="5" t="s">
        <v>17</v>
      </c>
      <c r="E755">
        <v>3</v>
      </c>
      <c r="F755">
        <v>1</v>
      </c>
      <c r="G755">
        <v>0</v>
      </c>
      <c r="I755" t="s">
        <v>790</v>
      </c>
      <c r="N755">
        <v>0</v>
      </c>
      <c r="O755">
        <v>0</v>
      </c>
      <c r="P755">
        <v>1</v>
      </c>
      <c r="Q755">
        <v>0</v>
      </c>
    </row>
    <row r="756" spans="1:17" x14ac:dyDescent="0.2">
      <c r="A756" s="1" t="str">
        <f>HYPERLINK("http://www.twitter.com/Ugo_Roux/status/1149663337879183360", "1149663337879183360")</f>
        <v>1149663337879183360</v>
      </c>
      <c r="B756" t="s">
        <v>142</v>
      </c>
      <c r="C756" s="3">
        <v>43658.537893518522</v>
      </c>
      <c r="D756" s="5" t="s">
        <v>17</v>
      </c>
      <c r="E756">
        <v>2</v>
      </c>
      <c r="F756">
        <v>0</v>
      </c>
      <c r="G756">
        <v>0</v>
      </c>
      <c r="I756" t="s">
        <v>791</v>
      </c>
      <c r="J756" t="str">
        <f>HYPERLINK("http://pbs.twimg.com/media/D_RstXBUcAAbW4N.jpg", "http://pbs.twimg.com/media/D_RstXBUcAAbW4N.jpg")</f>
        <v>http://pbs.twimg.com/media/D_RstXBUcAAbW4N.jpg</v>
      </c>
      <c r="N756">
        <v>0</v>
      </c>
      <c r="O756">
        <v>0</v>
      </c>
      <c r="P756">
        <v>1</v>
      </c>
      <c r="Q756">
        <v>0</v>
      </c>
    </row>
    <row r="757" spans="1:17" x14ac:dyDescent="0.2">
      <c r="A757" s="1" t="str">
        <f>HYPERLINK("http://www.twitter.com/Ugo_Roux/status/1149301044721147904", "1149301044721147904")</f>
        <v>1149301044721147904</v>
      </c>
      <c r="B757" t="s">
        <v>425</v>
      </c>
      <c r="C757" s="3">
        <v>43657.538148148153</v>
      </c>
      <c r="D757" s="5" t="s">
        <v>17</v>
      </c>
      <c r="E757">
        <v>0</v>
      </c>
      <c r="F757">
        <v>0</v>
      </c>
      <c r="G757">
        <v>0</v>
      </c>
      <c r="I757" t="s">
        <v>792</v>
      </c>
      <c r="N757">
        <v>0.27139999999999997</v>
      </c>
      <c r="O757">
        <v>0</v>
      </c>
      <c r="P757">
        <v>0.93899999999999995</v>
      </c>
      <c r="Q757">
        <v>6.0999999999999999E-2</v>
      </c>
    </row>
    <row r="758" spans="1:17" x14ac:dyDescent="0.2">
      <c r="A758" s="1" t="str">
        <f>HYPERLINK("http://www.twitter.com/Ugo_Roux/status/1149239887603912704", "1149239887603912704")</f>
        <v>1149239887603912704</v>
      </c>
      <c r="B758" t="s">
        <v>206</v>
      </c>
      <c r="C758" s="3">
        <v>43657.369386574072</v>
      </c>
      <c r="D758" s="5" t="s">
        <v>28</v>
      </c>
      <c r="E758">
        <v>14</v>
      </c>
      <c r="F758">
        <v>5</v>
      </c>
      <c r="G758">
        <v>1</v>
      </c>
      <c r="I758" t="s">
        <v>793</v>
      </c>
      <c r="J758" t="str">
        <f>HYPERLINK("http://pbs.twimg.com/media/D_LraH8WsAAf-_M.jpg", "http://pbs.twimg.com/media/D_LraH8WsAAf-_M.jpg")</f>
        <v>http://pbs.twimg.com/media/D_LraH8WsAAf-_M.jpg</v>
      </c>
      <c r="N758">
        <v>0</v>
      </c>
      <c r="O758">
        <v>0</v>
      </c>
      <c r="P758">
        <v>1</v>
      </c>
      <c r="Q758">
        <v>0</v>
      </c>
    </row>
    <row r="759" spans="1:17" x14ac:dyDescent="0.2">
      <c r="A759" s="1" t="str">
        <f>HYPERLINK("http://www.twitter.com/Ugo_Roux/status/1149238320163164160", "1149238320163164160")</f>
        <v>1149238320163164160</v>
      </c>
      <c r="B759" t="s">
        <v>285</v>
      </c>
      <c r="C759" s="3">
        <v>43657.365057870367</v>
      </c>
      <c r="D759" s="5" t="s">
        <v>17</v>
      </c>
      <c r="E759">
        <v>1</v>
      </c>
      <c r="F759">
        <v>0</v>
      </c>
      <c r="G759">
        <v>0</v>
      </c>
      <c r="I759" t="s">
        <v>794</v>
      </c>
      <c r="N759">
        <v>0</v>
      </c>
      <c r="O759">
        <v>0</v>
      </c>
      <c r="P759">
        <v>1</v>
      </c>
      <c r="Q759">
        <v>0</v>
      </c>
    </row>
    <row r="760" spans="1:17" x14ac:dyDescent="0.2">
      <c r="A760" s="1" t="str">
        <f>HYPERLINK("http://www.twitter.com/Ugo_Roux/status/1149232482904154112", "1149232482904154112")</f>
        <v>1149232482904154112</v>
      </c>
      <c r="B760" t="s">
        <v>142</v>
      </c>
      <c r="C760" s="3">
        <v>43657.348958333343</v>
      </c>
      <c r="D760" s="5" t="s">
        <v>28</v>
      </c>
      <c r="E760">
        <v>2</v>
      </c>
      <c r="F760">
        <v>0</v>
      </c>
      <c r="G760">
        <v>0</v>
      </c>
      <c r="I760" t="s">
        <v>795</v>
      </c>
      <c r="N760">
        <v>0.36120000000000002</v>
      </c>
      <c r="O760">
        <v>4.8000000000000001E-2</v>
      </c>
      <c r="P760">
        <v>0.85699999999999998</v>
      </c>
      <c r="Q760">
        <v>9.5000000000000001E-2</v>
      </c>
    </row>
    <row r="761" spans="1:17" x14ac:dyDescent="0.2">
      <c r="A761" s="1" t="str">
        <f>HYPERLINK("http://www.twitter.com/Ugo_Roux/status/1148978299605061632", "1148978299605061632")</f>
        <v>1148978299605061632</v>
      </c>
      <c r="B761" t="s">
        <v>130</v>
      </c>
      <c r="C761" s="3">
        <v>43656.647546296299</v>
      </c>
      <c r="D761" s="5" t="s">
        <v>41</v>
      </c>
      <c r="E761">
        <v>0</v>
      </c>
      <c r="F761">
        <v>0</v>
      </c>
      <c r="G761">
        <v>0</v>
      </c>
      <c r="I761" t="s">
        <v>796</v>
      </c>
      <c r="J761" t="str">
        <f>HYPERLINK("http://pbs.twimg.com/media/D_H8smlX4AAy49N.jpg", "http://pbs.twimg.com/media/D_H8smlX4AAy49N.jpg")</f>
        <v>http://pbs.twimg.com/media/D_H8smlX4AAy49N.jpg</v>
      </c>
      <c r="N761">
        <v>0</v>
      </c>
      <c r="O761">
        <v>0</v>
      </c>
      <c r="P761">
        <v>1</v>
      </c>
      <c r="Q761">
        <v>0</v>
      </c>
    </row>
    <row r="762" spans="1:17" x14ac:dyDescent="0.2">
      <c r="A762" s="1" t="str">
        <f>HYPERLINK("http://www.twitter.com/Ugo_Roux/status/1148888298204672000", "1148888298204672000")</f>
        <v>1148888298204672000</v>
      </c>
      <c r="B762" t="s">
        <v>97</v>
      </c>
      <c r="C762" s="3">
        <v>43656.399189814823</v>
      </c>
      <c r="D762" s="5" t="s">
        <v>17</v>
      </c>
      <c r="E762">
        <v>0</v>
      </c>
      <c r="F762">
        <v>0</v>
      </c>
      <c r="G762">
        <v>0</v>
      </c>
      <c r="I762" t="s">
        <v>797</v>
      </c>
      <c r="J762" t="str">
        <f>HYPERLINK("http://pbs.twimg.com/media/D_Gr0OfXUAAx4fz.jpg", "http://pbs.twimg.com/media/D_Gr0OfXUAAx4fz.jpg")</f>
        <v>http://pbs.twimg.com/media/D_Gr0OfXUAAx4fz.jpg</v>
      </c>
      <c r="N762">
        <v>-0.128</v>
      </c>
      <c r="O762">
        <v>0.10299999999999999</v>
      </c>
      <c r="P762">
        <v>0.89700000000000002</v>
      </c>
      <c r="Q762">
        <v>0</v>
      </c>
    </row>
    <row r="763" spans="1:17" x14ac:dyDescent="0.2">
      <c r="A763" s="1" t="str">
        <f>HYPERLINK("http://www.twitter.com/Ugo_Roux/status/1148521038273290240", "1148521038273290240")</f>
        <v>1148521038273290240</v>
      </c>
      <c r="B763" t="s">
        <v>476</v>
      </c>
      <c r="C763" s="3">
        <v>43655.385740740741</v>
      </c>
      <c r="D763" s="5" t="s">
        <v>24</v>
      </c>
      <c r="E763">
        <v>0</v>
      </c>
      <c r="F763">
        <v>0</v>
      </c>
      <c r="G763">
        <v>0</v>
      </c>
      <c r="I763" t="s">
        <v>798</v>
      </c>
      <c r="J763" t="str">
        <f>HYPERLINK("http://pbs.twimg.com/media/D_BduEEXkAA4o8G.jpg", "http://pbs.twimg.com/media/D_BduEEXkAA4o8G.jpg")</f>
        <v>http://pbs.twimg.com/media/D_BduEEXkAA4o8G.jpg</v>
      </c>
      <c r="N763">
        <v>0</v>
      </c>
      <c r="O763">
        <v>0</v>
      </c>
      <c r="P763">
        <v>1</v>
      </c>
      <c r="Q763">
        <v>0</v>
      </c>
    </row>
    <row r="764" spans="1:17" x14ac:dyDescent="0.2">
      <c r="A764" s="1" t="str">
        <f>HYPERLINK("http://www.twitter.com/Ugo_Roux/status/1148278572282290176", "1148278572282290176")</f>
        <v>1148278572282290176</v>
      </c>
      <c r="B764" t="s">
        <v>47</v>
      </c>
      <c r="C764" s="3">
        <v>43654.716666666667</v>
      </c>
      <c r="D764" s="5" t="s">
        <v>28</v>
      </c>
      <c r="E764">
        <v>3</v>
      </c>
      <c r="F764">
        <v>0</v>
      </c>
      <c r="G764">
        <v>0</v>
      </c>
      <c r="I764" t="s">
        <v>799</v>
      </c>
      <c r="N764">
        <v>0</v>
      </c>
      <c r="O764">
        <v>0</v>
      </c>
      <c r="P764">
        <v>1</v>
      </c>
      <c r="Q764">
        <v>0</v>
      </c>
    </row>
    <row r="765" spans="1:17" x14ac:dyDescent="0.2">
      <c r="A765" s="1" t="str">
        <f>HYPERLINK("http://www.twitter.com/Ugo_Roux/status/1147532720874147840", "1147532720874147840")</f>
        <v>1147532720874147840</v>
      </c>
      <c r="B765" t="s">
        <v>456</v>
      </c>
      <c r="C765" s="3">
        <v>43652.658506944441</v>
      </c>
      <c r="D765" t="s">
        <v>17</v>
      </c>
      <c r="E765">
        <v>7</v>
      </c>
      <c r="F765">
        <v>0</v>
      </c>
      <c r="G765">
        <v>0</v>
      </c>
      <c r="I765" t="s">
        <v>800</v>
      </c>
      <c r="J765" t="str">
        <f>HYPERLINK("http://pbs.twimg.com/media/D-za56DXoAADWSU.jpg", "http://pbs.twimg.com/media/D-za56DXoAADWSU.jpg")</f>
        <v>http://pbs.twimg.com/media/D-za56DXoAADWSU.jpg</v>
      </c>
      <c r="N765">
        <v>0</v>
      </c>
      <c r="O765">
        <v>0</v>
      </c>
      <c r="P765">
        <v>1</v>
      </c>
      <c r="Q765">
        <v>0</v>
      </c>
    </row>
    <row r="766" spans="1:17" x14ac:dyDescent="0.2">
      <c r="A766" s="1" t="str">
        <f>HYPERLINK("http://www.twitter.com/Ugo_Roux/status/1147521205794201601", "1147521205794201601")</f>
        <v>1147521205794201601</v>
      </c>
      <c r="B766" t="s">
        <v>425</v>
      </c>
      <c r="C766" s="3">
        <v>43652.626736111109</v>
      </c>
      <c r="D766" s="5" t="s">
        <v>17</v>
      </c>
      <c r="E766">
        <v>0</v>
      </c>
      <c r="F766">
        <v>0</v>
      </c>
      <c r="G766">
        <v>0</v>
      </c>
      <c r="I766" t="s">
        <v>801</v>
      </c>
      <c r="J766" t="str">
        <f>HYPERLINK("http://pbs.twimg.com/media/D-zQbJaXkAA8LlM.jpg", "http://pbs.twimg.com/media/D-zQbJaXkAA8LlM.jpg")</f>
        <v>http://pbs.twimg.com/media/D-zQbJaXkAA8LlM.jpg</v>
      </c>
      <c r="N766">
        <v>0</v>
      </c>
      <c r="O766">
        <v>0</v>
      </c>
      <c r="P766">
        <v>1</v>
      </c>
      <c r="Q766">
        <v>0</v>
      </c>
    </row>
    <row r="767" spans="1:17" x14ac:dyDescent="0.2">
      <c r="A767" s="1" t="str">
        <f>HYPERLINK("http://www.twitter.com/Ugo_Roux/status/1147173591760461825", "1147173591760461825")</f>
        <v>1147173591760461825</v>
      </c>
      <c r="B767" t="s">
        <v>414</v>
      </c>
      <c r="C767" s="3">
        <v>43651.667500000003</v>
      </c>
      <c r="D767" s="5" t="s">
        <v>28</v>
      </c>
      <c r="E767">
        <v>0</v>
      </c>
      <c r="F767">
        <v>0</v>
      </c>
      <c r="G767">
        <v>0</v>
      </c>
      <c r="I767" t="s">
        <v>802</v>
      </c>
      <c r="J767" t="str">
        <f>HYPERLINK("http://pbs.twimg.com/media/D-uUPsuWwAA7LNC.jpg", "http://pbs.twimg.com/media/D-uUPsuWwAA7LNC.jpg")</f>
        <v>http://pbs.twimg.com/media/D-uUPsuWwAA7LNC.jpg</v>
      </c>
      <c r="N767">
        <v>0</v>
      </c>
      <c r="O767">
        <v>0</v>
      </c>
      <c r="P767">
        <v>1</v>
      </c>
      <c r="Q767">
        <v>0</v>
      </c>
    </row>
    <row r="768" spans="1:17" x14ac:dyDescent="0.2">
      <c r="A768" s="1" t="str">
        <f>HYPERLINK("http://www.twitter.com/Ugo_Roux/status/1147158139298557953", "1147158139298557953")</f>
        <v>1147158139298557953</v>
      </c>
      <c r="B768" t="s">
        <v>47</v>
      </c>
      <c r="C768" s="3">
        <v>43651.624861111108</v>
      </c>
      <c r="D768" s="5" t="s">
        <v>41</v>
      </c>
      <c r="E768">
        <v>3</v>
      </c>
      <c r="F768">
        <v>1</v>
      </c>
      <c r="G768">
        <v>0</v>
      </c>
      <c r="I768" t="s">
        <v>803</v>
      </c>
      <c r="J768" t="str">
        <f>HYPERLINK("http://pbs.twimg.com/media/D-uFkhvXUAY83mk.jpg", "http://pbs.twimg.com/media/D-uFkhvXUAY83mk.jpg")</f>
        <v>http://pbs.twimg.com/media/D-uFkhvXUAY83mk.jpg</v>
      </c>
      <c r="K768" t="str">
        <f>HYPERLINK("http://pbs.twimg.com/media/D-uFkh4W4AA3qbB.jpg", "http://pbs.twimg.com/media/D-uFkh4W4AA3qbB.jpg")</f>
        <v>http://pbs.twimg.com/media/D-uFkh4W4AA3qbB.jpg</v>
      </c>
      <c r="N768">
        <v>0</v>
      </c>
      <c r="O768">
        <v>0</v>
      </c>
      <c r="P768">
        <v>1</v>
      </c>
      <c r="Q768">
        <v>0</v>
      </c>
    </row>
    <row r="769" spans="1:17" x14ac:dyDescent="0.2">
      <c r="A769" s="1" t="str">
        <f>HYPERLINK("http://www.twitter.com/Ugo_Roux/status/1147139395994210304", "1147139395994210304")</f>
        <v>1147139395994210304</v>
      </c>
      <c r="B769" t="s">
        <v>414</v>
      </c>
      <c r="C769" s="3">
        <v>43651.573136574072</v>
      </c>
      <c r="D769" s="5" t="s">
        <v>24</v>
      </c>
      <c r="E769">
        <v>0</v>
      </c>
      <c r="F769">
        <v>0</v>
      </c>
      <c r="G769">
        <v>0</v>
      </c>
      <c r="I769" t="s">
        <v>804</v>
      </c>
      <c r="J769" t="str">
        <f>HYPERLINK("http://pbs.twimg.com/media/D-t1AOHWsAA2tUO.jpg", "http://pbs.twimg.com/media/D-t1AOHWsAA2tUO.jpg")</f>
        <v>http://pbs.twimg.com/media/D-t1AOHWsAA2tUO.jpg</v>
      </c>
      <c r="N769">
        <v>0</v>
      </c>
      <c r="O769">
        <v>0</v>
      </c>
      <c r="P769">
        <v>1</v>
      </c>
      <c r="Q769">
        <v>0</v>
      </c>
    </row>
    <row r="770" spans="1:17" x14ac:dyDescent="0.2">
      <c r="A770" s="1" t="str">
        <f>HYPERLINK("http://www.twitter.com/Ugo_Roux/status/1146748836725047296", "1146748836725047296")</f>
        <v>1146748836725047296</v>
      </c>
      <c r="B770" t="s">
        <v>97</v>
      </c>
      <c r="C770" s="3">
        <v>43650.495393518519</v>
      </c>
      <c r="D770" s="5" t="s">
        <v>17</v>
      </c>
      <c r="E770">
        <v>1</v>
      </c>
      <c r="F770">
        <v>0</v>
      </c>
      <c r="G770">
        <v>0</v>
      </c>
      <c r="I770" t="s">
        <v>805</v>
      </c>
      <c r="J770" t="str">
        <f>HYPERLINK("http://pbs.twimg.com/media/D-oR_W7W4AERF8Y.jpg", "http://pbs.twimg.com/media/D-oR_W7W4AERF8Y.jpg")</f>
        <v>http://pbs.twimg.com/media/D-oR_W7W4AERF8Y.jpg</v>
      </c>
      <c r="N770">
        <v>0</v>
      </c>
      <c r="O770">
        <v>0</v>
      </c>
      <c r="P770">
        <v>1</v>
      </c>
      <c r="Q770">
        <v>0</v>
      </c>
    </row>
    <row r="771" spans="1:17" x14ac:dyDescent="0.2">
      <c r="A771" s="1" t="str">
        <f>HYPERLINK("http://www.twitter.com/Ugo_Roux/status/1146710100150804480", "1146710100150804480")</f>
        <v>1146710100150804480</v>
      </c>
      <c r="B771" t="s">
        <v>97</v>
      </c>
      <c r="C771" s="3">
        <v>43650.388506944437</v>
      </c>
      <c r="D771" s="5" t="s">
        <v>17</v>
      </c>
      <c r="E771">
        <v>1</v>
      </c>
      <c r="F771">
        <v>0</v>
      </c>
      <c r="G771">
        <v>0</v>
      </c>
      <c r="I771" t="s">
        <v>806</v>
      </c>
      <c r="J771" t="str">
        <f>HYPERLINK("http://pbs.twimg.com/media/D-nuwiXXkAAPC5l.jpg", "http://pbs.twimg.com/media/D-nuwiXXkAAPC5l.jpg")</f>
        <v>http://pbs.twimg.com/media/D-nuwiXXkAAPC5l.jpg</v>
      </c>
      <c r="N771">
        <v>-0.128</v>
      </c>
      <c r="O771">
        <v>0.10299999999999999</v>
      </c>
      <c r="P771">
        <v>0.89700000000000002</v>
      </c>
      <c r="Q771">
        <v>0</v>
      </c>
    </row>
    <row r="772" spans="1:17" x14ac:dyDescent="0.2">
      <c r="A772" s="1" t="str">
        <f>HYPERLINK("http://www.twitter.com/Ugo_Roux/status/1146432206191124480", "1146432206191124480")</f>
        <v>1146432206191124480</v>
      </c>
      <c r="B772" t="s">
        <v>97</v>
      </c>
      <c r="C772" s="3">
        <v>43649.621666666673</v>
      </c>
      <c r="D772" s="5" t="s">
        <v>41</v>
      </c>
      <c r="E772">
        <v>1</v>
      </c>
      <c r="F772">
        <v>0</v>
      </c>
      <c r="G772">
        <v>0</v>
      </c>
      <c r="I772" t="s">
        <v>807</v>
      </c>
      <c r="J772" t="str">
        <f>HYPERLINK("http://pbs.twimg.com/media/D-jyA-SXoAEremh.jpg", "http://pbs.twimg.com/media/D-jyA-SXoAEremh.jpg")</f>
        <v>http://pbs.twimg.com/media/D-jyA-SXoAEremh.jpg</v>
      </c>
      <c r="N772">
        <v>0</v>
      </c>
      <c r="O772">
        <v>0</v>
      </c>
      <c r="P772">
        <v>1</v>
      </c>
      <c r="Q772">
        <v>0</v>
      </c>
    </row>
    <row r="773" spans="1:17" x14ac:dyDescent="0.2">
      <c r="A773" s="1" t="str">
        <f>HYPERLINK("http://www.twitter.com/Ugo_Roux/status/1146303948942446594", "1146303948942446594")</f>
        <v>1146303948942446594</v>
      </c>
      <c r="B773" t="s">
        <v>285</v>
      </c>
      <c r="C773" s="3">
        <v>43649.267743055563</v>
      </c>
      <c r="D773" s="5" t="s">
        <v>28</v>
      </c>
      <c r="E773">
        <v>0</v>
      </c>
      <c r="F773">
        <v>0</v>
      </c>
      <c r="G773">
        <v>0</v>
      </c>
      <c r="I773" t="s">
        <v>808</v>
      </c>
      <c r="N773">
        <v>0</v>
      </c>
      <c r="O773">
        <v>0</v>
      </c>
      <c r="P773">
        <v>1</v>
      </c>
      <c r="Q773">
        <v>0</v>
      </c>
    </row>
    <row r="774" spans="1:17" x14ac:dyDescent="0.2">
      <c r="A774" s="1" t="str">
        <f>HYPERLINK("http://www.twitter.com/Ugo_Roux/status/1146095399826055170", "1146095399826055170")</f>
        <v>1146095399826055170</v>
      </c>
      <c r="B774" t="s">
        <v>142</v>
      </c>
      <c r="C774" s="3">
        <v>43648.692256944443</v>
      </c>
      <c r="D774" s="5" t="s">
        <v>28</v>
      </c>
      <c r="E774">
        <v>1</v>
      </c>
      <c r="F774">
        <v>4</v>
      </c>
      <c r="G774">
        <v>0</v>
      </c>
      <c r="I774" t="s">
        <v>809</v>
      </c>
      <c r="J774" t="str">
        <f>HYPERLINK("http://pbs.twimg.com/media/D-e_sGOWsAIQkc5.jpg", "http://pbs.twimg.com/media/D-e_sGOWsAIQkc5.jpg")</f>
        <v>http://pbs.twimg.com/media/D-e_sGOWsAIQkc5.jpg</v>
      </c>
      <c r="N774">
        <v>-0.20030000000000001</v>
      </c>
      <c r="O774">
        <v>4.9000000000000002E-2</v>
      </c>
      <c r="P774">
        <v>0.95099999999999996</v>
      </c>
      <c r="Q774">
        <v>0</v>
      </c>
    </row>
    <row r="775" spans="1:17" x14ac:dyDescent="0.2">
      <c r="A775" s="1" t="str">
        <f>HYPERLINK("http://www.twitter.com/Ugo_Roux/status/1144967995690758144", "1144967995690758144")</f>
        <v>1144967995690758144</v>
      </c>
      <c r="B775" t="s">
        <v>142</v>
      </c>
      <c r="C775" s="3">
        <v>43645.58121527778</v>
      </c>
      <c r="D775" s="5" t="s">
        <v>41</v>
      </c>
      <c r="E775">
        <v>1</v>
      </c>
      <c r="F775">
        <v>1</v>
      </c>
      <c r="G775">
        <v>0</v>
      </c>
      <c r="I775" t="s">
        <v>810</v>
      </c>
      <c r="J775" t="str">
        <f>HYPERLINK("http://pbs.twimg.com/media/D-O-UZeX4AYOl3M.jpg", "http://pbs.twimg.com/media/D-O-UZeX4AYOl3M.jpg")</f>
        <v>http://pbs.twimg.com/media/D-O-UZeX4AYOl3M.jpg</v>
      </c>
      <c r="N775">
        <v>0</v>
      </c>
      <c r="O775">
        <v>0</v>
      </c>
      <c r="P775">
        <v>1</v>
      </c>
      <c r="Q775">
        <v>0</v>
      </c>
    </row>
    <row r="776" spans="1:17" x14ac:dyDescent="0.2">
      <c r="A776" s="1" t="str">
        <f>HYPERLINK("http://www.twitter.com/Ugo_Roux/status/1144615103880454144", "1144615103880454144")</f>
        <v>1144615103880454144</v>
      </c>
      <c r="B776" t="s">
        <v>425</v>
      </c>
      <c r="C776" s="3">
        <v>43644.607418981483</v>
      </c>
      <c r="D776" s="5" t="s">
        <v>17</v>
      </c>
      <c r="E776">
        <v>1</v>
      </c>
      <c r="F776">
        <v>0</v>
      </c>
      <c r="G776">
        <v>0</v>
      </c>
      <c r="I776" t="s">
        <v>811</v>
      </c>
      <c r="J776" t="str">
        <f>HYPERLINK("http://pbs.twimg.com/media/D-J9W2TX4AA88QM.jpg", "http://pbs.twimg.com/media/D-J9W2TX4AA88QM.jpg")</f>
        <v>http://pbs.twimg.com/media/D-J9W2TX4AA88QM.jpg</v>
      </c>
      <c r="N776">
        <v>0.5423</v>
      </c>
      <c r="O776">
        <v>0</v>
      </c>
      <c r="P776">
        <v>0.90400000000000003</v>
      </c>
      <c r="Q776">
        <v>9.6000000000000002E-2</v>
      </c>
    </row>
    <row r="777" spans="1:17" x14ac:dyDescent="0.2">
      <c r="A777" s="1" t="str">
        <f>HYPERLINK("http://www.twitter.com/Ugo_Roux/status/1144585082616913921", "1144585082616913921")</f>
        <v>1144585082616913921</v>
      </c>
      <c r="B777" t="s">
        <v>47</v>
      </c>
      <c r="C777" s="3">
        <v>43644.524571759262</v>
      </c>
      <c r="D777" s="5" t="s">
        <v>28</v>
      </c>
      <c r="E777">
        <v>4</v>
      </c>
      <c r="F777">
        <v>0</v>
      </c>
      <c r="G777">
        <v>0</v>
      </c>
      <c r="I777" t="s">
        <v>812</v>
      </c>
      <c r="J777" t="str">
        <f>HYPERLINK("http://pbs.twimg.com/media/D-Jh9xPXkAAFY7-.png", "http://pbs.twimg.com/media/D-Jh9xPXkAAFY7-.png")</f>
        <v>http://pbs.twimg.com/media/D-Jh9xPXkAAFY7-.png</v>
      </c>
      <c r="N777">
        <v>0</v>
      </c>
      <c r="O777">
        <v>0</v>
      </c>
      <c r="P777">
        <v>1</v>
      </c>
      <c r="Q777">
        <v>0</v>
      </c>
    </row>
    <row r="778" spans="1:17" x14ac:dyDescent="0.2">
      <c r="A778" s="1" t="str">
        <f>HYPERLINK("http://www.twitter.com/Ugo_Roux/status/1144521472549031938", "1144521472549031938")</f>
        <v>1144521472549031938</v>
      </c>
      <c r="B778" t="s">
        <v>370</v>
      </c>
      <c r="C778" s="3">
        <v>43644.349039351851</v>
      </c>
      <c r="D778" s="5" t="s">
        <v>28</v>
      </c>
      <c r="E778">
        <v>0</v>
      </c>
      <c r="F778">
        <v>0</v>
      </c>
      <c r="G778">
        <v>0</v>
      </c>
      <c r="I778" t="s">
        <v>813</v>
      </c>
      <c r="J778" t="str">
        <f>HYPERLINK("http://pbs.twimg.com/media/D-IoNljWkAAEemC.jpg", "http://pbs.twimg.com/media/D-IoNljWkAAEemC.jpg")</f>
        <v>http://pbs.twimg.com/media/D-IoNljWkAAEemC.jpg</v>
      </c>
      <c r="N778">
        <v>0</v>
      </c>
      <c r="O778">
        <v>0</v>
      </c>
      <c r="P778">
        <v>1</v>
      </c>
      <c r="Q778">
        <v>0</v>
      </c>
    </row>
    <row r="779" spans="1:17" x14ac:dyDescent="0.2">
      <c r="A779" s="1" t="str">
        <f>HYPERLINK("http://www.twitter.com/Ugo_Roux/status/1144253484709097472", "1144253484709097472")</f>
        <v>1144253484709097472</v>
      </c>
      <c r="B779" t="s">
        <v>47</v>
      </c>
      <c r="C779" s="3">
        <v>43643.609537037039</v>
      </c>
      <c r="D779" s="5" t="s">
        <v>28</v>
      </c>
      <c r="E779">
        <v>4</v>
      </c>
      <c r="F779">
        <v>2</v>
      </c>
      <c r="G779">
        <v>0</v>
      </c>
      <c r="I779" t="s">
        <v>814</v>
      </c>
      <c r="J779" t="str">
        <f>HYPERLINK("http://pbs.twimg.com/media/D-E0RqfXsAAkemT.jpg", "http://pbs.twimg.com/media/D-E0RqfXsAAkemT.jpg")</f>
        <v>http://pbs.twimg.com/media/D-E0RqfXsAAkemT.jpg</v>
      </c>
      <c r="N779">
        <v>0</v>
      </c>
      <c r="O779">
        <v>0</v>
      </c>
      <c r="P779">
        <v>1</v>
      </c>
      <c r="Q779">
        <v>0</v>
      </c>
    </row>
    <row r="780" spans="1:17" x14ac:dyDescent="0.2">
      <c r="A780" s="1" t="str">
        <f>HYPERLINK("http://www.twitter.com/Ugo_Roux/status/1144233893249392640", "1144233893249392640")</f>
        <v>1144233893249392640</v>
      </c>
      <c r="B780" t="s">
        <v>285</v>
      </c>
      <c r="C780" s="3">
        <v>43643.555474537039</v>
      </c>
      <c r="D780" s="5" t="s">
        <v>17</v>
      </c>
      <c r="E780">
        <v>0</v>
      </c>
      <c r="F780">
        <v>0</v>
      </c>
      <c r="G780">
        <v>0</v>
      </c>
      <c r="I780" t="s">
        <v>815</v>
      </c>
      <c r="N780">
        <v>0</v>
      </c>
      <c r="O780">
        <v>0</v>
      </c>
      <c r="P780">
        <v>1</v>
      </c>
      <c r="Q780">
        <v>0</v>
      </c>
    </row>
    <row r="781" spans="1:17" x14ac:dyDescent="0.2">
      <c r="A781" s="1" t="str">
        <f>HYPERLINK("http://www.twitter.com/Ugo_Roux/status/1143873757439844352", "1143873757439844352")</f>
        <v>1143873757439844352</v>
      </c>
      <c r="B781" t="s">
        <v>425</v>
      </c>
      <c r="C781" s="3">
        <v>43642.561689814807</v>
      </c>
      <c r="D781" s="5" t="s">
        <v>24</v>
      </c>
      <c r="E781">
        <v>1</v>
      </c>
      <c r="F781">
        <v>0</v>
      </c>
      <c r="G781">
        <v>0</v>
      </c>
      <c r="I781" t="s">
        <v>816</v>
      </c>
      <c r="N781">
        <v>0</v>
      </c>
      <c r="O781">
        <v>0</v>
      </c>
      <c r="P781">
        <v>1</v>
      </c>
      <c r="Q781">
        <v>0</v>
      </c>
    </row>
    <row r="782" spans="1:17" x14ac:dyDescent="0.2">
      <c r="A782" s="1" t="str">
        <f>HYPERLINK("http://www.twitter.com/Ugo_Roux/status/1143540223034429441", "1143540223034429441")</f>
        <v>1143540223034429441</v>
      </c>
      <c r="B782" t="s">
        <v>414</v>
      </c>
      <c r="C782" s="3">
        <v>43641.64130787037</v>
      </c>
      <c r="D782" s="5" t="s">
        <v>24</v>
      </c>
      <c r="E782">
        <v>0</v>
      </c>
      <c r="F782">
        <v>0</v>
      </c>
      <c r="G782">
        <v>0</v>
      </c>
      <c r="I782" t="s">
        <v>817</v>
      </c>
      <c r="J782" t="str">
        <f>HYPERLINK("http://pbs.twimg.com/media/D96rwPEXkAA0FvH.jpg", "http://pbs.twimg.com/media/D96rwPEXkAA0FvH.jpg")</f>
        <v>http://pbs.twimg.com/media/D96rwPEXkAA0FvH.jpg</v>
      </c>
      <c r="N782">
        <v>0</v>
      </c>
      <c r="O782">
        <v>0</v>
      </c>
      <c r="P782">
        <v>1</v>
      </c>
      <c r="Q782">
        <v>0</v>
      </c>
    </row>
    <row r="783" spans="1:17" x14ac:dyDescent="0.2">
      <c r="A783" s="1" t="str">
        <f>HYPERLINK("http://www.twitter.com/Ugo_Roux/status/1142724429165801472", "1142724429165801472")</f>
        <v>1142724429165801472</v>
      </c>
      <c r="B783" t="s">
        <v>142</v>
      </c>
      <c r="C783" s="3">
        <v>43639.390150462961</v>
      </c>
      <c r="D783" s="5" t="s">
        <v>28</v>
      </c>
      <c r="E783">
        <v>5</v>
      </c>
      <c r="F783">
        <v>1</v>
      </c>
      <c r="G783">
        <v>0</v>
      </c>
      <c r="I783" t="s">
        <v>818</v>
      </c>
      <c r="J783" t="str">
        <f>HYPERLINK("http://pbs.twimg.com/media/D9vFzEhW4AErrMm.jpg", "http://pbs.twimg.com/media/D9vFzEhW4AErrMm.jpg")</f>
        <v>http://pbs.twimg.com/media/D9vFzEhW4AErrMm.jpg</v>
      </c>
      <c r="N783">
        <v>0</v>
      </c>
      <c r="O783">
        <v>0</v>
      </c>
      <c r="P783">
        <v>1</v>
      </c>
      <c r="Q783">
        <v>0</v>
      </c>
    </row>
    <row r="784" spans="1:17" x14ac:dyDescent="0.2">
      <c r="A784" s="1" t="str">
        <f>HYPERLINK("http://www.twitter.com/Ugo_Roux/status/1142345569626730496", "1142345569626730496")</f>
        <v>1142345569626730496</v>
      </c>
      <c r="B784" t="s">
        <v>285</v>
      </c>
      <c r="C784" s="3">
        <v>43638.344699074078</v>
      </c>
      <c r="D784" s="5" t="s">
        <v>28</v>
      </c>
      <c r="E784">
        <v>2</v>
      </c>
      <c r="F784">
        <v>2</v>
      </c>
      <c r="G784">
        <v>0</v>
      </c>
      <c r="I784" t="s">
        <v>819</v>
      </c>
      <c r="J784" t="str">
        <f>HYPERLINK("http://pbs.twimg.com/media/D9ptKcEWsAA4CMT.jpg", "http://pbs.twimg.com/media/D9ptKcEWsAA4CMT.jpg")</f>
        <v>http://pbs.twimg.com/media/D9ptKcEWsAA4CMT.jpg</v>
      </c>
      <c r="N784">
        <v>0</v>
      </c>
      <c r="O784">
        <v>0</v>
      </c>
      <c r="P784">
        <v>1</v>
      </c>
      <c r="Q784">
        <v>0</v>
      </c>
    </row>
    <row r="785" spans="1:17" x14ac:dyDescent="0.2">
      <c r="A785" s="1" t="str">
        <f>HYPERLINK("http://www.twitter.com/Ugo_Roux/status/1142140779676217345", "1142140779676217345")</f>
        <v>1142140779676217345</v>
      </c>
      <c r="B785" t="s">
        <v>142</v>
      </c>
      <c r="C785" s="3">
        <v>43637.779583333337</v>
      </c>
      <c r="D785" s="5" t="s">
        <v>41</v>
      </c>
      <c r="E785">
        <v>0</v>
      </c>
      <c r="F785">
        <v>1</v>
      </c>
      <c r="G785">
        <v>0</v>
      </c>
      <c r="I785" t="s">
        <v>820</v>
      </c>
      <c r="N785">
        <v>0</v>
      </c>
      <c r="O785">
        <v>0</v>
      </c>
      <c r="P785">
        <v>1</v>
      </c>
      <c r="Q785">
        <v>0</v>
      </c>
    </row>
    <row r="786" spans="1:17" x14ac:dyDescent="0.2">
      <c r="A786" s="1" t="str">
        <f>HYPERLINK("http://www.twitter.com/Ugo_Roux/status/1142105212263514113", "1142105212263514113")</f>
        <v>1142105212263514113</v>
      </c>
      <c r="B786" t="s">
        <v>142</v>
      </c>
      <c r="C786" s="3">
        <v>43637.681435185194</v>
      </c>
      <c r="D786" s="5" t="s">
        <v>17</v>
      </c>
      <c r="E786">
        <v>1</v>
      </c>
      <c r="F786">
        <v>1</v>
      </c>
      <c r="G786">
        <v>0</v>
      </c>
      <c r="I786" t="s">
        <v>821</v>
      </c>
      <c r="J786" t="str">
        <f>HYPERLINK("http://pbs.twimg.com/media/D9mSoTbW4AEF57Q.jpg", "http://pbs.twimg.com/media/D9mSoTbW4AEF57Q.jpg")</f>
        <v>http://pbs.twimg.com/media/D9mSoTbW4AEF57Q.jpg</v>
      </c>
      <c r="N786">
        <v>0</v>
      </c>
      <c r="O786">
        <v>0</v>
      </c>
      <c r="P786">
        <v>1</v>
      </c>
      <c r="Q786">
        <v>0</v>
      </c>
    </row>
    <row r="787" spans="1:17" x14ac:dyDescent="0.2">
      <c r="A787" s="1" t="str">
        <f>HYPERLINK("http://www.twitter.com/Ugo_Roux/status/1141640706479599616", "1141640706479599616")</f>
        <v>1141640706479599616</v>
      </c>
      <c r="B787" t="s">
        <v>370</v>
      </c>
      <c r="C787" s="3">
        <v>43636.399641203701</v>
      </c>
      <c r="D787" s="5" t="s">
        <v>24</v>
      </c>
      <c r="E787">
        <v>0</v>
      </c>
      <c r="F787">
        <v>0</v>
      </c>
      <c r="G787">
        <v>0</v>
      </c>
      <c r="I787" t="s">
        <v>822</v>
      </c>
      <c r="J787" t="str">
        <f>HYPERLINK("http://pbs.twimg.com/media/D9fsLCwWsAAezEa.jpg", "http://pbs.twimg.com/media/D9fsLCwWsAAezEa.jpg")</f>
        <v>http://pbs.twimg.com/media/D9fsLCwWsAAezEa.jpg</v>
      </c>
      <c r="N787">
        <v>0</v>
      </c>
      <c r="O787">
        <v>0</v>
      </c>
      <c r="P787">
        <v>1</v>
      </c>
      <c r="Q787">
        <v>0</v>
      </c>
    </row>
    <row r="788" spans="1:17" x14ac:dyDescent="0.2">
      <c r="A788" s="1" t="str">
        <f>HYPERLINK("http://www.twitter.com/Ugo_Roux/status/1141640575591964672", "1141640575591964672")</f>
        <v>1141640575591964672</v>
      </c>
      <c r="B788" t="s">
        <v>370</v>
      </c>
      <c r="C788" s="3">
        <v>43636.399282407408</v>
      </c>
      <c r="D788" s="5" t="s">
        <v>41</v>
      </c>
      <c r="E788">
        <v>0</v>
      </c>
      <c r="F788">
        <v>0</v>
      </c>
      <c r="G788">
        <v>0</v>
      </c>
      <c r="I788" t="s">
        <v>823</v>
      </c>
      <c r="J788" t="str">
        <f>HYPERLINK("http://pbs.twimg.com/media/D9fsDbPU4AIKXAM.jpg", "http://pbs.twimg.com/media/D9fsDbPU4AIKXAM.jpg")</f>
        <v>http://pbs.twimg.com/media/D9fsDbPU4AIKXAM.jpg</v>
      </c>
      <c r="N788">
        <v>0</v>
      </c>
      <c r="O788">
        <v>0</v>
      </c>
      <c r="P788">
        <v>1</v>
      </c>
      <c r="Q788">
        <v>0</v>
      </c>
    </row>
    <row r="789" spans="1:17" x14ac:dyDescent="0.2">
      <c r="A789" s="1" t="str">
        <f>HYPERLINK("http://www.twitter.com/Ugo_Roux/status/1141622970961543168", "1141622970961543168")</f>
        <v>1141622970961543168</v>
      </c>
      <c r="B789" t="s">
        <v>425</v>
      </c>
      <c r="C789" s="3">
        <v>43636.350706018522</v>
      </c>
      <c r="D789" s="5" t="s">
        <v>41</v>
      </c>
      <c r="E789">
        <v>1</v>
      </c>
      <c r="F789">
        <v>0</v>
      </c>
      <c r="G789">
        <v>0</v>
      </c>
      <c r="I789" t="s">
        <v>824</v>
      </c>
      <c r="N789">
        <v>0</v>
      </c>
      <c r="O789">
        <v>0</v>
      </c>
      <c r="P789">
        <v>1</v>
      </c>
      <c r="Q789">
        <v>0</v>
      </c>
    </row>
    <row r="790" spans="1:17" x14ac:dyDescent="0.2">
      <c r="A790" s="1" t="str">
        <f>HYPERLINK("http://www.twitter.com/Ugo_Roux/status/1141393381010137089", "1141393381010137089")</f>
        <v>1141393381010137089</v>
      </c>
      <c r="B790" t="s">
        <v>142</v>
      </c>
      <c r="C790" s="3">
        <v>43635.717152777783</v>
      </c>
      <c r="D790" s="5" t="s">
        <v>17</v>
      </c>
      <c r="E790">
        <v>2</v>
      </c>
      <c r="F790">
        <v>2</v>
      </c>
      <c r="G790">
        <v>0</v>
      </c>
      <c r="I790" t="s">
        <v>825</v>
      </c>
      <c r="J790" t="str">
        <f>HYPERLINK("http://pbs.twimg.com/media/D9cLOl0XUAENgKv.jpg", "http://pbs.twimg.com/media/D9cLOl0XUAENgKv.jpg")</f>
        <v>http://pbs.twimg.com/media/D9cLOl0XUAENgKv.jpg</v>
      </c>
      <c r="N790">
        <v>0.44040000000000001</v>
      </c>
      <c r="O790">
        <v>0</v>
      </c>
      <c r="P790">
        <v>0.91700000000000004</v>
      </c>
      <c r="Q790">
        <v>8.3000000000000004E-2</v>
      </c>
    </row>
    <row r="791" spans="1:17" x14ac:dyDescent="0.2">
      <c r="A791" s="1" t="str">
        <f>HYPERLINK("http://www.twitter.com/Ugo_Roux/status/1141368338968432640", "1141368338968432640")</f>
        <v>1141368338968432640</v>
      </c>
      <c r="B791" t="s">
        <v>425</v>
      </c>
      <c r="C791" s="3">
        <v>43635.648055555554</v>
      </c>
      <c r="D791" s="5" t="s">
        <v>41</v>
      </c>
      <c r="E791">
        <v>0</v>
      </c>
      <c r="F791">
        <v>0</v>
      </c>
      <c r="G791">
        <v>1</v>
      </c>
      <c r="I791" t="s">
        <v>826</v>
      </c>
      <c r="J791" t="str">
        <f>HYPERLINK("https://video.twimg.com/ext_tw_video/1141367162751324163/pu/vid/1024x574/cCY67uTX4IroSuDn.mp4?tag=10", "https://video.twimg.com/ext_tw_video/1141367162751324163/pu/vid/1024x574/cCY67uTX4IroSuDn.mp4?tag=10")</f>
        <v>https://video.twimg.com/ext_tw_video/1141367162751324163/pu/vid/1024x574/cCY67uTX4IroSuDn.mp4?tag=10</v>
      </c>
      <c r="N791">
        <v>0</v>
      </c>
      <c r="O791">
        <v>0</v>
      </c>
      <c r="P791">
        <v>1</v>
      </c>
      <c r="Q791">
        <v>0</v>
      </c>
    </row>
    <row r="792" spans="1:17" x14ac:dyDescent="0.2">
      <c r="A792" s="1" t="str">
        <f>HYPERLINK("http://www.twitter.com/Ugo_Roux/status/1141325239827214336", "1141325239827214336")</f>
        <v>1141325239827214336</v>
      </c>
      <c r="B792" t="s">
        <v>471</v>
      </c>
      <c r="C792" s="3">
        <v>43635.529120370367</v>
      </c>
      <c r="D792" s="3" t="s">
        <v>28</v>
      </c>
      <c r="E792">
        <v>0</v>
      </c>
      <c r="F792">
        <v>0</v>
      </c>
      <c r="G792">
        <v>0</v>
      </c>
      <c r="I792" t="s">
        <v>827</v>
      </c>
      <c r="J792" t="str">
        <f>HYPERLINK("http://pbs.twimg.com/media/D9bNLsXXoAAn2SY.jpg", "http://pbs.twimg.com/media/D9bNLsXXoAAn2SY.jpg")</f>
        <v>http://pbs.twimg.com/media/D9bNLsXXoAAn2SY.jpg</v>
      </c>
      <c r="N792">
        <v>0</v>
      </c>
      <c r="O792">
        <v>0</v>
      </c>
      <c r="P792">
        <v>1</v>
      </c>
      <c r="Q792">
        <v>0</v>
      </c>
    </row>
    <row r="793" spans="1:17" x14ac:dyDescent="0.2">
      <c r="A793" s="1" t="str">
        <f>HYPERLINK("http://www.twitter.com/Ugo_Roux/status/1141231025168748545", "1141231025168748545")</f>
        <v>1141231025168748545</v>
      </c>
      <c r="B793" t="s">
        <v>285</v>
      </c>
      <c r="C793" s="3">
        <v>43635.269143518519</v>
      </c>
      <c r="D793" s="5" t="s">
        <v>17</v>
      </c>
      <c r="E793">
        <v>0</v>
      </c>
      <c r="F793">
        <v>1</v>
      </c>
      <c r="G793">
        <v>0</v>
      </c>
      <c r="I793" t="s">
        <v>828</v>
      </c>
      <c r="J793" t="str">
        <f>HYPERLINK("http://pbs.twimg.com/media/D9Z3g2UXkAAVKsG.jpg", "http://pbs.twimg.com/media/D9Z3g2UXkAAVKsG.jpg")</f>
        <v>http://pbs.twimg.com/media/D9Z3g2UXkAAVKsG.jpg</v>
      </c>
      <c r="N793">
        <v>0</v>
      </c>
      <c r="O793">
        <v>0</v>
      </c>
      <c r="P793">
        <v>1</v>
      </c>
      <c r="Q793">
        <v>0</v>
      </c>
    </row>
    <row r="794" spans="1:17" x14ac:dyDescent="0.2">
      <c r="A794" s="1" t="str">
        <f>HYPERLINK("http://www.twitter.com/Ugo_Roux/status/1141230895170539520", "1141230895170539520")</f>
        <v>1141230895170539520</v>
      </c>
      <c r="B794" t="s">
        <v>142</v>
      </c>
      <c r="C794" s="3">
        <v>43635.268784722219</v>
      </c>
      <c r="D794" s="5" t="s">
        <v>28</v>
      </c>
      <c r="E794">
        <v>2</v>
      </c>
      <c r="F794">
        <v>0</v>
      </c>
      <c r="G794">
        <v>0</v>
      </c>
      <c r="I794" t="s">
        <v>829</v>
      </c>
      <c r="N794">
        <v>0.59940000000000004</v>
      </c>
      <c r="O794">
        <v>0</v>
      </c>
      <c r="P794">
        <v>0.71899999999999997</v>
      </c>
      <c r="Q794">
        <v>0.28100000000000003</v>
      </c>
    </row>
    <row r="795" spans="1:17" x14ac:dyDescent="0.2">
      <c r="A795" s="1" t="str">
        <f>HYPERLINK("http://www.twitter.com/Ugo_Roux/status/1141230060386553856", "1141230060386553856")</f>
        <v>1141230060386553856</v>
      </c>
      <c r="B795" t="s">
        <v>142</v>
      </c>
      <c r="C795" s="3">
        <v>43635.266481481478</v>
      </c>
      <c r="D795" s="5" t="s">
        <v>41</v>
      </c>
      <c r="E795">
        <v>1</v>
      </c>
      <c r="F795">
        <v>1</v>
      </c>
      <c r="G795">
        <v>0</v>
      </c>
      <c r="I795" t="s">
        <v>830</v>
      </c>
      <c r="J795" t="str">
        <f>HYPERLINK("http://pbs.twimg.com/media/D9Z2kuCXUAERih_.jpg", "http://pbs.twimg.com/media/D9Z2kuCXUAERih_.jpg")</f>
        <v>http://pbs.twimg.com/media/D9Z2kuCXUAERih_.jpg</v>
      </c>
      <c r="K795" t="str">
        <f>HYPERLINK("http://pbs.twimg.com/media/D9Z2kuFXoAEXOoE.jpg", "http://pbs.twimg.com/media/D9Z2kuFXoAEXOoE.jpg")</f>
        <v>http://pbs.twimg.com/media/D9Z2kuFXoAEXOoE.jpg</v>
      </c>
      <c r="N795">
        <v>0.49390000000000001</v>
      </c>
      <c r="O795">
        <v>0</v>
      </c>
      <c r="P795">
        <v>0.92900000000000005</v>
      </c>
      <c r="Q795">
        <v>7.0999999999999994E-2</v>
      </c>
    </row>
    <row r="796" spans="1:17" x14ac:dyDescent="0.2">
      <c r="A796" s="1" t="str">
        <f>HYPERLINK("http://www.twitter.com/Ugo_Roux/status/1140965991825981440", "1140965991825981440")</f>
        <v>1140965991825981440</v>
      </c>
      <c r="B796" t="s">
        <v>142</v>
      </c>
      <c r="C796" s="3">
        <v>43634.537789351853</v>
      </c>
      <c r="D796" s="5" t="s">
        <v>28</v>
      </c>
      <c r="E796">
        <v>2</v>
      </c>
      <c r="F796">
        <v>2</v>
      </c>
      <c r="G796">
        <v>0</v>
      </c>
      <c r="I796" t="s">
        <v>831</v>
      </c>
      <c r="N796">
        <v>0</v>
      </c>
      <c r="O796">
        <v>0</v>
      </c>
      <c r="P796">
        <v>1</v>
      </c>
      <c r="Q796">
        <v>0</v>
      </c>
    </row>
    <row r="797" spans="1:17" x14ac:dyDescent="0.2">
      <c r="A797" s="1" t="str">
        <f>HYPERLINK("http://www.twitter.com/Ugo_Roux/status/1140902664911360000", "1140902664911360000")</f>
        <v>1140902664911360000</v>
      </c>
      <c r="B797" t="s">
        <v>425</v>
      </c>
      <c r="C797" s="3">
        <v>43634.363032407397</v>
      </c>
      <c r="D797" s="5" t="s">
        <v>28</v>
      </c>
      <c r="E797">
        <v>0</v>
      </c>
      <c r="F797">
        <v>0</v>
      </c>
      <c r="G797">
        <v>0</v>
      </c>
      <c r="I797" t="s">
        <v>832</v>
      </c>
      <c r="J797" t="str">
        <f>HYPERLINK("http://pbs.twimg.com/media/D9VLVZxWkAAlQld.jpg", "http://pbs.twimg.com/media/D9VLVZxWkAAlQld.jpg")</f>
        <v>http://pbs.twimg.com/media/D9VLVZxWkAAlQld.jpg</v>
      </c>
      <c r="N797">
        <v>0</v>
      </c>
      <c r="O797">
        <v>0</v>
      </c>
      <c r="P797">
        <v>1</v>
      </c>
      <c r="Q797">
        <v>0</v>
      </c>
    </row>
    <row r="798" spans="1:17" x14ac:dyDescent="0.2">
      <c r="A798" s="1" t="str">
        <f>HYPERLINK("http://www.twitter.com/Ugo_Roux/status/1139912574378631168", "1139912574378631168")</f>
        <v>1139912574378631168</v>
      </c>
      <c r="B798" t="s">
        <v>47</v>
      </c>
      <c r="C798" s="3">
        <v>43631.630902777782</v>
      </c>
      <c r="D798" s="5" t="s">
        <v>28</v>
      </c>
      <c r="E798">
        <v>6</v>
      </c>
      <c r="F798">
        <v>4</v>
      </c>
      <c r="G798">
        <v>0</v>
      </c>
      <c r="I798" t="s">
        <v>833</v>
      </c>
      <c r="J798" t="str">
        <f>HYPERLINK("http://pbs.twimg.com/media/D9HILPmXUAMNOYl.jpg", "http://pbs.twimg.com/media/D9HILPmXUAMNOYl.jpg")</f>
        <v>http://pbs.twimg.com/media/D9HILPmXUAMNOYl.jpg</v>
      </c>
      <c r="N798">
        <v>0</v>
      </c>
      <c r="O798">
        <v>0</v>
      </c>
      <c r="P798">
        <v>1</v>
      </c>
      <c r="Q798">
        <v>0</v>
      </c>
    </row>
    <row r="799" spans="1:17" x14ac:dyDescent="0.2">
      <c r="A799" s="1" t="str">
        <f>HYPERLINK("http://www.twitter.com/Ugo_Roux/status/1139910292840886273", "1139910292840886273")</f>
        <v>1139910292840886273</v>
      </c>
      <c r="B799" t="s">
        <v>425</v>
      </c>
      <c r="C799" s="3">
        <v>43631.624606481477</v>
      </c>
      <c r="D799" s="5" t="s">
        <v>24</v>
      </c>
      <c r="E799">
        <v>1</v>
      </c>
      <c r="F799">
        <v>0</v>
      </c>
      <c r="G799">
        <v>0</v>
      </c>
      <c r="I799" t="s">
        <v>834</v>
      </c>
      <c r="J799" t="str">
        <f>HYPERLINK("http://pbs.twimg.com/media/D9HGSxZWkAApx6P.jpg", "http://pbs.twimg.com/media/D9HGSxZWkAApx6P.jpg")</f>
        <v>http://pbs.twimg.com/media/D9HGSxZWkAApx6P.jpg</v>
      </c>
      <c r="N799">
        <v>0</v>
      </c>
      <c r="O799">
        <v>0</v>
      </c>
      <c r="P799">
        <v>1</v>
      </c>
      <c r="Q799">
        <v>0</v>
      </c>
    </row>
    <row r="800" spans="1:17" x14ac:dyDescent="0.2">
      <c r="A800" s="1" t="str">
        <f>HYPERLINK("http://www.twitter.com/Ugo_Roux/status/1139882333585190912", "1139882333585190912")</f>
        <v>1139882333585190912</v>
      </c>
      <c r="B800" t="s">
        <v>425</v>
      </c>
      <c r="C800" s="3">
        <v>43631.547453703701</v>
      </c>
      <c r="D800" s="5" t="s">
        <v>41</v>
      </c>
      <c r="E800">
        <v>0</v>
      </c>
      <c r="F800">
        <v>0</v>
      </c>
      <c r="G800">
        <v>0</v>
      </c>
      <c r="I800" t="s">
        <v>835</v>
      </c>
      <c r="J800" t="str">
        <f>HYPERLINK("http://pbs.twimg.com/media/D9Gr9urXYAAOKNo.jpg", "http://pbs.twimg.com/media/D9Gr9urXYAAOKNo.jpg")</f>
        <v>http://pbs.twimg.com/media/D9Gr9urXYAAOKNo.jpg</v>
      </c>
      <c r="N800">
        <v>-0.128</v>
      </c>
      <c r="O800">
        <v>3.7999999999999999E-2</v>
      </c>
      <c r="P800">
        <v>0.96199999999999997</v>
      </c>
      <c r="Q800">
        <v>0</v>
      </c>
    </row>
    <row r="801" spans="1:17" x14ac:dyDescent="0.2">
      <c r="A801" s="1" t="str">
        <f>HYPERLINK("http://www.twitter.com/Ugo_Roux/status/1139825070338117632", "1139825070338117632")</f>
        <v>1139825070338117632</v>
      </c>
      <c r="B801" t="s">
        <v>370</v>
      </c>
      <c r="C801" s="3">
        <v>43631.389444444438</v>
      </c>
      <c r="D801" s="3" t="s">
        <v>28</v>
      </c>
      <c r="E801">
        <v>0</v>
      </c>
      <c r="F801">
        <v>0</v>
      </c>
      <c r="G801">
        <v>0</v>
      </c>
      <c r="I801" t="s">
        <v>836</v>
      </c>
      <c r="J801" t="str">
        <f>HYPERLINK("http://pbs.twimg.com/media/D9F43GnX4AA1Grl.jpg", "http://pbs.twimg.com/media/D9F43GnX4AA1Grl.jpg")</f>
        <v>http://pbs.twimg.com/media/D9F43GnX4AA1Grl.jpg</v>
      </c>
      <c r="N801">
        <v>0</v>
      </c>
      <c r="O801">
        <v>0</v>
      </c>
      <c r="P801">
        <v>1</v>
      </c>
      <c r="Q801">
        <v>0</v>
      </c>
    </row>
    <row r="802" spans="1:17" x14ac:dyDescent="0.2">
      <c r="A802" s="1" t="str">
        <f>HYPERLINK("http://www.twitter.com/Ugo_Roux/status/1139556189044432896", "1139556189044432896")</f>
        <v>1139556189044432896</v>
      </c>
      <c r="B802" t="s">
        <v>47</v>
      </c>
      <c r="C802" s="3">
        <v>43630.647476851853</v>
      </c>
      <c r="D802" s="5" t="s">
        <v>41</v>
      </c>
      <c r="E802">
        <v>7</v>
      </c>
      <c r="F802">
        <v>1</v>
      </c>
      <c r="G802">
        <v>0</v>
      </c>
      <c r="I802" t="s">
        <v>837</v>
      </c>
      <c r="J802" t="str">
        <f>HYPERLINK("http://pbs.twimg.com/media/D9CDfh6WkAA0dqi.jpg", "http://pbs.twimg.com/media/D9CDfh6WkAA0dqi.jpg")</f>
        <v>http://pbs.twimg.com/media/D9CDfh6WkAA0dqi.jpg</v>
      </c>
      <c r="K802" t="str">
        <f>HYPERLINK("http://pbs.twimg.com/media/D9CDggRXYAIyYG2.jpg", "http://pbs.twimg.com/media/D9CDggRXYAIyYG2.jpg")</f>
        <v>http://pbs.twimg.com/media/D9CDggRXYAIyYG2.jpg</v>
      </c>
      <c r="N802">
        <v>0</v>
      </c>
      <c r="O802">
        <v>0</v>
      </c>
      <c r="P802">
        <v>1</v>
      </c>
      <c r="Q802">
        <v>0</v>
      </c>
    </row>
    <row r="803" spans="1:17" x14ac:dyDescent="0.2">
      <c r="A803" s="1" t="str">
        <f>HYPERLINK("http://www.twitter.com/Ugo_Roux/status/1139553329816768512", "1139553329816768512")</f>
        <v>1139553329816768512</v>
      </c>
      <c r="B803" t="s">
        <v>47</v>
      </c>
      <c r="C803" s="3">
        <v>43630.63958333333</v>
      </c>
      <c r="D803" s="5" t="s">
        <v>28</v>
      </c>
      <c r="E803">
        <v>1</v>
      </c>
      <c r="F803">
        <v>0</v>
      </c>
      <c r="G803">
        <v>0</v>
      </c>
      <c r="I803" t="s">
        <v>838</v>
      </c>
      <c r="N803">
        <v>0</v>
      </c>
      <c r="O803">
        <v>0</v>
      </c>
      <c r="P803">
        <v>1</v>
      </c>
      <c r="Q803">
        <v>0</v>
      </c>
    </row>
    <row r="804" spans="1:17" x14ac:dyDescent="0.2">
      <c r="A804" s="1" t="str">
        <f>HYPERLINK("http://www.twitter.com/Ugo_Roux/status/1139543571470651392", "1139543571470651392")</f>
        <v>1139543571470651392</v>
      </c>
      <c r="B804" t="s">
        <v>142</v>
      </c>
      <c r="C804" s="3">
        <v>43630.612650462957</v>
      </c>
      <c r="D804" s="5" t="s">
        <v>28</v>
      </c>
      <c r="E804">
        <v>0</v>
      </c>
      <c r="F804">
        <v>0</v>
      </c>
      <c r="G804">
        <v>0</v>
      </c>
      <c r="I804" t="s">
        <v>839</v>
      </c>
      <c r="J804" t="str">
        <f>HYPERLINK("http://pbs.twimg.com/media/D9B41QqXkAEr_sZ.jpg", "http://pbs.twimg.com/media/D9B41QqXkAEr_sZ.jpg")</f>
        <v>http://pbs.twimg.com/media/D9B41QqXkAEr_sZ.jpg</v>
      </c>
      <c r="N804">
        <v>0</v>
      </c>
      <c r="O804">
        <v>0</v>
      </c>
      <c r="P804">
        <v>1</v>
      </c>
      <c r="Q804">
        <v>0</v>
      </c>
    </row>
    <row r="805" spans="1:17" x14ac:dyDescent="0.2">
      <c r="A805" s="1" t="str">
        <f>HYPERLINK("http://www.twitter.com/Ugo_Roux/status/1139439586130743296", "1139439586130743296")</f>
        <v>1139439586130743296</v>
      </c>
      <c r="B805" t="s">
        <v>476</v>
      </c>
      <c r="C805" s="3">
        <v>43630.325706018521</v>
      </c>
      <c r="D805" s="5" t="s">
        <v>28</v>
      </c>
      <c r="E805">
        <v>1</v>
      </c>
      <c r="F805">
        <v>0</v>
      </c>
      <c r="G805">
        <v>0</v>
      </c>
      <c r="I805" t="s">
        <v>840</v>
      </c>
      <c r="N805">
        <v>0</v>
      </c>
      <c r="O805">
        <v>0</v>
      </c>
      <c r="P805">
        <v>1</v>
      </c>
      <c r="Q805">
        <v>0</v>
      </c>
    </row>
    <row r="806" spans="1:17" x14ac:dyDescent="0.2">
      <c r="A806" s="1" t="str">
        <f>HYPERLINK("http://www.twitter.com/Ugo_Roux/status/1139178918337024005", "1139178918337024005")</f>
        <v>1139178918337024005</v>
      </c>
      <c r="B806" t="s">
        <v>425</v>
      </c>
      <c r="C806" s="3">
        <v>43629.606400462973</v>
      </c>
      <c r="D806" s="5" t="s">
        <v>17</v>
      </c>
      <c r="E806">
        <v>0</v>
      </c>
      <c r="F806">
        <v>0</v>
      </c>
      <c r="G806">
        <v>0</v>
      </c>
      <c r="I806" t="s">
        <v>841</v>
      </c>
      <c r="N806">
        <v>0</v>
      </c>
      <c r="O806">
        <v>0</v>
      </c>
      <c r="P806">
        <v>1</v>
      </c>
      <c r="Q806">
        <v>0</v>
      </c>
    </row>
    <row r="807" spans="1:17" x14ac:dyDescent="0.2">
      <c r="A807" s="1" t="str">
        <f>HYPERLINK("http://www.twitter.com/Ugo_Roux/status/1139164421304066048", "1139164421304066048")</f>
        <v>1139164421304066048</v>
      </c>
      <c r="B807" t="s">
        <v>206</v>
      </c>
      <c r="C807" s="3">
        <v>43629.566400462973</v>
      </c>
      <c r="D807" s="5" t="s">
        <v>41</v>
      </c>
      <c r="E807">
        <v>3</v>
      </c>
      <c r="F807">
        <v>1</v>
      </c>
      <c r="G807">
        <v>0</v>
      </c>
      <c r="I807" t="s">
        <v>842</v>
      </c>
      <c r="J807" t="str">
        <f>HYPERLINK("http://pbs.twimg.com/media/D88f-3fW4AUevCZ.jpg", "http://pbs.twimg.com/media/D88f-3fW4AUevCZ.jpg")</f>
        <v>http://pbs.twimg.com/media/D88f-3fW4AUevCZ.jpg</v>
      </c>
      <c r="N807">
        <v>0.69810000000000005</v>
      </c>
      <c r="O807">
        <v>0</v>
      </c>
      <c r="P807">
        <v>0.84499999999999997</v>
      </c>
      <c r="Q807">
        <v>0.155</v>
      </c>
    </row>
    <row r="808" spans="1:17" x14ac:dyDescent="0.2">
      <c r="A808" s="1" t="str">
        <f>HYPERLINK("http://www.twitter.com/Ugo_Roux/status/1139161464625868802", "1139161464625868802")</f>
        <v>1139161464625868802</v>
      </c>
      <c r="B808" t="s">
        <v>206</v>
      </c>
      <c r="C808" s="3">
        <v>43629.558240740742</v>
      </c>
      <c r="D808" s="5" t="s">
        <v>41</v>
      </c>
      <c r="E808">
        <v>3</v>
      </c>
      <c r="F808">
        <v>0</v>
      </c>
      <c r="G808">
        <v>0</v>
      </c>
      <c r="I808" t="s">
        <v>843</v>
      </c>
      <c r="J808" t="str">
        <f>HYPERLINK("http://pbs.twimg.com/media/D88cxEiWwAEO0cf.jpg", "http://pbs.twimg.com/media/D88cxEiWwAEO0cf.jpg")</f>
        <v>http://pbs.twimg.com/media/D88cxEiWwAEO0cf.jpg</v>
      </c>
      <c r="K808" t="str">
        <f>HYPERLINK("http://pbs.twimg.com/media/D88cxBpWwAA_u0a.jpg", "http://pbs.twimg.com/media/D88cxBpWwAA_u0a.jpg")</f>
        <v>http://pbs.twimg.com/media/D88cxBpWwAA_u0a.jpg</v>
      </c>
      <c r="L808" t="str">
        <f>HYPERLINK("http://pbs.twimg.com/media/D88cxBoWsAUkVJL.jpg", "http://pbs.twimg.com/media/D88cxBoWsAUkVJL.jpg")</f>
        <v>http://pbs.twimg.com/media/D88cxBoWsAUkVJL.jpg</v>
      </c>
      <c r="N808">
        <v>0</v>
      </c>
      <c r="O808">
        <v>0</v>
      </c>
      <c r="P808">
        <v>1</v>
      </c>
      <c r="Q808">
        <v>0</v>
      </c>
    </row>
    <row r="809" spans="1:17" x14ac:dyDescent="0.2">
      <c r="A809" s="1" t="str">
        <f>HYPERLINK("http://www.twitter.com/Ugo_Roux/status/1139124546534105090", "1139124546534105090")</f>
        <v>1139124546534105090</v>
      </c>
      <c r="B809" t="s">
        <v>142</v>
      </c>
      <c r="C809" s="3">
        <v>43629.456365740742</v>
      </c>
      <c r="D809" s="5" t="s">
        <v>28</v>
      </c>
      <c r="E809">
        <v>0</v>
      </c>
      <c r="F809">
        <v>0</v>
      </c>
      <c r="G809">
        <v>0</v>
      </c>
      <c r="I809" t="s">
        <v>844</v>
      </c>
      <c r="N809">
        <v>0.36120000000000002</v>
      </c>
      <c r="O809">
        <v>0.12</v>
      </c>
      <c r="P809">
        <v>0.64</v>
      </c>
      <c r="Q809">
        <v>0.24</v>
      </c>
    </row>
    <row r="810" spans="1:17" x14ac:dyDescent="0.2">
      <c r="A810" s="1" t="str">
        <f>HYPERLINK("http://www.twitter.com/Ugo_Roux/status/1139090472566177792", "1139090472566177792")</f>
        <v>1139090472566177792</v>
      </c>
      <c r="B810" t="s">
        <v>285</v>
      </c>
      <c r="C810" s="3">
        <v>43629.362337962957</v>
      </c>
      <c r="D810" s="5" t="s">
        <v>28</v>
      </c>
      <c r="E810">
        <v>0</v>
      </c>
      <c r="F810">
        <v>1</v>
      </c>
      <c r="G810">
        <v>0</v>
      </c>
      <c r="I810" t="s">
        <v>845</v>
      </c>
      <c r="J810" t="str">
        <f>HYPERLINK("http://pbs.twimg.com/media/D87ciBvXoAELbFv.jpg", "http://pbs.twimg.com/media/D87ciBvXoAELbFv.jpg")</f>
        <v>http://pbs.twimg.com/media/D87ciBvXoAELbFv.jpg</v>
      </c>
      <c r="K810" t="str">
        <f>HYPERLINK("http://pbs.twimg.com/media/D87cvK1WwAAiffG.jpg", "http://pbs.twimg.com/media/D87cvK1WwAAiffG.jpg")</f>
        <v>http://pbs.twimg.com/media/D87cvK1WwAAiffG.jpg</v>
      </c>
      <c r="N810">
        <v>0</v>
      </c>
      <c r="O810">
        <v>0</v>
      </c>
      <c r="P810">
        <v>1</v>
      </c>
      <c r="Q810">
        <v>0</v>
      </c>
    </row>
    <row r="811" spans="1:17" x14ac:dyDescent="0.2">
      <c r="A811" s="1" t="str">
        <f>HYPERLINK("http://www.twitter.com/Ugo_Roux/status/1138751144266817536", "1138751144266817536")</f>
        <v>1138751144266817536</v>
      </c>
      <c r="B811" t="s">
        <v>47</v>
      </c>
      <c r="C811" s="3">
        <v>43628.42597222222</v>
      </c>
      <c r="D811" s="5" t="s">
        <v>41</v>
      </c>
      <c r="E811">
        <v>5</v>
      </c>
      <c r="F811">
        <v>1</v>
      </c>
      <c r="G811">
        <v>0</v>
      </c>
      <c r="I811" t="s">
        <v>846</v>
      </c>
      <c r="J811" t="str">
        <f>HYPERLINK("http://pbs.twimg.com/media/D82n-ExX4AAOt7m.jpg", "http://pbs.twimg.com/media/D82n-ExX4AAOt7m.jpg")</f>
        <v>http://pbs.twimg.com/media/D82n-ExX4AAOt7m.jpg</v>
      </c>
      <c r="K811" t="str">
        <f>HYPERLINK("http://pbs.twimg.com/media/D82n-EzXkAA0O-D.jpg", "http://pbs.twimg.com/media/D82n-EzXkAA0O-D.jpg")</f>
        <v>http://pbs.twimg.com/media/D82n-EzXkAA0O-D.jpg</v>
      </c>
      <c r="L811" t="str">
        <f>HYPERLINK("http://pbs.twimg.com/media/D82n-E7XsAAMqyT.jpg", "http://pbs.twimg.com/media/D82n-E7XsAAMqyT.jpg")</f>
        <v>http://pbs.twimg.com/media/D82n-E7XsAAMqyT.jpg</v>
      </c>
      <c r="N811">
        <v>0</v>
      </c>
      <c r="O811">
        <v>0</v>
      </c>
      <c r="P811">
        <v>1</v>
      </c>
      <c r="Q811">
        <v>0</v>
      </c>
    </row>
    <row r="812" spans="1:17" x14ac:dyDescent="0.2">
      <c r="A812" s="1" t="str">
        <f>HYPERLINK("http://www.twitter.com/Ugo_Roux/status/1138451160585658368", "1138451160585658368")</f>
        <v>1138451160585658368</v>
      </c>
      <c r="B812" t="s">
        <v>456</v>
      </c>
      <c r="C812" s="3">
        <v>43627.598171296297</v>
      </c>
      <c r="D812" t="s">
        <v>28</v>
      </c>
      <c r="E812">
        <v>16</v>
      </c>
      <c r="F812">
        <v>9</v>
      </c>
      <c r="G812">
        <v>3</v>
      </c>
      <c r="I812" t="s">
        <v>847</v>
      </c>
      <c r="J812" t="str">
        <f>HYPERLINK("http://pbs.twimg.com/media/D8yXN7qXYAEOTTj.jpg", "http://pbs.twimg.com/media/D8yXN7qXYAEOTTj.jpg")</f>
        <v>http://pbs.twimg.com/media/D8yXN7qXYAEOTTj.jpg</v>
      </c>
      <c r="N812">
        <v>0</v>
      </c>
      <c r="O812">
        <v>0</v>
      </c>
      <c r="P812">
        <v>1</v>
      </c>
      <c r="Q812">
        <v>0</v>
      </c>
    </row>
    <row r="813" spans="1:17" x14ac:dyDescent="0.2">
      <c r="A813" s="1" t="str">
        <f>HYPERLINK("http://www.twitter.com/Ugo_Roux/status/1138357276220284929", "1138357276220284929")</f>
        <v>1138357276220284929</v>
      </c>
      <c r="B813" t="s">
        <v>285</v>
      </c>
      <c r="C813" s="3">
        <v>43627.339097222219</v>
      </c>
      <c r="D813" s="5" t="s">
        <v>17</v>
      </c>
      <c r="E813">
        <v>0</v>
      </c>
      <c r="F813">
        <v>0</v>
      </c>
      <c r="G813">
        <v>0</v>
      </c>
      <c r="I813" t="s">
        <v>848</v>
      </c>
      <c r="J813" t="str">
        <f>HYPERLINK("http://pbs.twimg.com/media/D8xB04KXYAEVipC.jpg", "http://pbs.twimg.com/media/D8xB04KXYAEVipC.jpg")</f>
        <v>http://pbs.twimg.com/media/D8xB04KXYAEVipC.jpg</v>
      </c>
      <c r="N813">
        <v>0</v>
      </c>
      <c r="O813">
        <v>0</v>
      </c>
      <c r="P813">
        <v>1</v>
      </c>
      <c r="Q813">
        <v>0</v>
      </c>
    </row>
    <row r="814" spans="1:17" x14ac:dyDescent="0.2">
      <c r="A814" s="1" t="str">
        <f>HYPERLINK("http://www.twitter.com/Ugo_Roux/status/1138340548413198337", "1138340548413198337")</f>
        <v>1138340548413198337</v>
      </c>
      <c r="B814" t="s">
        <v>142</v>
      </c>
      <c r="C814" s="3">
        <v>43627.292939814812</v>
      </c>
      <c r="D814" s="5" t="s">
        <v>24</v>
      </c>
      <c r="E814">
        <v>2</v>
      </c>
      <c r="F814">
        <v>2</v>
      </c>
      <c r="G814">
        <v>0</v>
      </c>
      <c r="I814" t="s">
        <v>849</v>
      </c>
      <c r="J814" t="str">
        <f>HYPERLINK("http://pbs.twimg.com/media/D8wyrMXWkAEiCV1.jpg", "http://pbs.twimg.com/media/D8wyrMXWkAEiCV1.jpg")</f>
        <v>http://pbs.twimg.com/media/D8wyrMXWkAEiCV1.jpg</v>
      </c>
      <c r="N814">
        <v>0</v>
      </c>
      <c r="O814">
        <v>0</v>
      </c>
      <c r="P814">
        <v>1</v>
      </c>
      <c r="Q814">
        <v>0</v>
      </c>
    </row>
    <row r="815" spans="1:17" x14ac:dyDescent="0.2">
      <c r="A815" s="1" t="str">
        <f>HYPERLINK("http://www.twitter.com/Ugo_Roux/status/1137987397503868928", "1137987397503868928")</f>
        <v>1137987397503868928</v>
      </c>
      <c r="B815" t="s">
        <v>142</v>
      </c>
      <c r="C815" s="3">
        <v>43626.318437499998</v>
      </c>
      <c r="D815" s="5" t="s">
        <v>17</v>
      </c>
      <c r="E815">
        <v>0</v>
      </c>
      <c r="F815">
        <v>1</v>
      </c>
      <c r="G815">
        <v>0</v>
      </c>
      <c r="I815" t="s">
        <v>850</v>
      </c>
      <c r="N815">
        <v>0</v>
      </c>
      <c r="O815">
        <v>0</v>
      </c>
      <c r="P815">
        <v>1</v>
      </c>
      <c r="Q815">
        <v>0</v>
      </c>
    </row>
    <row r="816" spans="1:17" x14ac:dyDescent="0.2">
      <c r="A816" s="1" t="str">
        <f>HYPERLINK("http://www.twitter.com/Ugo_Roux/status/1137313275635523584", "1137313275635523584")</f>
        <v>1137313275635523584</v>
      </c>
      <c r="B816" t="s">
        <v>142</v>
      </c>
      <c r="C816" s="3">
        <v>43624.45820601852</v>
      </c>
      <c r="D816" s="5" t="s">
        <v>24</v>
      </c>
      <c r="E816">
        <v>0</v>
      </c>
      <c r="F816">
        <v>1</v>
      </c>
      <c r="G816">
        <v>0</v>
      </c>
      <c r="I816" t="s">
        <v>851</v>
      </c>
      <c r="J816" t="str">
        <f>HYPERLINK("http://pbs.twimg.com/media/D8iMYOOXUAAde_4.jpg", "http://pbs.twimg.com/media/D8iMYOOXUAAde_4.jpg")</f>
        <v>http://pbs.twimg.com/media/D8iMYOOXUAAde_4.jpg</v>
      </c>
      <c r="N816">
        <v>0</v>
      </c>
      <c r="O816">
        <v>0</v>
      </c>
      <c r="P816">
        <v>1</v>
      </c>
      <c r="Q816">
        <v>0</v>
      </c>
    </row>
    <row r="817" spans="1:17" x14ac:dyDescent="0.2">
      <c r="A817" s="1" t="str">
        <f>HYPERLINK("http://www.twitter.com/Ugo_Roux/status/1137269371104038912", "1137269371104038912")</f>
        <v>1137269371104038912</v>
      </c>
      <c r="B817" t="s">
        <v>285</v>
      </c>
      <c r="C817" s="3">
        <v>43624.337060185193</v>
      </c>
      <c r="D817" s="5" t="s">
        <v>28</v>
      </c>
      <c r="E817">
        <v>1</v>
      </c>
      <c r="F817">
        <v>0</v>
      </c>
      <c r="G817">
        <v>0</v>
      </c>
      <c r="I817" t="s">
        <v>852</v>
      </c>
      <c r="J817" t="str">
        <f>HYPERLINK("http://pbs.twimg.com/media/D8hkce4W4AA1YsI.jpg", "http://pbs.twimg.com/media/D8hkce4W4AA1YsI.jpg")</f>
        <v>http://pbs.twimg.com/media/D8hkce4W4AA1YsI.jpg</v>
      </c>
      <c r="N817">
        <v>0</v>
      </c>
      <c r="O817">
        <v>0</v>
      </c>
      <c r="P817">
        <v>1</v>
      </c>
      <c r="Q817">
        <v>0</v>
      </c>
    </row>
    <row r="818" spans="1:17" x14ac:dyDescent="0.2">
      <c r="A818" s="1" t="str">
        <f>HYPERLINK("http://www.twitter.com/Ugo_Roux/status/1137014864227000320", "1137014864227000320")</f>
        <v>1137014864227000320</v>
      </c>
      <c r="B818" t="s">
        <v>130</v>
      </c>
      <c r="C818" s="3">
        <v>43623.634756944448</v>
      </c>
      <c r="D818" s="5" t="s">
        <v>28</v>
      </c>
      <c r="E818">
        <v>0</v>
      </c>
      <c r="F818">
        <v>0</v>
      </c>
      <c r="G818">
        <v>0</v>
      </c>
      <c r="I818" t="s">
        <v>853</v>
      </c>
      <c r="J818" t="str">
        <f>HYPERLINK("http://pbs.twimg.com/media/D8d8r8xW4AAKozM.jpg", "http://pbs.twimg.com/media/D8d8r8xW4AAKozM.jpg")</f>
        <v>http://pbs.twimg.com/media/D8d8r8xW4AAKozM.jpg</v>
      </c>
      <c r="N818">
        <v>0</v>
      </c>
      <c r="O818">
        <v>0</v>
      </c>
      <c r="P818">
        <v>1</v>
      </c>
      <c r="Q818">
        <v>0</v>
      </c>
    </row>
    <row r="819" spans="1:17" x14ac:dyDescent="0.2">
      <c r="A819" s="1" t="str">
        <f>HYPERLINK("http://www.twitter.com/Ugo_Roux/status/1136982499467366400", "1136982499467366400")</f>
        <v>1136982499467366400</v>
      </c>
      <c r="B819" t="s">
        <v>425</v>
      </c>
      <c r="C819" s="3">
        <v>43623.545439814807</v>
      </c>
      <c r="D819" s="5" t="s">
        <v>17</v>
      </c>
      <c r="E819">
        <v>0</v>
      </c>
      <c r="F819">
        <v>0</v>
      </c>
      <c r="G819">
        <v>0</v>
      </c>
      <c r="I819" t="s">
        <v>854</v>
      </c>
      <c r="N819">
        <v>0</v>
      </c>
      <c r="O819">
        <v>0</v>
      </c>
      <c r="P819">
        <v>1</v>
      </c>
      <c r="Q819">
        <v>0</v>
      </c>
    </row>
    <row r="820" spans="1:17" x14ac:dyDescent="0.2">
      <c r="A820" s="1" t="str">
        <f>HYPERLINK("http://www.twitter.com/Ugo_Roux/status/1136956467951489024", "1136956467951489024")</f>
        <v>1136956467951489024</v>
      </c>
      <c r="B820" t="s">
        <v>47</v>
      </c>
      <c r="C820" s="3">
        <v>43623.473611111112</v>
      </c>
      <c r="D820" s="5" t="s">
        <v>24</v>
      </c>
      <c r="E820">
        <v>1</v>
      </c>
      <c r="F820">
        <v>0</v>
      </c>
      <c r="G820">
        <v>0</v>
      </c>
      <c r="I820" t="s">
        <v>855</v>
      </c>
      <c r="N820">
        <v>0</v>
      </c>
      <c r="O820">
        <v>0</v>
      </c>
      <c r="P820">
        <v>1</v>
      </c>
      <c r="Q820">
        <v>0</v>
      </c>
    </row>
    <row r="821" spans="1:17" x14ac:dyDescent="0.2">
      <c r="A821" s="1" t="str">
        <f>HYPERLINK("http://www.twitter.com/Ugo_Roux/status/1136924983064743937", "1136924983064743937")</f>
        <v>1136924983064743937</v>
      </c>
      <c r="B821" t="s">
        <v>414</v>
      </c>
      <c r="C821" s="3">
        <v>43623.386724537027</v>
      </c>
      <c r="D821" s="5" t="s">
        <v>28</v>
      </c>
      <c r="E821">
        <v>1</v>
      </c>
      <c r="F821">
        <v>0</v>
      </c>
      <c r="G821">
        <v>0</v>
      </c>
      <c r="I821" t="s">
        <v>856</v>
      </c>
      <c r="J821" t="str">
        <f>HYPERLINK("http://pbs.twimg.com/media/D8crPDJWkAAkwws.jpg", "http://pbs.twimg.com/media/D8crPDJWkAAkwws.jpg")</f>
        <v>http://pbs.twimg.com/media/D8crPDJWkAAkwws.jpg</v>
      </c>
      <c r="N821">
        <v>0</v>
      </c>
      <c r="O821">
        <v>0</v>
      </c>
      <c r="P821">
        <v>1</v>
      </c>
      <c r="Q821">
        <v>0</v>
      </c>
    </row>
    <row r="822" spans="1:17" x14ac:dyDescent="0.2">
      <c r="A822" s="1" t="str">
        <f>HYPERLINK("http://www.twitter.com/Ugo_Roux/status/1136664605072269312", "1136664605072269312")</f>
        <v>1136664605072269312</v>
      </c>
      <c r="B822" t="s">
        <v>285</v>
      </c>
      <c r="C822" s="3">
        <v>43622.668217592603</v>
      </c>
      <c r="D822" s="5" t="s">
        <v>28</v>
      </c>
      <c r="E822">
        <v>2</v>
      </c>
      <c r="F822">
        <v>3</v>
      </c>
      <c r="G822">
        <v>0</v>
      </c>
      <c r="I822" t="s">
        <v>857</v>
      </c>
      <c r="J822" t="str">
        <f>HYPERLINK("http://pbs.twimg.com/media/D8Y-aK8X4AAU6v0.png", "http://pbs.twimg.com/media/D8Y-aK8X4AAU6v0.png")</f>
        <v>http://pbs.twimg.com/media/D8Y-aK8X4AAU6v0.png</v>
      </c>
      <c r="N822">
        <v>0</v>
      </c>
      <c r="O822">
        <v>0</v>
      </c>
      <c r="P822">
        <v>1</v>
      </c>
      <c r="Q822">
        <v>0</v>
      </c>
    </row>
    <row r="823" spans="1:17" x14ac:dyDescent="0.2">
      <c r="A823" s="1" t="str">
        <f>HYPERLINK("http://www.twitter.com/Ugo_Roux/status/1136558347711213568", "1136558347711213568")</f>
        <v>1136558347711213568</v>
      </c>
      <c r="B823" t="s">
        <v>47</v>
      </c>
      <c r="C823" s="3">
        <v>43622.375</v>
      </c>
      <c r="D823" s="5" t="s">
        <v>24</v>
      </c>
      <c r="E823">
        <v>1</v>
      </c>
      <c r="F823">
        <v>1</v>
      </c>
      <c r="G823">
        <v>0</v>
      </c>
      <c r="I823" t="s">
        <v>858</v>
      </c>
      <c r="N823">
        <v>0</v>
      </c>
      <c r="O823">
        <v>0</v>
      </c>
      <c r="P823">
        <v>1</v>
      </c>
      <c r="Q823">
        <v>0</v>
      </c>
    </row>
    <row r="824" spans="1:17" x14ac:dyDescent="0.2">
      <c r="A824" s="1" t="str">
        <f>HYPERLINK("http://www.twitter.com/Ugo_Roux/status/1136271639631585281", "1136271639631585281")</f>
        <v>1136271639631585281</v>
      </c>
      <c r="B824" t="s">
        <v>130</v>
      </c>
      <c r="C824" s="3">
        <v>43621.58384259259</v>
      </c>
      <c r="D824" s="5" t="s">
        <v>28</v>
      </c>
      <c r="E824">
        <v>0</v>
      </c>
      <c r="F824">
        <v>0</v>
      </c>
      <c r="G824">
        <v>0</v>
      </c>
      <c r="I824" t="s">
        <v>859</v>
      </c>
      <c r="J824" t="str">
        <f>HYPERLINK("http://pbs.twimg.com/media/D8TYo-TWwAALKEz.jpg", "http://pbs.twimg.com/media/D8TYo-TWwAALKEz.jpg")</f>
        <v>http://pbs.twimg.com/media/D8TYo-TWwAALKEz.jpg</v>
      </c>
      <c r="N824">
        <v>0</v>
      </c>
      <c r="O824">
        <v>0</v>
      </c>
      <c r="P824">
        <v>1</v>
      </c>
      <c r="Q824">
        <v>0</v>
      </c>
    </row>
    <row r="825" spans="1:17" x14ac:dyDescent="0.2">
      <c r="A825" s="1" t="str">
        <f>HYPERLINK("http://www.twitter.com/Ugo_Roux/status/1136189618410446849", "1136189618410446849")</f>
        <v>1136189618410446849</v>
      </c>
      <c r="B825" t="s">
        <v>47</v>
      </c>
      <c r="C825" s="3">
        <v>43621.357511574082</v>
      </c>
      <c r="D825" s="5" t="s">
        <v>17</v>
      </c>
      <c r="E825">
        <v>2</v>
      </c>
      <c r="F825">
        <v>3</v>
      </c>
      <c r="G825">
        <v>0</v>
      </c>
      <c r="I825" t="s">
        <v>860</v>
      </c>
      <c r="N825">
        <v>0</v>
      </c>
      <c r="O825">
        <v>0</v>
      </c>
      <c r="P825">
        <v>1</v>
      </c>
      <c r="Q825">
        <v>0</v>
      </c>
    </row>
    <row r="826" spans="1:17" x14ac:dyDescent="0.2">
      <c r="A826" s="1" t="str">
        <f>HYPERLINK("http://www.twitter.com/Ugo_Roux/status/1135804865114968065", "1135804865114968065")</f>
        <v>1135804865114968065</v>
      </c>
      <c r="B826" t="s">
        <v>142</v>
      </c>
      <c r="C826" s="3">
        <v>43620.295787037037</v>
      </c>
      <c r="D826" s="5" t="s">
        <v>17</v>
      </c>
      <c r="E826">
        <v>0</v>
      </c>
      <c r="F826">
        <v>0</v>
      </c>
      <c r="G826">
        <v>0</v>
      </c>
      <c r="I826" t="s">
        <v>861</v>
      </c>
      <c r="N826">
        <v>0</v>
      </c>
      <c r="O826">
        <v>0</v>
      </c>
      <c r="P826">
        <v>1</v>
      </c>
      <c r="Q826">
        <v>0</v>
      </c>
    </row>
    <row r="827" spans="1:17" x14ac:dyDescent="0.2">
      <c r="A827" s="1" t="str">
        <f>HYPERLINK("http://www.twitter.com/Ugo_Roux/status/1135132680058736646", "1135132680058736646")</f>
        <v>1135132680058736646</v>
      </c>
      <c r="B827" t="s">
        <v>142</v>
      </c>
      <c r="C827" s="3">
        <v>43618.44091435185</v>
      </c>
      <c r="D827" s="5" t="s">
        <v>28</v>
      </c>
      <c r="E827">
        <v>0</v>
      </c>
      <c r="F827">
        <v>0</v>
      </c>
      <c r="G827">
        <v>0</v>
      </c>
      <c r="I827" t="s">
        <v>862</v>
      </c>
      <c r="N827">
        <v>0</v>
      </c>
      <c r="O827">
        <v>0</v>
      </c>
      <c r="P827">
        <v>1</v>
      </c>
      <c r="Q827">
        <v>0</v>
      </c>
    </row>
    <row r="828" spans="1:17" x14ac:dyDescent="0.2">
      <c r="A828" s="1" t="str">
        <f>HYPERLINK("http://www.twitter.com/Ugo_Roux/status/1134829077976768517", "1134829077976768517")</f>
        <v>1134829077976768517</v>
      </c>
      <c r="B828" t="s">
        <v>456</v>
      </c>
      <c r="C828" s="3">
        <v>43617.603125000001</v>
      </c>
      <c r="D828" t="s">
        <v>28</v>
      </c>
      <c r="E828">
        <v>2</v>
      </c>
      <c r="F828">
        <v>1</v>
      </c>
      <c r="G828">
        <v>0</v>
      </c>
      <c r="I828" t="s">
        <v>863</v>
      </c>
      <c r="J828" t="str">
        <f>HYPERLINK("http://pbs.twimg.com/media/D7-4K8oWwAAuFUI.jpg", "http://pbs.twimg.com/media/D7-4K8oWwAAuFUI.jpg")</f>
        <v>http://pbs.twimg.com/media/D7-4K8oWwAAuFUI.jpg</v>
      </c>
      <c r="N828">
        <v>0</v>
      </c>
      <c r="O828">
        <v>0</v>
      </c>
      <c r="P828">
        <v>1</v>
      </c>
      <c r="Q828">
        <v>0</v>
      </c>
    </row>
    <row r="829" spans="1:17" x14ac:dyDescent="0.2">
      <c r="A829" s="1" t="str">
        <f>HYPERLINK("http://www.twitter.com/Ugo_Roux/status/1134757298264530944", "1134757298264530944")</f>
        <v>1134757298264530944</v>
      </c>
      <c r="B829" t="s">
        <v>206</v>
      </c>
      <c r="C829" s="3">
        <v>43617.405057870368</v>
      </c>
      <c r="D829" s="5" t="s">
        <v>28</v>
      </c>
      <c r="E829">
        <v>4</v>
      </c>
      <c r="F829">
        <v>4</v>
      </c>
      <c r="G829">
        <v>0</v>
      </c>
      <c r="I829" t="s">
        <v>864</v>
      </c>
      <c r="J829" t="str">
        <f>HYPERLINK("http://pbs.twimg.com/media/D793u4KXkAMeMR9.jpg", "http://pbs.twimg.com/media/D793u4KXkAMeMR9.jpg")</f>
        <v>http://pbs.twimg.com/media/D793u4KXkAMeMR9.jpg</v>
      </c>
      <c r="N829">
        <v>0</v>
      </c>
      <c r="O829">
        <v>0</v>
      </c>
      <c r="P829">
        <v>1</v>
      </c>
      <c r="Q829">
        <v>0</v>
      </c>
    </row>
    <row r="830" spans="1:17" x14ac:dyDescent="0.2">
      <c r="A830" s="1" t="str">
        <f>HYPERLINK("http://www.twitter.com/Ugo_Roux/status/1134490383105347584", "1134490383105347584")</f>
        <v>1134490383105347584</v>
      </c>
      <c r="B830" t="s">
        <v>47</v>
      </c>
      <c r="C830" s="3">
        <v>43616.668506944443</v>
      </c>
      <c r="D830" s="5" t="s">
        <v>17</v>
      </c>
      <c r="E830">
        <v>8</v>
      </c>
      <c r="F830">
        <v>1</v>
      </c>
      <c r="G830">
        <v>0</v>
      </c>
      <c r="I830" t="s">
        <v>865</v>
      </c>
      <c r="N830">
        <v>0.25</v>
      </c>
      <c r="O830">
        <v>0</v>
      </c>
      <c r="P830">
        <v>0.95099999999999996</v>
      </c>
      <c r="Q830">
        <v>4.9000000000000002E-2</v>
      </c>
    </row>
    <row r="831" spans="1:17" x14ac:dyDescent="0.2">
      <c r="A831" s="1" t="str">
        <f>HYPERLINK("http://www.twitter.com/Ugo_Roux/status/1134415369513373696", "1134415369513373696")</f>
        <v>1134415369513373696</v>
      </c>
      <c r="B831" t="s">
        <v>142</v>
      </c>
      <c r="C831" s="3">
        <v>43616.461516203701</v>
      </c>
      <c r="D831" s="5" t="s">
        <v>17</v>
      </c>
      <c r="E831">
        <v>0</v>
      </c>
      <c r="F831">
        <v>0</v>
      </c>
      <c r="G831">
        <v>0</v>
      </c>
      <c r="I831" t="s">
        <v>866</v>
      </c>
      <c r="J831" t="str">
        <f>HYPERLINK("http://pbs.twimg.com/media/D75Aw10W4AYr-s5.jpg", "http://pbs.twimg.com/media/D75Aw10W4AYr-s5.jpg")</f>
        <v>http://pbs.twimg.com/media/D75Aw10W4AYr-s5.jpg</v>
      </c>
      <c r="N831">
        <v>0</v>
      </c>
      <c r="O831">
        <v>0</v>
      </c>
      <c r="P831">
        <v>1</v>
      </c>
      <c r="Q831">
        <v>0</v>
      </c>
    </row>
    <row r="832" spans="1:17" x14ac:dyDescent="0.2">
      <c r="A832" s="1" t="str">
        <f>HYPERLINK("http://www.twitter.com/Ugo_Roux/status/1133667529388380160", "1133667529388380160")</f>
        <v>1133667529388380160</v>
      </c>
      <c r="B832" t="s">
        <v>206</v>
      </c>
      <c r="C832" s="3">
        <v>43614.397870370369</v>
      </c>
      <c r="D832" s="5" t="s">
        <v>41</v>
      </c>
      <c r="E832">
        <v>5</v>
      </c>
      <c r="F832">
        <v>2</v>
      </c>
      <c r="G832">
        <v>0</v>
      </c>
      <c r="I832" t="s">
        <v>867</v>
      </c>
      <c r="J832" t="str">
        <f>HYPERLINK("http://pbs.twimg.com/media/D7uYgbpXkAAJSuU.jpg", "http://pbs.twimg.com/media/D7uYgbpXkAAJSuU.jpg")</f>
        <v>http://pbs.twimg.com/media/D7uYgbpXkAAJSuU.jpg</v>
      </c>
      <c r="N832">
        <v>0</v>
      </c>
      <c r="O832">
        <v>0</v>
      </c>
      <c r="P832">
        <v>1</v>
      </c>
      <c r="Q832">
        <v>0</v>
      </c>
    </row>
    <row r="833" spans="1:17" x14ac:dyDescent="0.2">
      <c r="A833" s="1" t="str">
        <f>HYPERLINK("http://www.twitter.com/Ugo_Roux/status/1133623534696194049", "1133623534696194049")</f>
        <v>1133623534696194049</v>
      </c>
      <c r="B833" t="s">
        <v>285</v>
      </c>
      <c r="C833" s="3">
        <v>43614.276469907411</v>
      </c>
      <c r="D833" s="5" t="s">
        <v>460</v>
      </c>
      <c r="E833">
        <v>0</v>
      </c>
      <c r="F833">
        <v>0</v>
      </c>
      <c r="G833">
        <v>0</v>
      </c>
      <c r="I833" t="s">
        <v>868</v>
      </c>
      <c r="J833" t="str">
        <f>HYPERLINK("http://pbs.twimg.com/media/D7twfG7XkAADNu7.jpg", "http://pbs.twimg.com/media/D7twfG7XkAADNu7.jpg")</f>
        <v>http://pbs.twimg.com/media/D7twfG7XkAADNu7.jpg</v>
      </c>
      <c r="N833">
        <v>0</v>
      </c>
      <c r="O833">
        <v>0</v>
      </c>
      <c r="P833">
        <v>1</v>
      </c>
      <c r="Q833">
        <v>0</v>
      </c>
    </row>
    <row r="834" spans="1:17" x14ac:dyDescent="0.2">
      <c r="A834" s="1" t="str">
        <f>HYPERLINK("http://www.twitter.com/Ugo_Roux/status/1133620818490089472", "1133620818490089472")</f>
        <v>1133620818490089472</v>
      </c>
      <c r="B834" t="s">
        <v>285</v>
      </c>
      <c r="C834" s="3">
        <v>43614.268969907411</v>
      </c>
      <c r="D834" s="5" t="s">
        <v>17</v>
      </c>
      <c r="E834">
        <v>1</v>
      </c>
      <c r="F834">
        <v>0</v>
      </c>
      <c r="G834">
        <v>0</v>
      </c>
      <c r="I834" t="s">
        <v>869</v>
      </c>
      <c r="J834" t="str">
        <f>HYPERLINK("http://pbs.twimg.com/media/D7tuHDDXYAAQ9HQ.jpg", "http://pbs.twimg.com/media/D7tuHDDXYAAQ9HQ.jpg")</f>
        <v>http://pbs.twimg.com/media/D7tuHDDXYAAQ9HQ.jpg</v>
      </c>
      <c r="N834">
        <v>0</v>
      </c>
      <c r="O834">
        <v>0</v>
      </c>
      <c r="P834">
        <v>1</v>
      </c>
      <c r="Q834">
        <v>0</v>
      </c>
    </row>
    <row r="835" spans="1:17" x14ac:dyDescent="0.2">
      <c r="A835" s="1" t="str">
        <f>HYPERLINK("http://www.twitter.com/Ugo_Roux/status/1133351653992742913", "1133351653992742913")</f>
        <v>1133351653992742913</v>
      </c>
      <c r="B835" t="s">
        <v>130</v>
      </c>
      <c r="C835" s="3">
        <v>43613.52621527778</v>
      </c>
      <c r="D835" s="5" t="s">
        <v>28</v>
      </c>
      <c r="E835">
        <v>0</v>
      </c>
      <c r="F835">
        <v>0</v>
      </c>
      <c r="G835">
        <v>0</v>
      </c>
      <c r="I835" t="s">
        <v>870</v>
      </c>
      <c r="J835" t="str">
        <f>HYPERLINK("http://pbs.twimg.com/media/D7p5IizXsAA5Nux.jpg", "http://pbs.twimg.com/media/D7p5IizXsAA5Nux.jpg")</f>
        <v>http://pbs.twimg.com/media/D7p5IizXsAA5Nux.jpg</v>
      </c>
      <c r="N835">
        <v>0</v>
      </c>
      <c r="O835">
        <v>0</v>
      </c>
      <c r="P835">
        <v>1</v>
      </c>
      <c r="Q835">
        <v>0</v>
      </c>
    </row>
    <row r="836" spans="1:17" x14ac:dyDescent="0.2">
      <c r="A836" s="1" t="str">
        <f>HYPERLINK("http://www.twitter.com/Ugo_Roux/status/1133347603549249537", "1133347603549249537")</f>
        <v>1133347603549249537</v>
      </c>
      <c r="B836" t="s">
        <v>414</v>
      </c>
      <c r="C836" s="3">
        <v>43613.515034722222</v>
      </c>
      <c r="D836" s="5" t="s">
        <v>28</v>
      </c>
      <c r="E836">
        <v>0</v>
      </c>
      <c r="F836">
        <v>1</v>
      </c>
      <c r="G836">
        <v>0</v>
      </c>
      <c r="I836" t="s">
        <v>871</v>
      </c>
      <c r="J836" t="str">
        <f>HYPERLINK("http://pbs.twimg.com/media/D7p1Xl_WkAU9Vu1.jpg", "http://pbs.twimg.com/media/D7p1Xl_WkAU9Vu1.jpg")</f>
        <v>http://pbs.twimg.com/media/D7p1Xl_WkAU9Vu1.jpg</v>
      </c>
      <c r="K836" t="str">
        <f>HYPERLINK("http://pbs.twimg.com/media/D7p1Xl-WsAEEWeO.jpg", "http://pbs.twimg.com/media/D7p1Xl-WsAEEWeO.jpg")</f>
        <v>http://pbs.twimg.com/media/D7p1Xl-WsAEEWeO.jpg</v>
      </c>
      <c r="L836" t="str">
        <f>HYPERLINK("http://pbs.twimg.com/media/D7p1XmFXkAAnbqw.jpg", "http://pbs.twimg.com/media/D7p1XmFXkAAnbqw.jpg")</f>
        <v>http://pbs.twimg.com/media/D7p1XmFXkAAnbqw.jpg</v>
      </c>
      <c r="N836">
        <v>0.77170000000000005</v>
      </c>
      <c r="O836">
        <v>0</v>
      </c>
      <c r="P836">
        <v>0.78400000000000003</v>
      </c>
      <c r="Q836">
        <v>0.216</v>
      </c>
    </row>
    <row r="837" spans="1:17" x14ac:dyDescent="0.2">
      <c r="A837" s="1" t="str">
        <f>HYPERLINK("http://www.twitter.com/Ugo_Roux/status/1133296604566511616", "1133296604566511616")</f>
        <v>1133296604566511616</v>
      </c>
      <c r="B837" t="s">
        <v>97</v>
      </c>
      <c r="C837" s="3">
        <v>43613.374305555553</v>
      </c>
      <c r="D837" s="5" t="s">
        <v>28</v>
      </c>
      <c r="E837">
        <v>0</v>
      </c>
      <c r="F837">
        <v>0</v>
      </c>
      <c r="G837">
        <v>0</v>
      </c>
      <c r="I837" t="s">
        <v>872</v>
      </c>
      <c r="J837" t="str">
        <f>HYPERLINK("http://pbs.twimg.com/media/D7pHQVJW4AAtWsc.jpg", "http://pbs.twimg.com/media/D7pHQVJW4AAtWsc.jpg")</f>
        <v>http://pbs.twimg.com/media/D7pHQVJW4AAtWsc.jpg</v>
      </c>
      <c r="N837">
        <v>0</v>
      </c>
      <c r="O837">
        <v>0</v>
      </c>
      <c r="P837">
        <v>1</v>
      </c>
      <c r="Q837">
        <v>0</v>
      </c>
    </row>
    <row r="838" spans="1:17" x14ac:dyDescent="0.2">
      <c r="A838" s="1" t="str">
        <f>HYPERLINK("http://www.twitter.com/Ugo_Roux/status/1133291826293673985", "1133291826293673985")</f>
        <v>1133291826293673985</v>
      </c>
      <c r="B838" t="s">
        <v>471</v>
      </c>
      <c r="C838" s="3">
        <v>43613.361122685194</v>
      </c>
      <c r="D838" s="3" t="s">
        <v>28</v>
      </c>
      <c r="E838">
        <v>0</v>
      </c>
      <c r="F838">
        <v>0</v>
      </c>
      <c r="G838">
        <v>0</v>
      </c>
      <c r="I838" t="s">
        <v>873</v>
      </c>
      <c r="J838" t="str">
        <f>HYPERLINK("http://pbs.twimg.com/media/D7pCvcOXYAAAZbj.jpg", "http://pbs.twimg.com/media/D7pCvcOXYAAAZbj.jpg")</f>
        <v>http://pbs.twimg.com/media/D7pCvcOXYAAAZbj.jpg</v>
      </c>
      <c r="N838">
        <v>0</v>
      </c>
      <c r="O838">
        <v>0</v>
      </c>
      <c r="P838">
        <v>1</v>
      </c>
      <c r="Q838">
        <v>0</v>
      </c>
    </row>
    <row r="839" spans="1:17" x14ac:dyDescent="0.2">
      <c r="A839" s="1" t="str">
        <f>HYPERLINK("http://www.twitter.com/Ugo_Roux/status/1133258081993932800", "1133258081993932800")</f>
        <v>1133258081993932800</v>
      </c>
      <c r="B839" t="s">
        <v>285</v>
      </c>
      <c r="C839" s="3">
        <v>43613.268009259264</v>
      </c>
      <c r="D839" s="5" t="s">
        <v>17</v>
      </c>
      <c r="E839">
        <v>0</v>
      </c>
      <c r="F839">
        <v>0</v>
      </c>
      <c r="G839">
        <v>0</v>
      </c>
      <c r="I839" t="s">
        <v>874</v>
      </c>
      <c r="N839">
        <v>0</v>
      </c>
      <c r="O839">
        <v>0</v>
      </c>
      <c r="P839">
        <v>1</v>
      </c>
      <c r="Q839">
        <v>0</v>
      </c>
    </row>
    <row r="840" spans="1:17" x14ac:dyDescent="0.2">
      <c r="A840" s="1" t="str">
        <f>HYPERLINK("http://www.twitter.com/Ugo_Roux/status/1131933022582923264", "1131933022582923264")</f>
        <v>1131933022582923264</v>
      </c>
      <c r="B840" t="s">
        <v>425</v>
      </c>
      <c r="C840" s="3">
        <v>43609.611539351848</v>
      </c>
      <c r="D840" s="5" t="s">
        <v>17</v>
      </c>
      <c r="E840">
        <v>0</v>
      </c>
      <c r="F840">
        <v>0</v>
      </c>
      <c r="G840">
        <v>0</v>
      </c>
      <c r="I840" t="s">
        <v>875</v>
      </c>
      <c r="J840" t="str">
        <f>HYPERLINK("http://pbs.twimg.com/media/D7Vu8a9XsAAPC7G.jpg", "http://pbs.twimg.com/media/D7Vu8a9XsAAPC7G.jpg")</f>
        <v>http://pbs.twimg.com/media/D7Vu8a9XsAAPC7G.jpg</v>
      </c>
      <c r="N840">
        <v>0</v>
      </c>
      <c r="O840">
        <v>0</v>
      </c>
      <c r="P840">
        <v>1</v>
      </c>
      <c r="Q840">
        <v>0</v>
      </c>
    </row>
    <row r="841" spans="1:17" x14ac:dyDescent="0.2">
      <c r="A841" s="1" t="str">
        <f>HYPERLINK("http://www.twitter.com/Ugo_Roux/status/1131908184057237505", "1131908184057237505")</f>
        <v>1131908184057237505</v>
      </c>
      <c r="B841" t="s">
        <v>142</v>
      </c>
      <c r="C841" s="3">
        <v>43609.542997685188</v>
      </c>
      <c r="D841" s="5" t="s">
        <v>17</v>
      </c>
      <c r="E841">
        <v>3</v>
      </c>
      <c r="F841">
        <v>0</v>
      </c>
      <c r="G841">
        <v>0</v>
      </c>
      <c r="I841" t="s">
        <v>876</v>
      </c>
      <c r="J841" t="str">
        <f>HYPERLINK("http://pbs.twimg.com/media/D7VYfgAWkAA5Ddo.jpg", "http://pbs.twimg.com/media/D7VYfgAWkAA5Ddo.jpg")</f>
        <v>http://pbs.twimg.com/media/D7VYfgAWkAA5Ddo.jpg</v>
      </c>
      <c r="N841">
        <v>-0.44040000000000001</v>
      </c>
      <c r="O841">
        <v>8.1000000000000003E-2</v>
      </c>
      <c r="P841">
        <v>0.91900000000000004</v>
      </c>
      <c r="Q841">
        <v>0</v>
      </c>
    </row>
    <row r="842" spans="1:17" x14ac:dyDescent="0.2">
      <c r="A842" s="1" t="str">
        <f>HYPERLINK("http://www.twitter.com/Ugo_Roux/status/1131805661719871488", "1131805661719871488")</f>
        <v>1131805661719871488</v>
      </c>
      <c r="B842" t="s">
        <v>285</v>
      </c>
      <c r="C842" s="3">
        <v>43609.260092592587</v>
      </c>
      <c r="D842" s="5" t="s">
        <v>460</v>
      </c>
      <c r="E842">
        <v>0</v>
      </c>
      <c r="F842">
        <v>0</v>
      </c>
      <c r="G842">
        <v>0</v>
      </c>
      <c r="I842" t="s">
        <v>877</v>
      </c>
      <c r="N842">
        <v>0</v>
      </c>
      <c r="O842">
        <v>0</v>
      </c>
      <c r="P842">
        <v>1</v>
      </c>
      <c r="Q842">
        <v>0</v>
      </c>
    </row>
    <row r="843" spans="1:17" x14ac:dyDescent="0.2">
      <c r="A843" s="1" t="str">
        <f>HYPERLINK("http://www.twitter.com/Ugo_Roux/status/1131548482127450113", "1131548482127450113")</f>
        <v>1131548482127450113</v>
      </c>
      <c r="B843" t="s">
        <v>206</v>
      </c>
      <c r="C843" s="3">
        <v>43608.550405092603</v>
      </c>
      <c r="D843" s="5" t="s">
        <v>41</v>
      </c>
      <c r="E843">
        <v>40</v>
      </c>
      <c r="F843">
        <v>7</v>
      </c>
      <c r="G843">
        <v>1</v>
      </c>
      <c r="I843" t="s">
        <v>878</v>
      </c>
      <c r="J843" t="str">
        <f>HYPERLINK("http://pbs.twimg.com/media/D7QRCUjWsAEAqCb.jpg", "http://pbs.twimg.com/media/D7QRCUjWsAEAqCb.jpg")</f>
        <v>http://pbs.twimg.com/media/D7QRCUjWsAEAqCb.jpg</v>
      </c>
      <c r="N843">
        <v>0</v>
      </c>
      <c r="O843">
        <v>0</v>
      </c>
      <c r="P843">
        <v>1</v>
      </c>
      <c r="Q843">
        <v>0</v>
      </c>
    </row>
    <row r="844" spans="1:17" x14ac:dyDescent="0.2">
      <c r="A844" s="1" t="str">
        <f>HYPERLINK("http://www.twitter.com/Ugo_Roux/status/1131479948844249088", "1131479948844249088")</f>
        <v>1131479948844249088</v>
      </c>
      <c r="B844" t="s">
        <v>285</v>
      </c>
      <c r="C844" s="3">
        <v>43608.361296296287</v>
      </c>
      <c r="D844" s="5" t="s">
        <v>17</v>
      </c>
      <c r="E844">
        <v>0</v>
      </c>
      <c r="F844">
        <v>0</v>
      </c>
      <c r="G844">
        <v>0</v>
      </c>
      <c r="I844" t="s">
        <v>879</v>
      </c>
      <c r="J844" t="str">
        <f>HYPERLINK("http://pbs.twimg.com/media/D7PTAerX4AELbqN.jpg", "http://pbs.twimg.com/media/D7PTAerX4AELbqN.jpg")</f>
        <v>http://pbs.twimg.com/media/D7PTAerX4AELbqN.jpg</v>
      </c>
      <c r="N844">
        <v>0.45879999999999999</v>
      </c>
      <c r="O844">
        <v>0</v>
      </c>
      <c r="P844">
        <v>0.87</v>
      </c>
      <c r="Q844">
        <v>0.13</v>
      </c>
    </row>
    <row r="845" spans="1:17" x14ac:dyDescent="0.2">
      <c r="A845" s="1" t="str">
        <f>HYPERLINK("http://www.twitter.com/Ugo_Roux/status/1130835596841299972", "1130835596841299972")</f>
        <v>1130835596841299972</v>
      </c>
      <c r="B845" t="s">
        <v>142</v>
      </c>
      <c r="C845" s="3">
        <v>43606.58321759259</v>
      </c>
      <c r="D845" s="5" t="s">
        <v>28</v>
      </c>
      <c r="E845">
        <v>1</v>
      </c>
      <c r="F845">
        <v>0</v>
      </c>
      <c r="G845">
        <v>0</v>
      </c>
      <c r="I845" t="s">
        <v>880</v>
      </c>
      <c r="N845">
        <v>0</v>
      </c>
      <c r="O845">
        <v>0</v>
      </c>
      <c r="P845">
        <v>1</v>
      </c>
      <c r="Q845">
        <v>0</v>
      </c>
    </row>
    <row r="846" spans="1:17" x14ac:dyDescent="0.2">
      <c r="A846" s="1" t="str">
        <f>HYPERLINK("http://www.twitter.com/Ugo_Roux/status/1129727245852008448", "1129727245852008448")</f>
        <v>1129727245852008448</v>
      </c>
      <c r="B846" t="s">
        <v>414</v>
      </c>
      <c r="C846" s="3">
        <v>43603.524756944447</v>
      </c>
      <c r="D846" s="5" t="s">
        <v>28</v>
      </c>
      <c r="E846">
        <v>0</v>
      </c>
      <c r="F846">
        <v>0</v>
      </c>
      <c r="G846">
        <v>0</v>
      </c>
      <c r="I846" t="s">
        <v>881</v>
      </c>
      <c r="J846" t="str">
        <f>HYPERLINK("http://pbs.twimg.com/media/D62YpTDXkAIOOzw.jpg", "http://pbs.twimg.com/media/D62YpTDXkAIOOzw.jpg")</f>
        <v>http://pbs.twimg.com/media/D62YpTDXkAIOOzw.jpg</v>
      </c>
      <c r="K846" t="str">
        <f>HYPERLINK("http://pbs.twimg.com/media/D62YpTJXoAIHc7M.jpg", "http://pbs.twimg.com/media/D62YpTJXoAIHc7M.jpg")</f>
        <v>http://pbs.twimg.com/media/D62YpTJXoAIHc7M.jpg</v>
      </c>
      <c r="L846" t="str">
        <f>HYPERLINK("http://pbs.twimg.com/media/D62YpTCX4AAu7xb.jpg", "http://pbs.twimg.com/media/D62YpTCX4AAu7xb.jpg")</f>
        <v>http://pbs.twimg.com/media/D62YpTCX4AAu7xb.jpg</v>
      </c>
      <c r="M846" t="str">
        <f>HYPERLINK("http://pbs.twimg.com/media/D62YpTEXsAAQ31k.jpg", "http://pbs.twimg.com/media/D62YpTEXsAAQ31k.jpg")</f>
        <v>http://pbs.twimg.com/media/D62YpTEXsAAQ31k.jpg</v>
      </c>
      <c r="N846">
        <v>0</v>
      </c>
      <c r="O846">
        <v>0</v>
      </c>
      <c r="P846">
        <v>1</v>
      </c>
      <c r="Q846">
        <v>0</v>
      </c>
    </row>
    <row r="847" spans="1:17" x14ac:dyDescent="0.2">
      <c r="A847" s="1" t="str">
        <f>HYPERLINK("http://www.twitter.com/Ugo_Roux/status/1129712301874008064", "1129712301874008064")</f>
        <v>1129712301874008064</v>
      </c>
      <c r="B847" t="s">
        <v>142</v>
      </c>
      <c r="C847" s="3">
        <v>43603.483518518522</v>
      </c>
      <c r="D847" s="5" t="s">
        <v>41</v>
      </c>
      <c r="E847">
        <v>3</v>
      </c>
      <c r="F847">
        <v>1</v>
      </c>
      <c r="G847">
        <v>0</v>
      </c>
      <c r="I847" t="s">
        <v>882</v>
      </c>
      <c r="J847" t="str">
        <f>HYPERLINK("http://pbs.twimg.com/media/D62LVkQWkAAljEt.jpg", "http://pbs.twimg.com/media/D62LVkQWkAAljEt.jpg")</f>
        <v>http://pbs.twimg.com/media/D62LVkQWkAAljEt.jpg</v>
      </c>
      <c r="K847" t="str">
        <f>HYPERLINK("http://pbs.twimg.com/media/D62LVkQW0AILlha.jpg", "http://pbs.twimg.com/media/D62LVkQW0AILlha.jpg")</f>
        <v>http://pbs.twimg.com/media/D62LVkQW0AILlha.jpg</v>
      </c>
      <c r="N847">
        <v>0</v>
      </c>
      <c r="O847">
        <v>0</v>
      </c>
      <c r="P847">
        <v>1</v>
      </c>
      <c r="Q847">
        <v>0</v>
      </c>
    </row>
    <row r="848" spans="1:17" x14ac:dyDescent="0.2">
      <c r="A848" s="1" t="str">
        <f>HYPERLINK("http://www.twitter.com/Ugo_Roux/status/1129412509180616705", "1129412509180616705")</f>
        <v>1129412509180616705</v>
      </c>
      <c r="B848" t="s">
        <v>47</v>
      </c>
      <c r="C848" s="3">
        <v>43602.65625</v>
      </c>
      <c r="D848" s="5" t="s">
        <v>28</v>
      </c>
      <c r="E848">
        <v>5</v>
      </c>
      <c r="F848">
        <v>0</v>
      </c>
      <c r="G848">
        <v>0</v>
      </c>
      <c r="I848" t="s">
        <v>883</v>
      </c>
      <c r="N848">
        <v>0</v>
      </c>
      <c r="O848">
        <v>0</v>
      </c>
      <c r="P848">
        <v>1</v>
      </c>
      <c r="Q848">
        <v>0</v>
      </c>
    </row>
    <row r="849" spans="1:17" x14ac:dyDescent="0.2">
      <c r="A849" s="1" t="str">
        <f>HYPERLINK("http://www.twitter.com/Ugo_Roux/status/1129407040269500418", "1129407040269500418")</f>
        <v>1129407040269500418</v>
      </c>
      <c r="B849" t="s">
        <v>142</v>
      </c>
      <c r="C849" s="3">
        <v>43602.641157407408</v>
      </c>
      <c r="D849" s="5" t="s">
        <v>28</v>
      </c>
      <c r="E849">
        <v>0</v>
      </c>
      <c r="F849">
        <v>0</v>
      </c>
      <c r="G849">
        <v>0</v>
      </c>
      <c r="I849" t="s">
        <v>884</v>
      </c>
      <c r="N849">
        <v>0</v>
      </c>
      <c r="O849">
        <v>0</v>
      </c>
      <c r="P849">
        <v>1</v>
      </c>
      <c r="Q849">
        <v>0</v>
      </c>
    </row>
    <row r="850" spans="1:17" x14ac:dyDescent="0.2">
      <c r="A850" s="1" t="str">
        <f>HYPERLINK("http://www.twitter.com/Ugo_Roux/status/1129393390502785030", "1129393390502785030")</f>
        <v>1129393390502785030</v>
      </c>
      <c r="B850" t="s">
        <v>370</v>
      </c>
      <c r="C850" s="3">
        <v>43602.603495370371</v>
      </c>
      <c r="D850" s="5" t="s">
        <v>28</v>
      </c>
      <c r="E850">
        <v>0</v>
      </c>
      <c r="F850">
        <v>0</v>
      </c>
      <c r="G850">
        <v>0</v>
      </c>
      <c r="I850" t="s">
        <v>885</v>
      </c>
      <c r="J850" t="str">
        <f>HYPERLINK("http://pbs.twimg.com/media/D6xpTatXkAET31d.jpg", "http://pbs.twimg.com/media/D6xpTatXkAET31d.jpg")</f>
        <v>http://pbs.twimg.com/media/D6xpTatXkAET31d.jpg</v>
      </c>
      <c r="N850">
        <v>0</v>
      </c>
      <c r="O850">
        <v>0</v>
      </c>
      <c r="P850">
        <v>1</v>
      </c>
      <c r="Q850">
        <v>0</v>
      </c>
    </row>
    <row r="851" spans="1:17" x14ac:dyDescent="0.2">
      <c r="A851" s="1" t="str">
        <f>HYPERLINK("http://www.twitter.com/Ugo_Roux/status/1129392226109460480", "1129392226109460480")</f>
        <v>1129392226109460480</v>
      </c>
      <c r="B851" t="s">
        <v>370</v>
      </c>
      <c r="C851" s="3">
        <v>43602.600277777783</v>
      </c>
      <c r="D851" s="5" t="s">
        <v>28</v>
      </c>
      <c r="E851">
        <v>0</v>
      </c>
      <c r="F851">
        <v>0</v>
      </c>
      <c r="G851">
        <v>0</v>
      </c>
      <c r="I851" t="s">
        <v>886</v>
      </c>
      <c r="J851" t="str">
        <f>HYPERLINK("http://pbs.twimg.com/media/D6xoPnZXYAAxsD0.jpg", "http://pbs.twimg.com/media/D6xoPnZXYAAxsD0.jpg")</f>
        <v>http://pbs.twimg.com/media/D6xoPnZXYAAxsD0.jpg</v>
      </c>
      <c r="N851">
        <v>0</v>
      </c>
      <c r="O851">
        <v>0</v>
      </c>
      <c r="P851">
        <v>1</v>
      </c>
      <c r="Q851">
        <v>0</v>
      </c>
    </row>
    <row r="852" spans="1:17" x14ac:dyDescent="0.2">
      <c r="A852" s="1" t="str">
        <f>HYPERLINK("http://www.twitter.com/Ugo_Roux/status/1129357499184877570", "1129357499184877570")</f>
        <v>1129357499184877570</v>
      </c>
      <c r="B852" t="s">
        <v>97</v>
      </c>
      <c r="C852" s="3">
        <v>43602.504444444443</v>
      </c>
      <c r="D852" s="5" t="s">
        <v>17</v>
      </c>
      <c r="E852">
        <v>0</v>
      </c>
      <c r="F852">
        <v>0</v>
      </c>
      <c r="G852">
        <v>0</v>
      </c>
      <c r="I852" t="s">
        <v>887</v>
      </c>
      <c r="J852" t="str">
        <f>HYPERLINK("http://pbs.twimg.com/media/D6xIqRTXYAEZQmg.jpg", "http://pbs.twimg.com/media/D6xIqRTXYAEZQmg.jpg")</f>
        <v>http://pbs.twimg.com/media/D6xIqRTXYAEZQmg.jpg</v>
      </c>
      <c r="N852">
        <v>0</v>
      </c>
      <c r="O852">
        <v>0</v>
      </c>
      <c r="P852">
        <v>1</v>
      </c>
      <c r="Q852">
        <v>0</v>
      </c>
    </row>
    <row r="853" spans="1:17" x14ac:dyDescent="0.2">
      <c r="A853" s="1" t="str">
        <f>HYPERLINK("http://www.twitter.com/Ugo_Roux/status/1128925741209542656", "1128925741209542656")</f>
        <v>1128925741209542656</v>
      </c>
      <c r="B853" t="s">
        <v>471</v>
      </c>
      <c r="C853" s="3">
        <v>43601.313020833331</v>
      </c>
      <c r="D853" s="3" t="s">
        <v>24</v>
      </c>
      <c r="E853">
        <v>0</v>
      </c>
      <c r="F853">
        <v>0</v>
      </c>
      <c r="G853">
        <v>0</v>
      </c>
      <c r="I853" t="s">
        <v>888</v>
      </c>
      <c r="J853" t="str">
        <f>HYPERLINK("http://pbs.twimg.com/media/D6q_p-1XkAAEbA-.jpg", "http://pbs.twimg.com/media/D6q_p-1XkAAEbA-.jpg")</f>
        <v>http://pbs.twimg.com/media/D6q_p-1XkAAEbA-.jpg</v>
      </c>
      <c r="K853" t="str">
        <f>HYPERLINK("http://pbs.twimg.com/media/D6q_rv2WsAAOsok.jpg", "http://pbs.twimg.com/media/D6q_rv2WsAAOsok.jpg")</f>
        <v>http://pbs.twimg.com/media/D6q_rv2WsAAOsok.jpg</v>
      </c>
      <c r="N853">
        <v>-0.26950000000000002</v>
      </c>
      <c r="O853">
        <v>0.109</v>
      </c>
      <c r="P853">
        <v>0.89100000000000001</v>
      </c>
      <c r="Q853">
        <v>0</v>
      </c>
    </row>
    <row r="854" spans="1:17" x14ac:dyDescent="0.2">
      <c r="A854" s="1" t="str">
        <f>HYPERLINK("http://www.twitter.com/Ugo_Roux/status/1128666288862179332", "1128666288862179332")</f>
        <v>1128666288862179332</v>
      </c>
      <c r="B854" t="s">
        <v>425</v>
      </c>
      <c r="C854" s="3">
        <v>43600.597071759257</v>
      </c>
      <c r="D854" s="5" t="s">
        <v>17</v>
      </c>
      <c r="E854">
        <v>0</v>
      </c>
      <c r="F854">
        <v>0</v>
      </c>
      <c r="G854">
        <v>0</v>
      </c>
      <c r="I854" t="s">
        <v>889</v>
      </c>
      <c r="N854">
        <v>0</v>
      </c>
      <c r="O854">
        <v>0</v>
      </c>
      <c r="P854">
        <v>1</v>
      </c>
      <c r="Q854">
        <v>0</v>
      </c>
    </row>
    <row r="855" spans="1:17" x14ac:dyDescent="0.2">
      <c r="A855" s="1" t="str">
        <f>HYPERLINK("http://www.twitter.com/Ugo_Roux/status/1128632859621769221", "1128632859621769221")</f>
        <v>1128632859621769221</v>
      </c>
      <c r="B855" t="s">
        <v>130</v>
      </c>
      <c r="C855" s="3">
        <v>43600.504826388889</v>
      </c>
      <c r="D855" s="5" t="s">
        <v>460</v>
      </c>
      <c r="E855">
        <v>0</v>
      </c>
      <c r="F855">
        <v>0</v>
      </c>
      <c r="G855">
        <v>0</v>
      </c>
      <c r="I855" t="s">
        <v>890</v>
      </c>
      <c r="J855" t="str">
        <f>HYPERLINK("http://pbs.twimg.com/media/D6m0soWWsAAxkcy.jpg", "http://pbs.twimg.com/media/D6m0soWWsAAxkcy.jpg")</f>
        <v>http://pbs.twimg.com/media/D6m0soWWsAAxkcy.jpg</v>
      </c>
      <c r="N855">
        <v>0</v>
      </c>
      <c r="O855">
        <v>0</v>
      </c>
      <c r="P855">
        <v>1</v>
      </c>
      <c r="Q855">
        <v>0</v>
      </c>
    </row>
    <row r="856" spans="1:17" x14ac:dyDescent="0.2">
      <c r="A856" s="1" t="str">
        <f>HYPERLINK("http://www.twitter.com/Ugo_Roux/status/1128555456685858816", "1128555456685858816")</f>
        <v>1128555456685858816</v>
      </c>
      <c r="B856" t="s">
        <v>142</v>
      </c>
      <c r="C856" s="3">
        <v>43600.291238425933</v>
      </c>
      <c r="D856" s="3" t="s">
        <v>28</v>
      </c>
      <c r="E856">
        <v>3</v>
      </c>
      <c r="F856">
        <v>2</v>
      </c>
      <c r="G856">
        <v>0</v>
      </c>
      <c r="I856" t="s">
        <v>891</v>
      </c>
      <c r="N856">
        <v>0</v>
      </c>
      <c r="O856">
        <v>0</v>
      </c>
      <c r="P856">
        <v>1</v>
      </c>
      <c r="Q856">
        <v>0</v>
      </c>
    </row>
    <row r="857" spans="1:17" x14ac:dyDescent="0.2">
      <c r="A857" s="1" t="str">
        <f>HYPERLINK("http://www.twitter.com/Ugo_Roux/status/1128325104906141696", "1128325104906141696")</f>
        <v>1128325104906141696</v>
      </c>
      <c r="B857" t="s">
        <v>471</v>
      </c>
      <c r="C857" s="3">
        <v>43599.655578703707</v>
      </c>
      <c r="D857" s="3" t="s">
        <v>28</v>
      </c>
      <c r="E857">
        <v>1</v>
      </c>
      <c r="F857">
        <v>0</v>
      </c>
      <c r="G857">
        <v>0</v>
      </c>
      <c r="I857" t="s">
        <v>892</v>
      </c>
      <c r="J857" t="str">
        <f>HYPERLINK("http://pbs.twimg.com/media/D6idg6YWkAAWJlM.jpg", "http://pbs.twimg.com/media/D6idg6YWkAAWJlM.jpg")</f>
        <v>http://pbs.twimg.com/media/D6idg6YWkAAWJlM.jpg</v>
      </c>
      <c r="N857">
        <v>0</v>
      </c>
      <c r="O857">
        <v>0</v>
      </c>
      <c r="P857">
        <v>1</v>
      </c>
      <c r="Q857">
        <v>0</v>
      </c>
    </row>
    <row r="858" spans="1:17" x14ac:dyDescent="0.2">
      <c r="A858" s="1" t="str">
        <f>HYPERLINK("http://www.twitter.com/Ugo_Roux/status/1128224663660892162", "1128224663660892162")</f>
        <v>1128224663660892162</v>
      </c>
      <c r="B858" t="s">
        <v>425</v>
      </c>
      <c r="C858" s="3">
        <v>43599.37841435185</v>
      </c>
      <c r="D858" s="5" t="s">
        <v>28</v>
      </c>
      <c r="E858">
        <v>1</v>
      </c>
      <c r="F858">
        <v>0</v>
      </c>
      <c r="G858">
        <v>0</v>
      </c>
      <c r="I858" t="s">
        <v>893</v>
      </c>
      <c r="J858" t="str">
        <f>HYPERLINK("http://pbs.twimg.com/media/D6hCUiHWAAACo9X.jpg", "http://pbs.twimg.com/media/D6hCUiHWAAACo9X.jpg")</f>
        <v>http://pbs.twimg.com/media/D6hCUiHWAAACo9X.jpg</v>
      </c>
      <c r="K858" t="str">
        <f>HYPERLINK("http://pbs.twimg.com/media/D6hCUpLWkAAJPyX.jpg", "http://pbs.twimg.com/media/D6hCUpLWkAAJPyX.jpg")</f>
        <v>http://pbs.twimg.com/media/D6hCUpLWkAAJPyX.jpg</v>
      </c>
      <c r="N858">
        <v>0</v>
      </c>
      <c r="O858">
        <v>0</v>
      </c>
      <c r="P858">
        <v>1</v>
      </c>
      <c r="Q858">
        <v>0</v>
      </c>
    </row>
    <row r="859" spans="1:17" x14ac:dyDescent="0.2">
      <c r="A859" s="1" t="str">
        <f>HYPERLINK("http://www.twitter.com/Ugo_Roux/status/1127228869919035395", "1127228869919035395")</f>
        <v>1127228869919035395</v>
      </c>
      <c r="B859" t="s">
        <v>47</v>
      </c>
      <c r="C859" s="3">
        <v>43596.630555555559</v>
      </c>
      <c r="D859" s="5" t="s">
        <v>41</v>
      </c>
      <c r="E859">
        <v>10</v>
      </c>
      <c r="F859">
        <v>1</v>
      </c>
      <c r="G859">
        <v>0</v>
      </c>
      <c r="I859" t="s">
        <v>894</v>
      </c>
      <c r="N859">
        <v>0</v>
      </c>
      <c r="O859">
        <v>0</v>
      </c>
      <c r="P859">
        <v>1</v>
      </c>
      <c r="Q859">
        <v>0</v>
      </c>
    </row>
    <row r="860" spans="1:17" x14ac:dyDescent="0.2">
      <c r="A860" s="1" t="str">
        <f>HYPERLINK("http://www.twitter.com/Ugo_Roux/status/1127203256810258432", "1127203256810258432")</f>
        <v>1127203256810258432</v>
      </c>
      <c r="B860" t="s">
        <v>97</v>
      </c>
      <c r="C860" s="3">
        <v>43596.559872685182</v>
      </c>
      <c r="D860" s="5" t="s">
        <v>28</v>
      </c>
      <c r="E860">
        <v>1</v>
      </c>
      <c r="F860">
        <v>0</v>
      </c>
      <c r="G860">
        <v>0</v>
      </c>
      <c r="I860" t="s">
        <v>895</v>
      </c>
      <c r="J860" t="str">
        <f>HYPERLINK("http://pbs.twimg.com/media/D6ShY0aWkAAKTmz.jpg", "http://pbs.twimg.com/media/D6ShY0aWkAAKTmz.jpg")</f>
        <v>http://pbs.twimg.com/media/D6ShY0aWkAAKTmz.jpg</v>
      </c>
      <c r="N860">
        <v>0</v>
      </c>
      <c r="O860">
        <v>0</v>
      </c>
      <c r="P860">
        <v>1</v>
      </c>
      <c r="Q860">
        <v>0</v>
      </c>
    </row>
    <row r="861" spans="1:17" x14ac:dyDescent="0.2">
      <c r="A861" s="1" t="str">
        <f>HYPERLINK("http://www.twitter.com/Ugo_Roux/status/1126420479336697856", "1126420479336697856")</f>
        <v>1126420479336697856</v>
      </c>
      <c r="B861" t="s">
        <v>414</v>
      </c>
      <c r="C861" s="3">
        <v>43594.399814814817</v>
      </c>
      <c r="D861" s="5" t="s">
        <v>28</v>
      </c>
      <c r="E861">
        <v>0</v>
      </c>
      <c r="F861">
        <v>0</v>
      </c>
      <c r="G861">
        <v>0</v>
      </c>
      <c r="I861" t="s">
        <v>896</v>
      </c>
      <c r="J861" t="str">
        <f>HYPERLINK("http://pbs.twimg.com/media/D6HZcCqWAAAqNN6.png", "http://pbs.twimg.com/media/D6HZcCqWAAAqNN6.png")</f>
        <v>http://pbs.twimg.com/media/D6HZcCqWAAAqNN6.png</v>
      </c>
      <c r="N861">
        <v>0</v>
      </c>
      <c r="O861">
        <v>0</v>
      </c>
      <c r="P861">
        <v>1</v>
      </c>
      <c r="Q861">
        <v>0</v>
      </c>
    </row>
    <row r="862" spans="1:17" x14ac:dyDescent="0.2">
      <c r="A862" s="1" t="str">
        <f>HYPERLINK("http://www.twitter.com/Ugo_Roux/status/1126390143802277889", "1126390143802277889")</f>
        <v>1126390143802277889</v>
      </c>
      <c r="B862" t="s">
        <v>285</v>
      </c>
      <c r="C862" s="3">
        <v>43594.316111111111</v>
      </c>
      <c r="D862" s="5" t="s">
        <v>17</v>
      </c>
      <c r="E862">
        <v>2</v>
      </c>
      <c r="F862">
        <v>0</v>
      </c>
      <c r="G862">
        <v>0</v>
      </c>
      <c r="I862" t="s">
        <v>897</v>
      </c>
      <c r="J862" t="str">
        <f>HYPERLINK("http://pbs.twimg.com/media/D6G91hAWwAA-yWS.jpg", "http://pbs.twimg.com/media/D6G91hAWwAA-yWS.jpg")</f>
        <v>http://pbs.twimg.com/media/D6G91hAWwAA-yWS.jpg</v>
      </c>
      <c r="N862">
        <v>0.45879999999999999</v>
      </c>
      <c r="O862">
        <v>0</v>
      </c>
      <c r="P862">
        <v>0.8</v>
      </c>
      <c r="Q862">
        <v>0.2</v>
      </c>
    </row>
    <row r="863" spans="1:17" x14ac:dyDescent="0.2">
      <c r="A863" s="1" t="str">
        <f>HYPERLINK("http://www.twitter.com/Ugo_Roux/status/1125788139132542976", "1125788139132542976")</f>
        <v>1125788139132542976</v>
      </c>
      <c r="B863" t="s">
        <v>414</v>
      </c>
      <c r="C863" s="3">
        <v>43592.654895833337</v>
      </c>
      <c r="D863" s="5" t="s">
        <v>41</v>
      </c>
      <c r="E863">
        <v>0</v>
      </c>
      <c r="F863">
        <v>1</v>
      </c>
      <c r="G863">
        <v>0</v>
      </c>
      <c r="I863" t="s">
        <v>898</v>
      </c>
      <c r="J863" t="str">
        <f>HYPERLINK("http://pbs.twimg.com/media/D5-aTlKW0AEEaSh.jpg", "http://pbs.twimg.com/media/D5-aTlKW0AEEaSh.jpg")</f>
        <v>http://pbs.twimg.com/media/D5-aTlKW0AEEaSh.jpg</v>
      </c>
      <c r="N863">
        <v>0.50929999999999997</v>
      </c>
      <c r="O863">
        <v>0</v>
      </c>
      <c r="P863">
        <v>0.86399999999999999</v>
      </c>
      <c r="Q863">
        <v>0.13600000000000001</v>
      </c>
    </row>
    <row r="864" spans="1:17" x14ac:dyDescent="0.2">
      <c r="A864" s="1" t="str">
        <f>HYPERLINK("http://www.twitter.com/Ugo_Roux/status/1125739420357885953", "1125739420357885953")</f>
        <v>1125739420357885953</v>
      </c>
      <c r="B864" t="s">
        <v>425</v>
      </c>
      <c r="C864" s="3">
        <v>43592.520451388889</v>
      </c>
      <c r="D864" s="5" t="s">
        <v>28</v>
      </c>
      <c r="E864">
        <v>0</v>
      </c>
      <c r="F864">
        <v>0</v>
      </c>
      <c r="G864">
        <v>0</v>
      </c>
      <c r="I864" t="s">
        <v>899</v>
      </c>
      <c r="J864" t="str">
        <f>HYPERLINK("http://pbs.twimg.com/media/D59uB44X4AMmZqq.jpg", "http://pbs.twimg.com/media/D59uB44X4AMmZqq.jpg")</f>
        <v>http://pbs.twimg.com/media/D59uB44X4AMmZqq.jpg</v>
      </c>
      <c r="N864">
        <v>0</v>
      </c>
      <c r="O864">
        <v>0</v>
      </c>
      <c r="P864">
        <v>1</v>
      </c>
      <c r="Q864">
        <v>0</v>
      </c>
    </row>
    <row r="865" spans="1:17" x14ac:dyDescent="0.2">
      <c r="A865" s="1" t="str">
        <f>HYPERLINK("http://www.twitter.com/Ugo_Roux/status/1124701502856155136", "1124701502856155136")</f>
        <v>1124701502856155136</v>
      </c>
      <c r="B865" t="s">
        <v>456</v>
      </c>
      <c r="C865" s="3">
        <v>43589.656342592592</v>
      </c>
      <c r="D865" t="s">
        <v>28</v>
      </c>
      <c r="E865">
        <v>5</v>
      </c>
      <c r="F865">
        <v>1</v>
      </c>
      <c r="G865">
        <v>0</v>
      </c>
      <c r="I865" t="s">
        <v>900</v>
      </c>
      <c r="J865" t="str">
        <f>HYPERLINK("http://pbs.twimg.com/media/D5u98rgXkAAr5Vf.png", "http://pbs.twimg.com/media/D5u98rgXkAAr5Vf.png")</f>
        <v>http://pbs.twimg.com/media/D5u98rgXkAAr5Vf.png</v>
      </c>
      <c r="N865">
        <v>0.79830000000000001</v>
      </c>
      <c r="O865">
        <v>0</v>
      </c>
      <c r="P865">
        <v>0.83499999999999996</v>
      </c>
      <c r="Q865">
        <v>0.16500000000000001</v>
      </c>
    </row>
    <row r="866" spans="1:17" x14ac:dyDescent="0.2">
      <c r="A866" s="1" t="str">
        <f>HYPERLINK("http://www.twitter.com/Ugo_Roux/status/1124669759163965440", "1124669759163965440")</f>
        <v>1124669759163965440</v>
      </c>
      <c r="B866" t="s">
        <v>425</v>
      </c>
      <c r="C866" s="3">
        <v>43589.568749999999</v>
      </c>
      <c r="D866" s="5" t="s">
        <v>17</v>
      </c>
      <c r="E866">
        <v>0</v>
      </c>
      <c r="F866">
        <v>0</v>
      </c>
      <c r="G866">
        <v>0</v>
      </c>
      <c r="I866" t="s">
        <v>901</v>
      </c>
      <c r="N866">
        <v>0</v>
      </c>
      <c r="O866">
        <v>0</v>
      </c>
      <c r="P866">
        <v>1</v>
      </c>
      <c r="Q866">
        <v>0</v>
      </c>
    </row>
    <row r="867" spans="1:17" x14ac:dyDescent="0.2">
      <c r="A867" s="1" t="str">
        <f>HYPERLINK("http://www.twitter.com/Ugo_Roux/status/1124578559895515136", "1124578559895515136")</f>
        <v>1124578559895515136</v>
      </c>
      <c r="B867" t="s">
        <v>414</v>
      </c>
      <c r="C867" s="3">
        <v>43589.317083333342</v>
      </c>
      <c r="D867" s="5" t="s">
        <v>28</v>
      </c>
      <c r="E867">
        <v>0</v>
      </c>
      <c r="F867">
        <v>0</v>
      </c>
      <c r="G867">
        <v>0</v>
      </c>
      <c r="I867" t="s">
        <v>902</v>
      </c>
      <c r="J867" t="str">
        <f>HYPERLINK("http://pbs.twimg.com/media/D5tOPBnXsAA1t-R.jpg", "http://pbs.twimg.com/media/D5tOPBnXsAA1t-R.jpg")</f>
        <v>http://pbs.twimg.com/media/D5tOPBnXsAA1t-R.jpg</v>
      </c>
      <c r="N867">
        <v>0</v>
      </c>
      <c r="O867">
        <v>0</v>
      </c>
      <c r="P867">
        <v>1</v>
      </c>
      <c r="Q867">
        <v>0</v>
      </c>
    </row>
    <row r="868" spans="1:17" x14ac:dyDescent="0.2">
      <c r="A868" s="1" t="str">
        <f>HYPERLINK("http://www.twitter.com/Ugo_Roux/status/1124321564898549760", "1124321564898549760")</f>
        <v>1124321564898549760</v>
      </c>
      <c r="B868" t="s">
        <v>142</v>
      </c>
      <c r="C868" s="3">
        <v>43588.607916666668</v>
      </c>
      <c r="D868" s="5" t="s">
        <v>28</v>
      </c>
      <c r="E868">
        <v>3</v>
      </c>
      <c r="F868">
        <v>0</v>
      </c>
      <c r="G868">
        <v>0</v>
      </c>
      <c r="I868" t="s">
        <v>903</v>
      </c>
      <c r="N868">
        <v>0</v>
      </c>
      <c r="O868">
        <v>0</v>
      </c>
      <c r="P868">
        <v>1</v>
      </c>
      <c r="Q868">
        <v>0</v>
      </c>
    </row>
    <row r="869" spans="1:17" x14ac:dyDescent="0.2">
      <c r="A869" s="1" t="str">
        <f>HYPERLINK("http://www.twitter.com/Ugo_Roux/status/1124234959714230273", "1124234959714230273")</f>
        <v>1124234959714230273</v>
      </c>
      <c r="B869" t="s">
        <v>425</v>
      </c>
      <c r="C869" s="3">
        <v>43588.368935185194</v>
      </c>
      <c r="D869" s="5" t="s">
        <v>28</v>
      </c>
      <c r="E869">
        <v>0</v>
      </c>
      <c r="F869">
        <v>0</v>
      </c>
      <c r="G869">
        <v>0</v>
      </c>
      <c r="I869" t="s">
        <v>904</v>
      </c>
      <c r="N869">
        <v>0</v>
      </c>
      <c r="O869">
        <v>0</v>
      </c>
      <c r="P869">
        <v>1</v>
      </c>
      <c r="Q869">
        <v>0</v>
      </c>
    </row>
    <row r="870" spans="1:17" x14ac:dyDescent="0.2">
      <c r="A870" s="1" t="str">
        <f>HYPERLINK("http://www.twitter.com/Ugo_Roux/status/1124056839694495744", "1124056839694495744")</f>
        <v>1124056839694495744</v>
      </c>
      <c r="B870" t="s">
        <v>414</v>
      </c>
      <c r="C870" s="3">
        <v>43587.877418981479</v>
      </c>
      <c r="D870" s="5" t="s">
        <v>28</v>
      </c>
      <c r="E870">
        <v>0</v>
      </c>
      <c r="F870">
        <v>0</v>
      </c>
      <c r="G870">
        <v>0</v>
      </c>
      <c r="I870" t="s">
        <v>905</v>
      </c>
      <c r="J870" t="str">
        <f>HYPERLINK("http://pbs.twimg.com/media/D5lzuonXsAUvmVc.jpg", "http://pbs.twimg.com/media/D5lzuonXsAUvmVc.jpg")</f>
        <v>http://pbs.twimg.com/media/D5lzuonXsAUvmVc.jpg</v>
      </c>
      <c r="K870" t="str">
        <f>HYPERLINK("http://pbs.twimg.com/media/D5lzuopXsAcpuUF.jpg", "http://pbs.twimg.com/media/D5lzuopXsAcpuUF.jpg")</f>
        <v>http://pbs.twimg.com/media/D5lzuopXsAcpuUF.jpg</v>
      </c>
      <c r="N870">
        <v>0</v>
      </c>
      <c r="O870">
        <v>0</v>
      </c>
      <c r="P870">
        <v>1</v>
      </c>
      <c r="Q870">
        <v>0</v>
      </c>
    </row>
    <row r="871" spans="1:17" x14ac:dyDescent="0.2">
      <c r="A871" s="1" t="str">
        <f>HYPERLINK("http://www.twitter.com/Ugo_Roux/status/1123934402680115201", "1123934402680115201")</f>
        <v>1123934402680115201</v>
      </c>
      <c r="B871" t="s">
        <v>142</v>
      </c>
      <c r="C871" s="3">
        <v>43587.539548611108</v>
      </c>
      <c r="D871" s="5" t="s">
        <v>28</v>
      </c>
      <c r="E871">
        <v>4</v>
      </c>
      <c r="F871">
        <v>1</v>
      </c>
      <c r="G871">
        <v>0</v>
      </c>
      <c r="I871" t="s">
        <v>906</v>
      </c>
      <c r="J871" t="str">
        <f>HYPERLINK("http://pbs.twimg.com/media/D5kEYHOWwAMmupa.jpg", "http://pbs.twimg.com/media/D5kEYHOWwAMmupa.jpg")</f>
        <v>http://pbs.twimg.com/media/D5kEYHOWwAMmupa.jpg</v>
      </c>
      <c r="N871">
        <v>0</v>
      </c>
      <c r="O871">
        <v>0</v>
      </c>
      <c r="P871">
        <v>1</v>
      </c>
      <c r="Q871">
        <v>0</v>
      </c>
    </row>
    <row r="872" spans="1:17" x14ac:dyDescent="0.2">
      <c r="A872" s="1" t="str">
        <f>HYPERLINK("http://www.twitter.com/Ugo_Roux/status/1123924244847648768", "1123924244847648768")</f>
        <v>1123924244847648768</v>
      </c>
      <c r="B872" t="s">
        <v>206</v>
      </c>
      <c r="C872" s="3">
        <v>43587.51152777778</v>
      </c>
      <c r="D872" s="5" t="s">
        <v>17</v>
      </c>
      <c r="E872">
        <v>4</v>
      </c>
      <c r="F872">
        <v>1</v>
      </c>
      <c r="G872">
        <v>0</v>
      </c>
      <c r="I872" t="s">
        <v>907</v>
      </c>
      <c r="J872" t="str">
        <f>HYPERLINK("http://pbs.twimg.com/media/D5j6D15XkAEBQEu.jpg", "http://pbs.twimg.com/media/D5j6D15XkAEBQEu.jpg")</f>
        <v>http://pbs.twimg.com/media/D5j6D15XkAEBQEu.jpg</v>
      </c>
      <c r="N872">
        <v>0</v>
      </c>
      <c r="O872">
        <v>0</v>
      </c>
      <c r="P872">
        <v>1</v>
      </c>
      <c r="Q872">
        <v>0</v>
      </c>
    </row>
    <row r="873" spans="1:17" x14ac:dyDescent="0.2">
      <c r="A873" s="1" t="str">
        <f>HYPERLINK("http://www.twitter.com/Ugo_Roux/status/1123893448413724675", "1123893448413724675")</f>
        <v>1123893448413724675</v>
      </c>
      <c r="B873" t="s">
        <v>206</v>
      </c>
      <c r="C873" s="3">
        <v>43587.426539351851</v>
      </c>
      <c r="D873" s="5" t="s">
        <v>17</v>
      </c>
      <c r="E873">
        <v>5</v>
      </c>
      <c r="F873">
        <v>0</v>
      </c>
      <c r="G873">
        <v>0</v>
      </c>
      <c r="I873" t="s">
        <v>908</v>
      </c>
      <c r="J873" t="str">
        <f>HYPERLINK("http://pbs.twimg.com/media/D5jey4cWkAA0HeI.jpg", "http://pbs.twimg.com/media/D5jey4cWkAA0HeI.jpg")</f>
        <v>http://pbs.twimg.com/media/D5jey4cWkAA0HeI.jpg</v>
      </c>
      <c r="N873">
        <v>0</v>
      </c>
      <c r="O873">
        <v>0</v>
      </c>
      <c r="P873">
        <v>1</v>
      </c>
      <c r="Q873">
        <v>0</v>
      </c>
    </row>
    <row r="874" spans="1:17" x14ac:dyDescent="0.2">
      <c r="A874" s="1" t="str">
        <f>HYPERLINK("http://www.twitter.com/Ugo_Roux/status/1123856763948863488", "1123856763948863488")</f>
        <v>1123856763948863488</v>
      </c>
      <c r="B874" t="s">
        <v>476</v>
      </c>
      <c r="C874" s="3">
        <v>43587.325312499997</v>
      </c>
      <c r="D874" s="5" t="s">
        <v>28</v>
      </c>
      <c r="E874">
        <v>0</v>
      </c>
      <c r="F874">
        <v>0</v>
      </c>
      <c r="G874">
        <v>0</v>
      </c>
      <c r="I874" t="s">
        <v>909</v>
      </c>
      <c r="J874" t="str">
        <f>HYPERLINK("http://pbs.twimg.com/media/D5i9wimWwAELxIb.jpg", "http://pbs.twimg.com/media/D5i9wimWwAELxIb.jpg")</f>
        <v>http://pbs.twimg.com/media/D5i9wimWwAELxIb.jpg</v>
      </c>
      <c r="N874">
        <v>0.29599999999999999</v>
      </c>
      <c r="O874">
        <v>0</v>
      </c>
      <c r="P874">
        <v>0.93899999999999995</v>
      </c>
      <c r="Q874">
        <v>6.0999999999999999E-2</v>
      </c>
    </row>
    <row r="875" spans="1:17" x14ac:dyDescent="0.2">
      <c r="A875" s="1" t="str">
        <f>HYPERLINK("http://www.twitter.com/Ugo_Roux/status/1123681183395733504", "1123681183395733504")</f>
        <v>1123681183395733504</v>
      </c>
      <c r="B875" t="s">
        <v>142</v>
      </c>
      <c r="C875" s="3">
        <v>43586.840798611112</v>
      </c>
      <c r="D875" s="5" t="s">
        <v>17</v>
      </c>
      <c r="E875">
        <v>1</v>
      </c>
      <c r="F875">
        <v>1</v>
      </c>
      <c r="G875">
        <v>0</v>
      </c>
      <c r="I875" t="s">
        <v>910</v>
      </c>
      <c r="J875" t="str">
        <f>HYPERLINK("http://pbs.twimg.com/media/D5geEuHXsAkieNO.jpg", "http://pbs.twimg.com/media/D5geEuHXsAkieNO.jpg")</f>
        <v>http://pbs.twimg.com/media/D5geEuHXsAkieNO.jpg</v>
      </c>
      <c r="N875">
        <v>0</v>
      </c>
      <c r="O875">
        <v>0</v>
      </c>
      <c r="P875">
        <v>1</v>
      </c>
      <c r="Q875">
        <v>0</v>
      </c>
    </row>
    <row r="876" spans="1:17" x14ac:dyDescent="0.2">
      <c r="A876" s="1" t="str">
        <f>HYPERLINK("http://www.twitter.com/Ugo_Roux/status/1122747607586103296", "1122747607586103296")</f>
        <v>1122747607586103296</v>
      </c>
      <c r="B876" t="s">
        <v>142</v>
      </c>
      <c r="C876" s="3">
        <v>43584.264618055553</v>
      </c>
      <c r="D876" s="5" t="s">
        <v>17</v>
      </c>
      <c r="E876">
        <v>2</v>
      </c>
      <c r="F876">
        <v>1</v>
      </c>
      <c r="G876">
        <v>0</v>
      </c>
      <c r="I876" t="s">
        <v>911</v>
      </c>
      <c r="J876" t="str">
        <f>HYPERLINK("http://pbs.twimg.com/media/D5TM_X4XoAATdL6.jpg", "http://pbs.twimg.com/media/D5TM_X4XoAATdL6.jpg")</f>
        <v>http://pbs.twimg.com/media/D5TM_X4XoAATdL6.jpg</v>
      </c>
      <c r="N876">
        <v>-0.20030000000000001</v>
      </c>
      <c r="O876">
        <v>8.2000000000000003E-2</v>
      </c>
      <c r="P876">
        <v>0.91800000000000004</v>
      </c>
      <c r="Q876">
        <v>0</v>
      </c>
    </row>
    <row r="877" spans="1:17" x14ac:dyDescent="0.2">
      <c r="A877" s="1" t="str">
        <f>HYPERLINK("http://www.twitter.com/Ugo_Roux/status/1122062240478322688", "1122062240478322688")</f>
        <v>1122062240478322688</v>
      </c>
      <c r="B877" t="s">
        <v>206</v>
      </c>
      <c r="C877" s="3">
        <v>43582.373368055552</v>
      </c>
      <c r="D877" s="5" t="s">
        <v>17</v>
      </c>
      <c r="E877">
        <v>5</v>
      </c>
      <c r="F877">
        <v>0</v>
      </c>
      <c r="G877">
        <v>0</v>
      </c>
      <c r="I877" t="s">
        <v>912</v>
      </c>
      <c r="J877" t="str">
        <f>HYPERLINK("http://pbs.twimg.com/media/D5JdmaFXkAI7hpr.jpg", "http://pbs.twimg.com/media/D5JdmaFXkAI7hpr.jpg")</f>
        <v>http://pbs.twimg.com/media/D5JdmaFXkAI7hpr.jpg</v>
      </c>
      <c r="N877">
        <v>0</v>
      </c>
      <c r="O877">
        <v>0</v>
      </c>
      <c r="P877">
        <v>1</v>
      </c>
      <c r="Q877">
        <v>0</v>
      </c>
    </row>
    <row r="878" spans="1:17" x14ac:dyDescent="0.2">
      <c r="A878" s="1" t="str">
        <f>HYPERLINK("http://www.twitter.com/Ugo_Roux/status/1121749198309818368", "1121749198309818368")</f>
        <v>1121749198309818368</v>
      </c>
      <c r="B878" t="s">
        <v>142</v>
      </c>
      <c r="C878" s="3">
        <v>43581.50953703704</v>
      </c>
      <c r="D878" s="5" t="s">
        <v>17</v>
      </c>
      <c r="E878">
        <v>1</v>
      </c>
      <c r="F878">
        <v>1</v>
      </c>
      <c r="G878">
        <v>0</v>
      </c>
      <c r="I878" t="s">
        <v>913</v>
      </c>
      <c r="J878" t="str">
        <f>HYPERLINK("http://pbs.twimg.com/media/D5FA74rW4AEEkDk.jpg", "http://pbs.twimg.com/media/D5FA74rW4AEEkDk.jpg")</f>
        <v>http://pbs.twimg.com/media/D5FA74rW4AEEkDk.jpg</v>
      </c>
      <c r="N878">
        <v>-5.16E-2</v>
      </c>
      <c r="O878">
        <v>3.4000000000000002E-2</v>
      </c>
      <c r="P878">
        <v>0.96599999999999997</v>
      </c>
      <c r="Q878">
        <v>0</v>
      </c>
    </row>
    <row r="879" spans="1:17" x14ac:dyDescent="0.2">
      <c r="A879" s="1" t="str">
        <f>HYPERLINK("http://www.twitter.com/Ugo_Roux/status/1121060992316772352", "1121060992316772352")</f>
        <v>1121060992316772352</v>
      </c>
      <c r="B879" t="s">
        <v>142</v>
      </c>
      <c r="C879" s="3">
        <v>43579.610451388893</v>
      </c>
      <c r="D879" s="5" t="s">
        <v>17</v>
      </c>
      <c r="E879">
        <v>0</v>
      </c>
      <c r="F879">
        <v>0</v>
      </c>
      <c r="G879">
        <v>0</v>
      </c>
      <c r="I879" t="s">
        <v>914</v>
      </c>
      <c r="J879" t="str">
        <f>HYPERLINK("http://pbs.twimg.com/media/D47PA_UWAAEyzMg.jpg", "http://pbs.twimg.com/media/D47PA_UWAAEyzMg.jpg")</f>
        <v>http://pbs.twimg.com/media/D47PA_UWAAEyzMg.jpg</v>
      </c>
      <c r="N879">
        <v>0</v>
      </c>
      <c r="O879">
        <v>0</v>
      </c>
      <c r="P879">
        <v>1</v>
      </c>
      <c r="Q879">
        <v>0</v>
      </c>
    </row>
    <row r="880" spans="1:17" x14ac:dyDescent="0.2">
      <c r="A880" s="1" t="str">
        <f>HYPERLINK("http://www.twitter.com/Ugo_Roux/status/1120717327044096000", "1120717327044096000")</f>
        <v>1120717327044096000</v>
      </c>
      <c r="B880" t="s">
        <v>471</v>
      </c>
      <c r="C880" s="3">
        <v>43578.662118055552</v>
      </c>
      <c r="D880" s="3" t="s">
        <v>28</v>
      </c>
      <c r="E880">
        <v>0</v>
      </c>
      <c r="F880">
        <v>0</v>
      </c>
      <c r="G880">
        <v>0</v>
      </c>
      <c r="I880" t="s">
        <v>915</v>
      </c>
      <c r="J880" t="str">
        <f>HYPERLINK("http://pbs.twimg.com/media/D42WcjEW4AMRWw2.jpg", "http://pbs.twimg.com/media/D42WcjEW4AMRWw2.jpg")</f>
        <v>http://pbs.twimg.com/media/D42WcjEW4AMRWw2.jpg</v>
      </c>
      <c r="N880">
        <v>0</v>
      </c>
      <c r="O880">
        <v>0</v>
      </c>
      <c r="P880">
        <v>1</v>
      </c>
      <c r="Q880">
        <v>0</v>
      </c>
    </row>
    <row r="881" spans="1:17" x14ac:dyDescent="0.2">
      <c r="A881" s="1" t="str">
        <f>HYPERLINK("http://www.twitter.com/Ugo_Roux/status/1120663944526540802", "1120663944526540802")</f>
        <v>1120663944526540802</v>
      </c>
      <c r="B881" t="s">
        <v>425</v>
      </c>
      <c r="C881" s="3">
        <v>43578.514803240738</v>
      </c>
      <c r="D881" s="5" t="s">
        <v>28</v>
      </c>
      <c r="E881">
        <v>0</v>
      </c>
      <c r="F881">
        <v>0</v>
      </c>
      <c r="G881">
        <v>0</v>
      </c>
      <c r="I881" t="s">
        <v>916</v>
      </c>
      <c r="J881" t="str">
        <f>HYPERLINK("http://pbs.twimg.com/media/D41jQWMW0AAODN6.jpg", "http://pbs.twimg.com/media/D41jQWMW0AAODN6.jpg")</f>
        <v>http://pbs.twimg.com/media/D41jQWMW0AAODN6.jpg</v>
      </c>
      <c r="N881">
        <v>0</v>
      </c>
      <c r="O881">
        <v>0</v>
      </c>
      <c r="P881">
        <v>1</v>
      </c>
      <c r="Q881">
        <v>0</v>
      </c>
    </row>
    <row r="882" spans="1:17" x14ac:dyDescent="0.2">
      <c r="A882" s="1" t="str">
        <f>HYPERLINK("http://www.twitter.com/Ugo_Roux/status/1120641126447419392", "1120641126447419392")</f>
        <v>1120641126447419392</v>
      </c>
      <c r="B882" t="s">
        <v>130</v>
      </c>
      <c r="C882" s="3">
        <v>43578.451840277783</v>
      </c>
      <c r="D882" s="5" t="s">
        <v>28</v>
      </c>
      <c r="E882">
        <v>0</v>
      </c>
      <c r="F882">
        <v>0</v>
      </c>
      <c r="G882">
        <v>0</v>
      </c>
      <c r="I882" t="s">
        <v>917</v>
      </c>
      <c r="J882" t="str">
        <f>HYPERLINK("http://pbs.twimg.com/media/D41Q-tGXkAAr7Fw.jpg", "http://pbs.twimg.com/media/D41Q-tGXkAAr7Fw.jpg")</f>
        <v>http://pbs.twimg.com/media/D41Q-tGXkAAr7Fw.jpg</v>
      </c>
      <c r="N882">
        <v>0</v>
      </c>
      <c r="O882">
        <v>0</v>
      </c>
      <c r="P882">
        <v>1</v>
      </c>
      <c r="Q882">
        <v>0</v>
      </c>
    </row>
    <row r="883" spans="1:17" x14ac:dyDescent="0.2">
      <c r="A883" s="1" t="str">
        <f>HYPERLINK("http://www.twitter.com/Ugo_Roux/status/1120614444973862912", "1120614444973862912")</f>
        <v>1120614444973862912</v>
      </c>
      <c r="B883" t="s">
        <v>370</v>
      </c>
      <c r="C883" s="3">
        <v>43578.378217592603</v>
      </c>
      <c r="D883" s="5" t="s">
        <v>28</v>
      </c>
      <c r="E883">
        <v>0</v>
      </c>
      <c r="F883">
        <v>0</v>
      </c>
      <c r="G883">
        <v>0</v>
      </c>
      <c r="I883" t="s">
        <v>918</v>
      </c>
      <c r="J883" t="str">
        <f>HYPERLINK("http://pbs.twimg.com/media/D4045gtWwAAUrDs.jpg", "http://pbs.twimg.com/media/D4045gtWwAAUrDs.jpg")</f>
        <v>http://pbs.twimg.com/media/D4045gtWwAAUrDs.jpg</v>
      </c>
      <c r="N883">
        <v>0</v>
      </c>
      <c r="O883">
        <v>0</v>
      </c>
      <c r="P883">
        <v>1</v>
      </c>
      <c r="Q883">
        <v>0</v>
      </c>
    </row>
    <row r="884" spans="1:17" x14ac:dyDescent="0.2">
      <c r="A884" s="1" t="str">
        <f>HYPERLINK("http://www.twitter.com/Ugo_Roux/status/1120613634676277249", "1120613634676277249")</f>
        <v>1120613634676277249</v>
      </c>
      <c r="B884" t="s">
        <v>370</v>
      </c>
      <c r="C884" s="3">
        <v>43578.375983796293</v>
      </c>
      <c r="D884" s="5" t="s">
        <v>17</v>
      </c>
      <c r="E884">
        <v>1</v>
      </c>
      <c r="F884">
        <v>0</v>
      </c>
      <c r="G884">
        <v>0</v>
      </c>
      <c r="I884" t="s">
        <v>919</v>
      </c>
      <c r="J884" t="str">
        <f>HYPERLINK("http://pbs.twimg.com/media/D404KOAXkAEGidF.jpg", "http://pbs.twimg.com/media/D404KOAXkAEGidF.jpg")</f>
        <v>http://pbs.twimg.com/media/D404KOAXkAEGidF.jpg</v>
      </c>
      <c r="N884">
        <v>0</v>
      </c>
      <c r="O884">
        <v>0</v>
      </c>
      <c r="P884">
        <v>1</v>
      </c>
      <c r="Q884">
        <v>0</v>
      </c>
    </row>
    <row r="885" spans="1:17" x14ac:dyDescent="0.2">
      <c r="A885" s="1" t="str">
        <f>HYPERLINK("http://www.twitter.com/Ugo_Roux/status/1120584004447682560", "1120584004447682560")</f>
        <v>1120584004447682560</v>
      </c>
      <c r="B885" t="s">
        <v>285</v>
      </c>
      <c r="C885" s="3">
        <v>43578.294212962966</v>
      </c>
      <c r="D885" s="5" t="s">
        <v>28</v>
      </c>
      <c r="E885">
        <v>0</v>
      </c>
      <c r="F885">
        <v>0</v>
      </c>
      <c r="G885">
        <v>0</v>
      </c>
      <c r="I885" t="s">
        <v>920</v>
      </c>
      <c r="N885">
        <v>0</v>
      </c>
      <c r="O885">
        <v>0</v>
      </c>
      <c r="P885">
        <v>1</v>
      </c>
      <c r="Q885">
        <v>0</v>
      </c>
    </row>
    <row r="886" spans="1:17" x14ac:dyDescent="0.2">
      <c r="A886" s="1" t="str">
        <f>HYPERLINK("http://www.twitter.com/Ugo_Roux/status/1120579046839025664", "1120579046839025664")</f>
        <v>1120579046839025664</v>
      </c>
      <c r="B886" t="s">
        <v>285</v>
      </c>
      <c r="C886" s="3">
        <v>43578.280532407407</v>
      </c>
      <c r="D886" s="5" t="s">
        <v>28</v>
      </c>
      <c r="E886">
        <v>1</v>
      </c>
      <c r="F886">
        <v>0</v>
      </c>
      <c r="G886">
        <v>0</v>
      </c>
      <c r="I886" t="s">
        <v>921</v>
      </c>
      <c r="J886" t="str">
        <f>HYPERLINK("http://pbs.twimg.com/media/D40YstVWsAMiZkZ.jpg", "http://pbs.twimg.com/media/D40YstVWsAMiZkZ.jpg")</f>
        <v>http://pbs.twimg.com/media/D40YstVWsAMiZkZ.jpg</v>
      </c>
      <c r="N886">
        <v>0</v>
      </c>
      <c r="O886">
        <v>0</v>
      </c>
      <c r="P886">
        <v>1</v>
      </c>
      <c r="Q886">
        <v>0</v>
      </c>
    </row>
    <row r="887" spans="1:17" x14ac:dyDescent="0.2">
      <c r="A887" s="1" t="str">
        <f>HYPERLINK("http://www.twitter.com/Ugo_Roux/status/1120576206838140928", "1120576206838140928")</f>
        <v>1120576206838140928</v>
      </c>
      <c r="B887" t="s">
        <v>285</v>
      </c>
      <c r="C887" s="3">
        <v>43578.272696759261</v>
      </c>
      <c r="D887" s="5" t="s">
        <v>17</v>
      </c>
      <c r="E887">
        <v>0</v>
      </c>
      <c r="F887">
        <v>0</v>
      </c>
      <c r="G887">
        <v>0</v>
      </c>
      <c r="I887" t="s">
        <v>922</v>
      </c>
      <c r="N887">
        <v>0</v>
      </c>
      <c r="O887">
        <v>0</v>
      </c>
      <c r="P887">
        <v>1</v>
      </c>
      <c r="Q887">
        <v>0</v>
      </c>
    </row>
    <row r="888" spans="1:17" x14ac:dyDescent="0.2">
      <c r="A888" s="1" t="str">
        <f>HYPERLINK("http://www.twitter.com/Ugo_Roux/status/1119920606399606784", "1119920606399606784")</f>
        <v>1119920606399606784</v>
      </c>
      <c r="B888" t="s">
        <v>142</v>
      </c>
      <c r="C888" s="3">
        <v>43576.463587962957</v>
      </c>
      <c r="D888" s="5" t="s">
        <v>28</v>
      </c>
      <c r="E888">
        <v>3</v>
      </c>
      <c r="F888">
        <v>1</v>
      </c>
      <c r="G888">
        <v>0</v>
      </c>
      <c r="I888" t="s">
        <v>923</v>
      </c>
      <c r="N888">
        <v>0</v>
      </c>
      <c r="O888">
        <v>0</v>
      </c>
      <c r="P888">
        <v>1</v>
      </c>
      <c r="Q888">
        <v>0</v>
      </c>
    </row>
    <row r="889" spans="1:17" x14ac:dyDescent="0.2">
      <c r="A889" s="1" t="str">
        <f>HYPERLINK("http://www.twitter.com/Ugo_Roux/status/1119221052104560640", "1119221052104560640")</f>
        <v>1119221052104560640</v>
      </c>
      <c r="B889" t="s">
        <v>425</v>
      </c>
      <c r="C889" s="3">
        <v>43574.533182870371</v>
      </c>
      <c r="D889" s="5" t="s">
        <v>28</v>
      </c>
      <c r="E889">
        <v>0</v>
      </c>
      <c r="F889">
        <v>0</v>
      </c>
      <c r="G889">
        <v>0</v>
      </c>
      <c r="I889" t="s">
        <v>924</v>
      </c>
      <c r="J889" t="str">
        <f>HYPERLINK("http://pbs.twimg.com/media/D4hDAdmXoAAuUg1.jpg", "http://pbs.twimg.com/media/D4hDAdmXoAAuUg1.jpg")</f>
        <v>http://pbs.twimg.com/media/D4hDAdmXoAAuUg1.jpg</v>
      </c>
      <c r="N889">
        <v>0.20230000000000001</v>
      </c>
      <c r="O889">
        <v>0</v>
      </c>
      <c r="P889">
        <v>0.95899999999999996</v>
      </c>
      <c r="Q889">
        <v>4.1000000000000002E-2</v>
      </c>
    </row>
    <row r="890" spans="1:17" x14ac:dyDescent="0.2">
      <c r="A890" s="1" t="str">
        <f>HYPERLINK("http://www.twitter.com/Ugo_Roux/status/1119178935193960448", "1119178935193960448")</f>
        <v>1119178935193960448</v>
      </c>
      <c r="B890" t="s">
        <v>425</v>
      </c>
      <c r="C890" s="3">
        <v>43574.416967592602</v>
      </c>
      <c r="D890" s="5" t="s">
        <v>28</v>
      </c>
      <c r="E890">
        <v>0</v>
      </c>
      <c r="F890">
        <v>0</v>
      </c>
      <c r="G890">
        <v>0</v>
      </c>
      <c r="I890" t="s">
        <v>925</v>
      </c>
      <c r="J890" t="str">
        <f>HYPERLINK("http://pbs.twimg.com/media/D4gdxMtXsAUGsET.jpg", "http://pbs.twimg.com/media/D4gdxMtXsAUGsET.jpg")</f>
        <v>http://pbs.twimg.com/media/D4gdxMtXsAUGsET.jpg</v>
      </c>
      <c r="N890">
        <v>0</v>
      </c>
      <c r="O890">
        <v>0</v>
      </c>
      <c r="P890">
        <v>1</v>
      </c>
      <c r="Q890">
        <v>0</v>
      </c>
    </row>
    <row r="891" spans="1:17" x14ac:dyDescent="0.2">
      <c r="A891" s="1" t="str">
        <f>HYPERLINK("http://www.twitter.com/Ugo_Roux/status/1119158810004692993", "1119158810004692993")</f>
        <v>1119158810004692993</v>
      </c>
      <c r="B891" t="s">
        <v>456</v>
      </c>
      <c r="C891" s="3">
        <v>43574.36142361111</v>
      </c>
      <c r="D891" t="s">
        <v>17</v>
      </c>
      <c r="E891">
        <v>2</v>
      </c>
      <c r="F891">
        <v>0</v>
      </c>
      <c r="G891">
        <v>0</v>
      </c>
      <c r="I891" t="s">
        <v>926</v>
      </c>
      <c r="N891">
        <v>0</v>
      </c>
      <c r="O891">
        <v>0</v>
      </c>
      <c r="P891">
        <v>1</v>
      </c>
      <c r="Q891">
        <v>0</v>
      </c>
    </row>
    <row r="892" spans="1:17" x14ac:dyDescent="0.2">
      <c r="A892" s="1" t="str">
        <f>HYPERLINK("http://www.twitter.com/Ugo_Roux/status/1119157205142425600", "1119157205142425600")</f>
        <v>1119157205142425600</v>
      </c>
      <c r="B892" t="s">
        <v>414</v>
      </c>
      <c r="C892" s="3">
        <v>43574.357002314813</v>
      </c>
      <c r="D892" s="5" t="s">
        <v>28</v>
      </c>
      <c r="E892">
        <v>0</v>
      </c>
      <c r="F892">
        <v>0</v>
      </c>
      <c r="G892">
        <v>0</v>
      </c>
      <c r="I892" t="s">
        <v>927</v>
      </c>
      <c r="J892" t="str">
        <f>HYPERLINK("http://pbs.twimg.com/media/D4gLh_eUEAA55wn.jpg", "http://pbs.twimg.com/media/D4gLh_eUEAA55wn.jpg")</f>
        <v>http://pbs.twimg.com/media/D4gLh_eUEAA55wn.jpg</v>
      </c>
      <c r="K892" t="str">
        <f>HYPERLINK("http://pbs.twimg.com/media/D4gLh_uVUAApaqC.jpg", "http://pbs.twimg.com/media/D4gLh_uVUAApaqC.jpg")</f>
        <v>http://pbs.twimg.com/media/D4gLh_uVUAApaqC.jpg</v>
      </c>
      <c r="L892" t="str">
        <f>HYPERLINK("http://pbs.twimg.com/media/D4gLh_eUcAAfJsU.jpg", "http://pbs.twimg.com/media/D4gLh_eUcAAfJsU.jpg")</f>
        <v>http://pbs.twimg.com/media/D4gLh_eUcAAfJsU.jpg</v>
      </c>
      <c r="N892">
        <v>0</v>
      </c>
      <c r="O892">
        <v>0</v>
      </c>
      <c r="P892">
        <v>1</v>
      </c>
      <c r="Q892">
        <v>0</v>
      </c>
    </row>
    <row r="893" spans="1:17" x14ac:dyDescent="0.2">
      <c r="A893" s="1" t="str">
        <f>HYPERLINK("http://www.twitter.com/Ugo_Roux/status/1119156549912391680", "1119156549912391680")</f>
        <v>1119156549912391680</v>
      </c>
      <c r="B893" t="s">
        <v>425</v>
      </c>
      <c r="C893" s="3">
        <v>43574.355196759258</v>
      </c>
      <c r="D893" s="5" t="s">
        <v>28</v>
      </c>
      <c r="E893">
        <v>0</v>
      </c>
      <c r="F893">
        <v>0</v>
      </c>
      <c r="G893">
        <v>0</v>
      </c>
      <c r="I893" t="s">
        <v>928</v>
      </c>
      <c r="J893" t="str">
        <f>HYPERLINK("http://pbs.twimg.com/media/D4gJKc1UEAE4WKf.jpg", "http://pbs.twimg.com/media/D4gJKc1UEAE4WKf.jpg")</f>
        <v>http://pbs.twimg.com/media/D4gJKc1UEAE4WKf.jpg</v>
      </c>
      <c r="N893">
        <v>0</v>
      </c>
      <c r="O893">
        <v>0</v>
      </c>
      <c r="P893">
        <v>1</v>
      </c>
      <c r="Q893">
        <v>0</v>
      </c>
    </row>
    <row r="894" spans="1:17" x14ac:dyDescent="0.2">
      <c r="A894" s="1" t="str">
        <f>HYPERLINK("http://www.twitter.com/Ugo_Roux/status/1118601052851453953", "1118601052851453953")</f>
        <v>1118601052851453953</v>
      </c>
      <c r="B894" t="s">
        <v>130</v>
      </c>
      <c r="C894" s="3">
        <v>43572.822314814817</v>
      </c>
      <c r="D894" s="5" t="s">
        <v>17</v>
      </c>
      <c r="E894">
        <v>0</v>
      </c>
      <c r="F894">
        <v>0</v>
      </c>
      <c r="G894">
        <v>0</v>
      </c>
      <c r="I894" t="s">
        <v>929</v>
      </c>
      <c r="N894">
        <v>0</v>
      </c>
      <c r="O894">
        <v>0</v>
      </c>
      <c r="P894">
        <v>1</v>
      </c>
      <c r="Q894">
        <v>0</v>
      </c>
    </row>
    <row r="895" spans="1:17" x14ac:dyDescent="0.2">
      <c r="A895" s="1" t="str">
        <f>HYPERLINK("http://www.twitter.com/Ugo_Roux/status/1118513187144519680", "1118513187144519680")</f>
        <v>1118513187144519680</v>
      </c>
      <c r="B895" t="s">
        <v>142</v>
      </c>
      <c r="C895" s="3">
        <v>43572.57984953704</v>
      </c>
      <c r="D895" s="5" t="s">
        <v>17</v>
      </c>
      <c r="E895">
        <v>0</v>
      </c>
      <c r="F895">
        <v>1</v>
      </c>
      <c r="G895">
        <v>0</v>
      </c>
      <c r="I895" t="s">
        <v>930</v>
      </c>
      <c r="J895" t="str">
        <f>HYPERLINK("http://pbs.twimg.com/media/D4XB0F2WAAA944g.jpg", "http://pbs.twimg.com/media/D4XB0F2WAAA944g.jpg")</f>
        <v>http://pbs.twimg.com/media/D4XB0F2WAAA944g.jpg</v>
      </c>
      <c r="N895">
        <v>0</v>
      </c>
      <c r="O895">
        <v>0</v>
      </c>
      <c r="P895">
        <v>1</v>
      </c>
      <c r="Q895">
        <v>0</v>
      </c>
    </row>
    <row r="896" spans="1:17" x14ac:dyDescent="0.2">
      <c r="A896" s="1" t="str">
        <f>HYPERLINK("http://www.twitter.com/Ugo_Roux/status/1118431751037227009", "1118431751037227009")</f>
        <v>1118431751037227009</v>
      </c>
      <c r="B896" t="s">
        <v>425</v>
      </c>
      <c r="C896" s="3">
        <v>43572.355127314811</v>
      </c>
      <c r="D896" s="5" t="s">
        <v>41</v>
      </c>
      <c r="E896">
        <v>0</v>
      </c>
      <c r="F896">
        <v>0</v>
      </c>
      <c r="G896">
        <v>0</v>
      </c>
      <c r="I896" t="s">
        <v>931</v>
      </c>
      <c r="J896" t="str">
        <f>HYPERLINK("http://pbs.twimg.com/media/D4V2xc3XsAAfkKs.jpg", "http://pbs.twimg.com/media/D4V2xc3XsAAfkKs.jpg")</f>
        <v>http://pbs.twimg.com/media/D4V2xc3XsAAfkKs.jpg</v>
      </c>
      <c r="K896" t="str">
        <f>HYPERLINK("http://pbs.twimg.com/media/D4V2xxlX4AABV6r.jpg", "http://pbs.twimg.com/media/D4V2xxlX4AABV6r.jpg")</f>
        <v>http://pbs.twimg.com/media/D4V2xxlX4AABV6r.jpg</v>
      </c>
      <c r="L896" t="str">
        <f>HYPERLINK("http://pbs.twimg.com/media/D4V20CwX4AEZ4Jz.jpg", "http://pbs.twimg.com/media/D4V20CwX4AEZ4Jz.jpg")</f>
        <v>http://pbs.twimg.com/media/D4V20CwX4AEZ4Jz.jpg</v>
      </c>
      <c r="N896">
        <v>0</v>
      </c>
      <c r="O896">
        <v>0</v>
      </c>
      <c r="P896">
        <v>1</v>
      </c>
      <c r="Q896">
        <v>0</v>
      </c>
    </row>
    <row r="897" spans="1:17" x14ac:dyDescent="0.2">
      <c r="A897" s="1" t="str">
        <f>HYPERLINK("http://www.twitter.com/Ugo_Roux/status/1118430588812312576", "1118430588812312576")</f>
        <v>1118430588812312576</v>
      </c>
      <c r="B897" t="s">
        <v>425</v>
      </c>
      <c r="C897" s="3">
        <v>43572.351921296293</v>
      </c>
      <c r="D897" s="5" t="s">
        <v>41</v>
      </c>
      <c r="E897">
        <v>0</v>
      </c>
      <c r="F897">
        <v>0</v>
      </c>
      <c r="G897">
        <v>0</v>
      </c>
      <c r="I897" t="s">
        <v>932</v>
      </c>
      <c r="J897" t="str">
        <f>HYPERLINK("http://pbs.twimg.com/media/D4V2A8IXoAAlLng.jpg", "http://pbs.twimg.com/media/D4V2A8IXoAAlLng.jpg")</f>
        <v>http://pbs.twimg.com/media/D4V2A8IXoAAlLng.jpg</v>
      </c>
      <c r="K897" t="str">
        <f>HYPERLINK("http://pbs.twimg.com/media/D4V2BPVWwAAWegN.jpg", "http://pbs.twimg.com/media/D4V2BPVWwAAWegN.jpg")</f>
        <v>http://pbs.twimg.com/media/D4V2BPVWwAAWegN.jpg</v>
      </c>
      <c r="L897" t="str">
        <f>HYPERLINK("http://pbs.twimg.com/media/D4V2N71W4AEwOju.jpg", "http://pbs.twimg.com/media/D4V2N71W4AEwOju.jpg")</f>
        <v>http://pbs.twimg.com/media/D4V2N71W4AEwOju.jpg</v>
      </c>
      <c r="N897">
        <v>-0.52549999999999997</v>
      </c>
      <c r="O897">
        <v>7.5999999999999998E-2</v>
      </c>
      <c r="P897">
        <v>0.92400000000000004</v>
      </c>
      <c r="Q897">
        <v>0</v>
      </c>
    </row>
    <row r="898" spans="1:17" x14ac:dyDescent="0.2">
      <c r="A898" s="1" t="str">
        <f>HYPERLINK("http://www.twitter.com/Ugo_Roux/status/1118137383113957376", "1118137383113957376")</f>
        <v>1118137383113957376</v>
      </c>
      <c r="B898" t="s">
        <v>425</v>
      </c>
      <c r="C898" s="3">
        <v>43571.542824074073</v>
      </c>
      <c r="D898" s="5" t="s">
        <v>28</v>
      </c>
      <c r="E898">
        <v>0</v>
      </c>
      <c r="F898">
        <v>0</v>
      </c>
      <c r="G898">
        <v>0</v>
      </c>
      <c r="I898" t="s">
        <v>933</v>
      </c>
      <c r="J898" t="str">
        <f>HYPERLINK("http://pbs.twimg.com/media/D4Rr1IWW0AEaha9.png", "http://pbs.twimg.com/media/D4Rr1IWW0AEaha9.png")</f>
        <v>http://pbs.twimg.com/media/D4Rr1IWW0AEaha9.png</v>
      </c>
      <c r="N898">
        <v>0</v>
      </c>
      <c r="O898">
        <v>0</v>
      </c>
      <c r="P898">
        <v>1</v>
      </c>
      <c r="Q898">
        <v>0</v>
      </c>
    </row>
    <row r="899" spans="1:17" x14ac:dyDescent="0.2">
      <c r="A899" s="1" t="str">
        <f>HYPERLINK("http://www.twitter.com/Ugo_Roux/status/1118067512447520769", "1118067512447520769")</f>
        <v>1118067512447520769</v>
      </c>
      <c r="B899" t="s">
        <v>97</v>
      </c>
      <c r="C899" s="3">
        <v>43571.350023148138</v>
      </c>
      <c r="D899" s="5" t="s">
        <v>28</v>
      </c>
      <c r="E899">
        <v>0</v>
      </c>
      <c r="F899">
        <v>0</v>
      </c>
      <c r="G899">
        <v>0</v>
      </c>
      <c r="I899" t="s">
        <v>934</v>
      </c>
      <c r="J899" t="str">
        <f>HYPERLINK("http://pbs.twimg.com/media/D4QseiiX4AAvKkE.jpg", "http://pbs.twimg.com/media/D4QseiiX4AAvKkE.jpg")</f>
        <v>http://pbs.twimg.com/media/D4QseiiX4AAvKkE.jpg</v>
      </c>
      <c r="N899">
        <v>0</v>
      </c>
      <c r="O899">
        <v>0</v>
      </c>
      <c r="P899">
        <v>1</v>
      </c>
      <c r="Q899">
        <v>0</v>
      </c>
    </row>
    <row r="900" spans="1:17" x14ac:dyDescent="0.2">
      <c r="A900" s="1" t="str">
        <f>HYPERLINK("http://www.twitter.com/Ugo_Roux/status/1117521431473135616", "1117521431473135616")</f>
        <v>1117521431473135616</v>
      </c>
      <c r="B900" t="s">
        <v>142</v>
      </c>
      <c r="C900" s="3">
        <v>43569.843124999999</v>
      </c>
      <c r="D900" s="5" t="s">
        <v>28</v>
      </c>
      <c r="E900">
        <v>0</v>
      </c>
      <c r="F900">
        <v>0</v>
      </c>
      <c r="G900">
        <v>0</v>
      </c>
      <c r="I900" t="s">
        <v>935</v>
      </c>
      <c r="N900">
        <v>0</v>
      </c>
      <c r="O900">
        <v>0</v>
      </c>
      <c r="P900">
        <v>1</v>
      </c>
      <c r="Q900">
        <v>0</v>
      </c>
    </row>
    <row r="901" spans="1:17" x14ac:dyDescent="0.2">
      <c r="A901" s="1" t="str">
        <f>HYPERLINK("http://www.twitter.com/Ugo_Roux/status/1117039336967606272", "1117039336967606272")</f>
        <v>1117039336967606272</v>
      </c>
      <c r="B901" t="s">
        <v>16</v>
      </c>
      <c r="C901" s="3">
        <v>43568.512800925928</v>
      </c>
      <c r="D901" s="3" t="s">
        <v>28</v>
      </c>
      <c r="E901">
        <v>3</v>
      </c>
      <c r="F901">
        <v>0</v>
      </c>
      <c r="G901">
        <v>1</v>
      </c>
      <c r="I901" t="s">
        <v>936</v>
      </c>
      <c r="J901" t="str">
        <f>HYPERLINK("http://pbs.twimg.com/media/D4CEwmWW0AAY0Wr.jpg", "http://pbs.twimg.com/media/D4CEwmWW0AAY0Wr.jpg")</f>
        <v>http://pbs.twimg.com/media/D4CEwmWW0AAY0Wr.jpg</v>
      </c>
      <c r="N901">
        <v>0</v>
      </c>
      <c r="O901">
        <v>0</v>
      </c>
      <c r="P901">
        <v>1</v>
      </c>
      <c r="Q901">
        <v>0</v>
      </c>
    </row>
    <row r="902" spans="1:17" x14ac:dyDescent="0.2">
      <c r="A902" s="1" t="str">
        <f>HYPERLINK("http://www.twitter.com/Ugo_Roux/status/1116955167050600448", "1116955167050600448")</f>
        <v>1116955167050600448</v>
      </c>
      <c r="B902" t="s">
        <v>285</v>
      </c>
      <c r="C902" s="3">
        <v>43568.280532407407</v>
      </c>
      <c r="D902" s="5" t="s">
        <v>28</v>
      </c>
      <c r="E902">
        <v>0</v>
      </c>
      <c r="F902">
        <v>0</v>
      </c>
      <c r="G902">
        <v>0</v>
      </c>
      <c r="I902" t="s">
        <v>937</v>
      </c>
      <c r="N902">
        <v>0</v>
      </c>
      <c r="O902">
        <v>0</v>
      </c>
      <c r="P902">
        <v>1</v>
      </c>
      <c r="Q902">
        <v>0</v>
      </c>
    </row>
    <row r="903" spans="1:17" x14ac:dyDescent="0.2">
      <c r="A903" s="1" t="str">
        <f>HYPERLINK("http://www.twitter.com/Ugo_Roux/status/1116953640659554304", "1116953640659554304")</f>
        <v>1116953640659554304</v>
      </c>
      <c r="B903" t="s">
        <v>142</v>
      </c>
      <c r="C903" s="3">
        <v>43568.276319444441</v>
      </c>
      <c r="D903" s="5" t="s">
        <v>28</v>
      </c>
      <c r="E903">
        <v>1</v>
      </c>
      <c r="F903">
        <v>0</v>
      </c>
      <c r="G903">
        <v>0</v>
      </c>
      <c r="I903" t="s">
        <v>938</v>
      </c>
      <c r="J903" t="str">
        <f>HYPERLINK("http://pbs.twimg.com/media/D4A3ZwKX4AArwyO.jpg", "http://pbs.twimg.com/media/D4A3ZwKX4AArwyO.jpg")</f>
        <v>http://pbs.twimg.com/media/D4A3ZwKX4AArwyO.jpg</v>
      </c>
      <c r="N903">
        <v>0</v>
      </c>
      <c r="O903">
        <v>0</v>
      </c>
      <c r="P903">
        <v>1</v>
      </c>
      <c r="Q903">
        <v>0</v>
      </c>
    </row>
    <row r="904" spans="1:17" x14ac:dyDescent="0.2">
      <c r="A904" s="1" t="str">
        <f>HYPERLINK("http://www.twitter.com/Ugo_Roux/status/1116725349751111680", "1116725349751111680")</f>
        <v>1116725349751111680</v>
      </c>
      <c r="B904" t="s">
        <v>142</v>
      </c>
      <c r="C904" s="3">
        <v>43567.646354166667</v>
      </c>
      <c r="D904" s="5" t="s">
        <v>17</v>
      </c>
      <c r="E904">
        <v>0</v>
      </c>
      <c r="F904">
        <v>0</v>
      </c>
      <c r="G904">
        <v>0</v>
      </c>
      <c r="I904" t="s">
        <v>939</v>
      </c>
      <c r="N904">
        <v>0</v>
      </c>
      <c r="O904">
        <v>0</v>
      </c>
      <c r="P904">
        <v>1</v>
      </c>
      <c r="Q904">
        <v>0</v>
      </c>
    </row>
    <row r="905" spans="1:17" x14ac:dyDescent="0.2">
      <c r="A905" s="1" t="str">
        <f>HYPERLINK("http://www.twitter.com/Ugo_Roux/status/1116691267373740035", "1116691267373740035")</f>
        <v>1116691267373740035</v>
      </c>
      <c r="B905" t="s">
        <v>425</v>
      </c>
      <c r="C905" s="3">
        <v>43567.552303240736</v>
      </c>
      <c r="D905" s="5" t="s">
        <v>17</v>
      </c>
      <c r="E905">
        <v>1</v>
      </c>
      <c r="F905">
        <v>0</v>
      </c>
      <c r="G905">
        <v>0</v>
      </c>
      <c r="I905" t="s">
        <v>940</v>
      </c>
      <c r="J905" t="str">
        <f>HYPERLINK("http://pbs.twimg.com/media/D39Ipf1X4AAuxCP.jpg", "http://pbs.twimg.com/media/D39Ipf1X4AAuxCP.jpg")</f>
        <v>http://pbs.twimg.com/media/D39Ipf1X4AAuxCP.jpg</v>
      </c>
      <c r="N905">
        <v>0</v>
      </c>
      <c r="O905">
        <v>0</v>
      </c>
      <c r="P905">
        <v>1</v>
      </c>
      <c r="Q905">
        <v>0</v>
      </c>
    </row>
    <row r="906" spans="1:17" x14ac:dyDescent="0.2">
      <c r="A906" s="1" t="str">
        <f>HYPERLINK("http://www.twitter.com/Ugo_Roux/status/1116615425037488128", "1116615425037488128")</f>
        <v>1116615425037488128</v>
      </c>
      <c r="B906" t="s">
        <v>425</v>
      </c>
      <c r="C906" s="3">
        <v>43567.34302083333</v>
      </c>
      <c r="D906" s="5" t="s">
        <v>28</v>
      </c>
      <c r="E906">
        <v>1</v>
      </c>
      <c r="F906">
        <v>0</v>
      </c>
      <c r="G906">
        <v>0</v>
      </c>
      <c r="I906" t="s">
        <v>941</v>
      </c>
      <c r="J906" t="str">
        <f>HYPERLINK("http://pbs.twimg.com/media/D38DfFNU8AErXjV.jpg", "http://pbs.twimg.com/media/D38DfFNU8AErXjV.jpg")</f>
        <v>http://pbs.twimg.com/media/D38DfFNU8AErXjV.jpg</v>
      </c>
      <c r="N906">
        <v>0.31469999999999998</v>
      </c>
      <c r="O906">
        <v>0</v>
      </c>
      <c r="P906">
        <v>0.91600000000000004</v>
      </c>
      <c r="Q906">
        <v>8.4000000000000005E-2</v>
      </c>
    </row>
    <row r="907" spans="1:17" x14ac:dyDescent="0.2">
      <c r="A907" s="1" t="str">
        <f>HYPERLINK("http://www.twitter.com/Ugo_Roux/status/1116602570632417281", "1116602570632417281")</f>
        <v>1116602570632417281</v>
      </c>
      <c r="B907" t="s">
        <v>414</v>
      </c>
      <c r="C907" s="3">
        <v>43567.307546296302</v>
      </c>
      <c r="D907" s="5" t="s">
        <v>28</v>
      </c>
      <c r="E907">
        <v>0</v>
      </c>
      <c r="F907">
        <v>0</v>
      </c>
      <c r="G907">
        <v>0</v>
      </c>
      <c r="I907" t="s">
        <v>942</v>
      </c>
      <c r="J907" t="str">
        <f>HYPERLINK("http://pbs.twimg.com/media/D374HW1UUAAK3PS.jpg", "http://pbs.twimg.com/media/D374HW1UUAAK3PS.jpg")</f>
        <v>http://pbs.twimg.com/media/D374HW1UUAAK3PS.jpg</v>
      </c>
      <c r="N907">
        <v>0</v>
      </c>
      <c r="O907">
        <v>0</v>
      </c>
      <c r="P907">
        <v>1</v>
      </c>
      <c r="Q907">
        <v>0</v>
      </c>
    </row>
    <row r="908" spans="1:17" x14ac:dyDescent="0.2">
      <c r="A908" s="1" t="str">
        <f>HYPERLINK("http://www.twitter.com/Ugo_Roux/status/1116329669995978752", "1116329669995978752")</f>
        <v>1116329669995978752</v>
      </c>
      <c r="B908" t="s">
        <v>425</v>
      </c>
      <c r="C908" s="3">
        <v>43566.554490740738</v>
      </c>
      <c r="D908" s="5" t="s">
        <v>17</v>
      </c>
      <c r="E908">
        <v>0</v>
      </c>
      <c r="F908">
        <v>0</v>
      </c>
      <c r="G908">
        <v>0</v>
      </c>
      <c r="I908" t="s">
        <v>943</v>
      </c>
      <c r="N908">
        <v>0</v>
      </c>
      <c r="O908">
        <v>0</v>
      </c>
      <c r="P908">
        <v>1</v>
      </c>
      <c r="Q908">
        <v>0</v>
      </c>
    </row>
    <row r="909" spans="1:17" x14ac:dyDescent="0.2">
      <c r="A909" s="1" t="str">
        <f>HYPERLINK("http://www.twitter.com/Ugo_Roux/status/1116322215983767552", "1116322215983767552")</f>
        <v>1116322215983767552</v>
      </c>
      <c r="B909" t="s">
        <v>456</v>
      </c>
      <c r="C909" s="3">
        <v>43566.53392361111</v>
      </c>
      <c r="D909" t="s">
        <v>41</v>
      </c>
      <c r="E909">
        <v>1</v>
      </c>
      <c r="F909">
        <v>0</v>
      </c>
      <c r="G909">
        <v>0</v>
      </c>
      <c r="I909" t="s">
        <v>944</v>
      </c>
      <c r="N909">
        <v>0</v>
      </c>
      <c r="O909">
        <v>0</v>
      </c>
      <c r="P909">
        <v>1</v>
      </c>
      <c r="Q909">
        <v>0</v>
      </c>
    </row>
    <row r="910" spans="1:17" x14ac:dyDescent="0.2">
      <c r="A910" s="1" t="str">
        <f>HYPERLINK("http://www.twitter.com/Ugo_Roux/status/1116286331238453248", "1116286331238453248")</f>
        <v>1116286331238453248</v>
      </c>
      <c r="B910" t="s">
        <v>206</v>
      </c>
      <c r="C910" s="3">
        <v>43566.434895833343</v>
      </c>
      <c r="D910" s="5" t="s">
        <v>41</v>
      </c>
      <c r="E910">
        <v>6</v>
      </c>
      <c r="F910">
        <v>0</v>
      </c>
      <c r="G910">
        <v>0</v>
      </c>
      <c r="I910" t="s">
        <v>945</v>
      </c>
      <c r="J910" t="str">
        <f>HYPERLINK("http://pbs.twimg.com/media/D33YUBAX4AAxVng.jpg", "http://pbs.twimg.com/media/D33YUBAX4AAxVng.jpg")</f>
        <v>http://pbs.twimg.com/media/D33YUBAX4AAxVng.jpg</v>
      </c>
      <c r="N910">
        <v>0.65620000000000001</v>
      </c>
      <c r="O910">
        <v>0</v>
      </c>
      <c r="P910">
        <v>0.90400000000000003</v>
      </c>
      <c r="Q910">
        <v>9.6000000000000002E-2</v>
      </c>
    </row>
    <row r="911" spans="1:17" x14ac:dyDescent="0.2">
      <c r="A911" s="1" t="str">
        <f>HYPERLINK("http://www.twitter.com/Ugo_Roux/status/1116284083754209280", "1116284083754209280")</f>
        <v>1116284083754209280</v>
      </c>
      <c r="B911" t="s">
        <v>206</v>
      </c>
      <c r="C911" s="3">
        <v>43566.42869212963</v>
      </c>
      <c r="D911" s="5" t="s">
        <v>41</v>
      </c>
      <c r="E911">
        <v>7</v>
      </c>
      <c r="F911">
        <v>1</v>
      </c>
      <c r="G911">
        <v>0</v>
      </c>
      <c r="I911" t="s">
        <v>946</v>
      </c>
      <c r="J911" t="str">
        <f>HYPERLINK("http://pbs.twimg.com/media/D33Wc4VWwAEy1ga.jpg", "http://pbs.twimg.com/media/D33Wc4VWwAEy1ga.jpg")</f>
        <v>http://pbs.twimg.com/media/D33Wc4VWwAEy1ga.jpg</v>
      </c>
      <c r="N911">
        <v>0</v>
      </c>
      <c r="O911">
        <v>0</v>
      </c>
      <c r="P911">
        <v>1</v>
      </c>
      <c r="Q911">
        <v>0</v>
      </c>
    </row>
    <row r="912" spans="1:17" x14ac:dyDescent="0.2">
      <c r="A912" s="1" t="str">
        <f>HYPERLINK("http://www.twitter.com/Ugo_Roux/status/1115907988563341312", "1115907988563341312")</f>
        <v>1115907988563341312</v>
      </c>
      <c r="B912" t="s">
        <v>425</v>
      </c>
      <c r="C912" s="3">
        <v>43565.390868055547</v>
      </c>
      <c r="D912" s="5" t="s">
        <v>17</v>
      </c>
      <c r="E912">
        <v>0</v>
      </c>
      <c r="F912">
        <v>0</v>
      </c>
      <c r="G912">
        <v>0</v>
      </c>
      <c r="I912" t="s">
        <v>947</v>
      </c>
      <c r="J912" t="str">
        <f>HYPERLINK("http://pbs.twimg.com/media/D3yAJFDXoAARGyx.jpg", "http://pbs.twimg.com/media/D3yAJFDXoAARGyx.jpg")</f>
        <v>http://pbs.twimg.com/media/D3yAJFDXoAARGyx.jpg</v>
      </c>
      <c r="N912">
        <v>0</v>
      </c>
      <c r="O912">
        <v>0</v>
      </c>
      <c r="P912">
        <v>1</v>
      </c>
      <c r="Q912">
        <v>0</v>
      </c>
    </row>
    <row r="913" spans="1:17" x14ac:dyDescent="0.2">
      <c r="A913" s="1" t="str">
        <f>HYPERLINK("http://www.twitter.com/Ugo_Roux/status/1115897671728939009", "1115897671728939009")</f>
        <v>1115897671728939009</v>
      </c>
      <c r="B913" t="s">
        <v>456</v>
      </c>
      <c r="C913" s="3">
        <v>43565.362395833326</v>
      </c>
      <c r="D913" t="s">
        <v>28</v>
      </c>
      <c r="E913">
        <v>1</v>
      </c>
      <c r="F913">
        <v>0</v>
      </c>
      <c r="G913">
        <v>0</v>
      </c>
      <c r="I913" t="s">
        <v>948</v>
      </c>
      <c r="J913" t="str">
        <f>HYPERLINK("http://pbs.twimg.com/media/D3x2-ffW4AAPEj7.png", "http://pbs.twimg.com/media/D3x2-ffW4AAPEj7.png")</f>
        <v>http://pbs.twimg.com/media/D3x2-ffW4AAPEj7.png</v>
      </c>
      <c r="N913">
        <v>0</v>
      </c>
      <c r="O913">
        <v>0</v>
      </c>
      <c r="P913">
        <v>1</v>
      </c>
      <c r="Q913">
        <v>0</v>
      </c>
    </row>
    <row r="914" spans="1:17" x14ac:dyDescent="0.2">
      <c r="A914" s="1" t="str">
        <f>HYPERLINK("http://www.twitter.com/Ugo_Roux/status/1115897140218298368", "1115897140218298368")</f>
        <v>1115897140218298368</v>
      </c>
      <c r="B914" t="s">
        <v>456</v>
      </c>
      <c r="C914" s="3">
        <v>43565.360937500001</v>
      </c>
      <c r="D914" t="s">
        <v>460</v>
      </c>
      <c r="E914">
        <v>3</v>
      </c>
      <c r="F914">
        <v>2</v>
      </c>
      <c r="G914">
        <v>0</v>
      </c>
      <c r="I914" t="s">
        <v>949</v>
      </c>
      <c r="J914" t="str">
        <f>HYPERLINK("http://pbs.twimg.com/media/D3x2hUWWwAEAUtB.jpg", "http://pbs.twimg.com/media/D3x2hUWWwAEAUtB.jpg")</f>
        <v>http://pbs.twimg.com/media/D3x2hUWWwAEAUtB.jpg</v>
      </c>
      <c r="N914">
        <v>0</v>
      </c>
      <c r="O914">
        <v>0</v>
      </c>
      <c r="P914">
        <v>1</v>
      </c>
      <c r="Q914">
        <v>0</v>
      </c>
    </row>
    <row r="915" spans="1:17" x14ac:dyDescent="0.2">
      <c r="A915" s="1" t="str">
        <f>HYPERLINK("http://www.twitter.com/Ugo_Roux/status/1115589007025627136", "1115589007025627136")</f>
        <v>1115589007025627136</v>
      </c>
      <c r="B915" t="s">
        <v>285</v>
      </c>
      <c r="C915" s="3">
        <v>43564.510648148149</v>
      </c>
      <c r="D915" s="5" t="s">
        <v>24</v>
      </c>
      <c r="E915">
        <v>0</v>
      </c>
      <c r="F915">
        <v>0</v>
      </c>
      <c r="G915">
        <v>0</v>
      </c>
      <c r="I915" t="s">
        <v>950</v>
      </c>
      <c r="J915" t="str">
        <f>HYPERLINK("http://pbs.twimg.com/media/D3teSIWXoAANt7Q.jpg", "http://pbs.twimg.com/media/D3teSIWXoAANt7Q.jpg")</f>
        <v>http://pbs.twimg.com/media/D3teSIWXoAANt7Q.jpg</v>
      </c>
      <c r="N915">
        <v>0</v>
      </c>
      <c r="O915">
        <v>0</v>
      </c>
      <c r="P915">
        <v>1</v>
      </c>
      <c r="Q915">
        <v>0</v>
      </c>
    </row>
    <row r="916" spans="1:17" x14ac:dyDescent="0.2">
      <c r="A916" s="1" t="str">
        <f>HYPERLINK("http://www.twitter.com/Ugo_Roux/status/1115496042882117632", "1115496042882117632")</f>
        <v>1115496042882117632</v>
      </c>
      <c r="B916" t="s">
        <v>285</v>
      </c>
      <c r="C916" s="3">
        <v>43564.254120370373</v>
      </c>
      <c r="D916" s="5" t="s">
        <v>28</v>
      </c>
      <c r="E916">
        <v>0</v>
      </c>
      <c r="F916">
        <v>0</v>
      </c>
      <c r="G916">
        <v>0</v>
      </c>
      <c r="I916" t="s">
        <v>951</v>
      </c>
      <c r="N916">
        <v>0</v>
      </c>
      <c r="O916">
        <v>0</v>
      </c>
      <c r="P916">
        <v>1</v>
      </c>
      <c r="Q916">
        <v>0</v>
      </c>
    </row>
    <row r="917" spans="1:17" x14ac:dyDescent="0.2">
      <c r="A917" s="1" t="str">
        <f>HYPERLINK("http://www.twitter.com/Ugo_Roux/status/1115493190239490048", "1115493190239490048")</f>
        <v>1115493190239490048</v>
      </c>
      <c r="B917" t="s">
        <v>285</v>
      </c>
      <c r="C917" s="3">
        <v>43564.246249999997</v>
      </c>
      <c r="D917" s="5" t="s">
        <v>28</v>
      </c>
      <c r="E917">
        <v>0</v>
      </c>
      <c r="F917">
        <v>0</v>
      </c>
      <c r="G917">
        <v>0</v>
      </c>
      <c r="I917" t="s">
        <v>952</v>
      </c>
      <c r="J917" t="str">
        <f>HYPERLINK("http://pbs.twimg.com/media/D3sHH0KWAAE6hK1.jpg", "http://pbs.twimg.com/media/D3sHH0KWAAE6hK1.jpg")</f>
        <v>http://pbs.twimg.com/media/D3sHH0KWAAE6hK1.jpg</v>
      </c>
      <c r="N917">
        <v>0</v>
      </c>
      <c r="O917">
        <v>0</v>
      </c>
      <c r="P917">
        <v>1</v>
      </c>
      <c r="Q917">
        <v>0</v>
      </c>
    </row>
    <row r="918" spans="1:17" x14ac:dyDescent="0.2">
      <c r="A918" s="1" t="str">
        <f>HYPERLINK("http://www.twitter.com/Ugo_Roux/status/1115235335418597376", "1115235335418597376")</f>
        <v>1115235335418597376</v>
      </c>
      <c r="B918" t="s">
        <v>142</v>
      </c>
      <c r="C918" s="3">
        <v>43563.534699074073</v>
      </c>
      <c r="D918" s="5" t="s">
        <v>17</v>
      </c>
      <c r="E918">
        <v>1</v>
      </c>
      <c r="F918">
        <v>0</v>
      </c>
      <c r="G918">
        <v>0</v>
      </c>
      <c r="I918" t="s">
        <v>953</v>
      </c>
      <c r="J918" t="str">
        <f>HYPERLINK("http://pbs.twimg.com/media/D3ocn13WkAIQ0rM.jpg", "http://pbs.twimg.com/media/D3ocn13WkAIQ0rM.jpg")</f>
        <v>http://pbs.twimg.com/media/D3ocn13WkAIQ0rM.jpg</v>
      </c>
      <c r="N918">
        <v>-0.128</v>
      </c>
      <c r="O918">
        <v>3.5000000000000003E-2</v>
      </c>
      <c r="P918">
        <v>0.96499999999999997</v>
      </c>
      <c r="Q918">
        <v>0</v>
      </c>
    </row>
    <row r="919" spans="1:17" x14ac:dyDescent="0.2">
      <c r="A919" s="1" t="str">
        <f>HYPERLINK("http://www.twitter.com/Ugo_Roux/status/1114402009988456448", "1114402009988456448")</f>
        <v>1114402009988456448</v>
      </c>
      <c r="B919" t="s">
        <v>476</v>
      </c>
      <c r="C919" s="3">
        <v>43561.235162037039</v>
      </c>
      <c r="D919" s="5" t="s">
        <v>28</v>
      </c>
      <c r="E919">
        <v>3</v>
      </c>
      <c r="F919">
        <v>2</v>
      </c>
      <c r="G919">
        <v>0</v>
      </c>
      <c r="I919" t="s">
        <v>954</v>
      </c>
      <c r="J919" t="str">
        <f>HYPERLINK("http://pbs.twimg.com/media/D3cmp0KWsAAfLyF.jpg", "http://pbs.twimg.com/media/D3cmp0KWsAAfLyF.jpg")</f>
        <v>http://pbs.twimg.com/media/D3cmp0KWsAAfLyF.jpg</v>
      </c>
      <c r="N919">
        <v>0</v>
      </c>
      <c r="O919">
        <v>0</v>
      </c>
      <c r="P919">
        <v>1</v>
      </c>
      <c r="Q919">
        <v>0</v>
      </c>
    </row>
    <row r="920" spans="1:17" x14ac:dyDescent="0.2">
      <c r="A920" s="1" t="str">
        <f>HYPERLINK("http://www.twitter.com/Ugo_Roux/status/1114211095646953473", "1114211095646953473")</f>
        <v>1114211095646953473</v>
      </c>
      <c r="B920" t="s">
        <v>47</v>
      </c>
      <c r="C920" s="3">
        <v>43560.708333333343</v>
      </c>
      <c r="D920" s="5" t="s">
        <v>28</v>
      </c>
      <c r="E920">
        <v>4</v>
      </c>
      <c r="F920">
        <v>2</v>
      </c>
      <c r="G920">
        <v>0</v>
      </c>
      <c r="I920" t="s">
        <v>955</v>
      </c>
      <c r="N920">
        <v>0</v>
      </c>
      <c r="O920">
        <v>0</v>
      </c>
      <c r="P920">
        <v>1</v>
      </c>
      <c r="Q920">
        <v>0</v>
      </c>
    </row>
    <row r="921" spans="1:17" x14ac:dyDescent="0.2">
      <c r="A921" s="1" t="str">
        <f>HYPERLINK("http://www.twitter.com/Ugo_Roux/status/1114165547703439366", "1114165547703439366")</f>
        <v>1114165547703439366</v>
      </c>
      <c r="B921" t="s">
        <v>414</v>
      </c>
      <c r="C921" s="3">
        <v>43560.582650462973</v>
      </c>
      <c r="D921" s="5" t="s">
        <v>28</v>
      </c>
      <c r="E921">
        <v>0</v>
      </c>
      <c r="F921">
        <v>0</v>
      </c>
      <c r="G921">
        <v>0</v>
      </c>
      <c r="I921" t="s">
        <v>956</v>
      </c>
      <c r="J921" t="str">
        <f>HYPERLINK("http://pbs.twimg.com/media/D3ZPp08XsAAWls5.jpg", "http://pbs.twimg.com/media/D3ZPp08XsAAWls5.jpg")</f>
        <v>http://pbs.twimg.com/media/D3ZPp08XsAAWls5.jpg</v>
      </c>
      <c r="N921">
        <v>0</v>
      </c>
      <c r="O921">
        <v>0</v>
      </c>
      <c r="P921">
        <v>1</v>
      </c>
      <c r="Q921">
        <v>0</v>
      </c>
    </row>
    <row r="922" spans="1:17" x14ac:dyDescent="0.2">
      <c r="A922" s="1" t="str">
        <f>HYPERLINK("http://www.twitter.com/Ugo_Roux/status/1114139289917566977", "1114139289917566977")</f>
        <v>1114139289917566977</v>
      </c>
      <c r="B922" t="s">
        <v>425</v>
      </c>
      <c r="C922" s="3">
        <v>43560.510196759264</v>
      </c>
      <c r="D922" s="5" t="s">
        <v>28</v>
      </c>
      <c r="E922">
        <v>2</v>
      </c>
      <c r="F922">
        <v>0</v>
      </c>
      <c r="G922">
        <v>0</v>
      </c>
      <c r="I922" t="s">
        <v>957</v>
      </c>
      <c r="J922" t="str">
        <f>HYPERLINK("http://pbs.twimg.com/media/D3Y3xMAXsAAf2j7.jpg", "http://pbs.twimg.com/media/D3Y3xMAXsAAf2j7.jpg")</f>
        <v>http://pbs.twimg.com/media/D3Y3xMAXsAAf2j7.jpg</v>
      </c>
      <c r="N922">
        <v>0.43740000000000001</v>
      </c>
      <c r="O922">
        <v>0</v>
      </c>
      <c r="P922">
        <v>0.93100000000000005</v>
      </c>
      <c r="Q922">
        <v>6.9000000000000006E-2</v>
      </c>
    </row>
    <row r="923" spans="1:17" x14ac:dyDescent="0.2">
      <c r="A923" s="1" t="str">
        <f>HYPERLINK("http://www.twitter.com/Ugo_Roux/status/1114100244638248960", "1114100244638248960")</f>
        <v>1114100244638248960</v>
      </c>
      <c r="B923" t="s">
        <v>425</v>
      </c>
      <c r="C923" s="3">
        <v>43560.402442129627</v>
      </c>
      <c r="D923" s="5" t="s">
        <v>41</v>
      </c>
      <c r="E923">
        <v>0</v>
      </c>
      <c r="F923">
        <v>0</v>
      </c>
      <c r="G923">
        <v>0</v>
      </c>
      <c r="I923" t="s">
        <v>958</v>
      </c>
      <c r="J923" t="str">
        <f>HYPERLINK("https://video.twimg.com/ext_tw_video/1114099876969820162/pu/vid/720x720/G8_uG86t4hBipR9H.mp4?tag=8", "https://video.twimg.com/ext_tw_video/1114099876969820162/pu/vid/720x720/G8_uG86t4hBipR9H.mp4?tag=8")</f>
        <v>https://video.twimg.com/ext_tw_video/1114099876969820162/pu/vid/720x720/G8_uG86t4hBipR9H.mp4?tag=8</v>
      </c>
      <c r="N923">
        <v>0</v>
      </c>
      <c r="O923">
        <v>0</v>
      </c>
      <c r="P923">
        <v>1</v>
      </c>
      <c r="Q923">
        <v>0</v>
      </c>
    </row>
    <row r="924" spans="1:17" x14ac:dyDescent="0.2">
      <c r="A924" s="1" t="str">
        <f>HYPERLINK("http://www.twitter.com/Ugo_Roux/status/1114050849280593920", "1114050849280593920")</f>
        <v>1114050849280593920</v>
      </c>
      <c r="B924" t="s">
        <v>285</v>
      </c>
      <c r="C924" s="3">
        <v>43560.266145833331</v>
      </c>
      <c r="D924" s="5" t="s">
        <v>17</v>
      </c>
      <c r="E924">
        <v>2</v>
      </c>
      <c r="F924">
        <v>0</v>
      </c>
      <c r="G924">
        <v>0</v>
      </c>
      <c r="I924" t="s">
        <v>959</v>
      </c>
      <c r="J924" t="str">
        <f>HYPERLINK("http://pbs.twimg.com/media/D3XnFqzX4AAZ4RO.jpg", "http://pbs.twimg.com/media/D3XnFqzX4AAZ4RO.jpg")</f>
        <v>http://pbs.twimg.com/media/D3XnFqzX4AAZ4RO.jpg</v>
      </c>
      <c r="K924" t="str">
        <f>HYPERLINK("http://pbs.twimg.com/media/D3XnKt5WwAIT42m.jpg", "http://pbs.twimg.com/media/D3XnKt5WwAIT42m.jpg")</f>
        <v>http://pbs.twimg.com/media/D3XnKt5WwAIT42m.jpg</v>
      </c>
      <c r="L924" t="str">
        <f>HYPERLINK("http://pbs.twimg.com/media/D3XnKsAXsAAVK0g.jpg", "http://pbs.twimg.com/media/D3XnKsAXsAAVK0g.jpg")</f>
        <v>http://pbs.twimg.com/media/D3XnKsAXsAAVK0g.jpg</v>
      </c>
      <c r="M924" t="str">
        <f>HYPERLINK("http://pbs.twimg.com/media/D3XnKt6XsAE-pk7.jpg", "http://pbs.twimg.com/media/D3XnKt6XsAE-pk7.jpg")</f>
        <v>http://pbs.twimg.com/media/D3XnKt6XsAE-pk7.jpg</v>
      </c>
      <c r="N924">
        <v>0</v>
      </c>
      <c r="O924">
        <v>0</v>
      </c>
      <c r="P924">
        <v>1</v>
      </c>
      <c r="Q924">
        <v>0</v>
      </c>
    </row>
    <row r="925" spans="1:17" x14ac:dyDescent="0.2">
      <c r="A925" s="1" t="str">
        <f>HYPERLINK("http://www.twitter.com/Ugo_Roux/status/1113763820013522944", "1113763820013522944")</f>
        <v>1113763820013522944</v>
      </c>
      <c r="B925" t="s">
        <v>471</v>
      </c>
      <c r="C925" s="3">
        <v>43559.474097222221</v>
      </c>
      <c r="D925" s="3" t="s">
        <v>41</v>
      </c>
      <c r="E925">
        <v>0</v>
      </c>
      <c r="F925">
        <v>0</v>
      </c>
      <c r="G925">
        <v>0</v>
      </c>
      <c r="I925" t="s">
        <v>960</v>
      </c>
      <c r="J925" t="str">
        <f>HYPERLINK("http://pbs.twimg.com/media/D3TiRIXXkAI5bjj.jpg", "http://pbs.twimg.com/media/D3TiRIXXkAI5bjj.jpg")</f>
        <v>http://pbs.twimg.com/media/D3TiRIXXkAI5bjj.jpg</v>
      </c>
      <c r="N925">
        <v>0</v>
      </c>
      <c r="O925">
        <v>0</v>
      </c>
      <c r="P925">
        <v>1</v>
      </c>
      <c r="Q925">
        <v>0</v>
      </c>
    </row>
    <row r="926" spans="1:17" x14ac:dyDescent="0.2">
      <c r="A926" s="1" t="str">
        <f>HYPERLINK("http://www.twitter.com/Ugo_Roux/status/1113738105293541377", "1113738105293541377")</f>
        <v>1113738105293541377</v>
      </c>
      <c r="B926" t="s">
        <v>425</v>
      </c>
      <c r="C926" s="3">
        <v>43559.403136574067</v>
      </c>
      <c r="D926" s="5" t="s">
        <v>28</v>
      </c>
      <c r="E926">
        <v>0</v>
      </c>
      <c r="F926">
        <v>0</v>
      </c>
      <c r="G926">
        <v>0</v>
      </c>
      <c r="I926" t="s">
        <v>961</v>
      </c>
      <c r="J926" t="str">
        <f>HYPERLINK("http://pbs.twimg.com/media/D3TCWeKXkAAVrWQ.png", "http://pbs.twimg.com/media/D3TCWeKXkAAVrWQ.png")</f>
        <v>http://pbs.twimg.com/media/D3TCWeKXkAAVrWQ.png</v>
      </c>
      <c r="N926">
        <v>0</v>
      </c>
      <c r="O926">
        <v>0</v>
      </c>
      <c r="P926">
        <v>1</v>
      </c>
      <c r="Q926">
        <v>0</v>
      </c>
    </row>
    <row r="927" spans="1:17" x14ac:dyDescent="0.2">
      <c r="A927" s="1" t="str">
        <f>HYPERLINK("http://www.twitter.com/Ugo_Roux/status/1113456100752416771", "1113456100752416771")</f>
        <v>1113456100752416771</v>
      </c>
      <c r="B927" t="s">
        <v>47</v>
      </c>
      <c r="C927" s="3">
        <v>43558.6249537037</v>
      </c>
      <c r="D927" s="5" t="s">
        <v>28</v>
      </c>
      <c r="E927">
        <v>3</v>
      </c>
      <c r="F927">
        <v>2</v>
      </c>
      <c r="G927">
        <v>0</v>
      </c>
      <c r="I927" t="s">
        <v>962</v>
      </c>
      <c r="J927" t="str">
        <f>HYPERLINK("http://pbs.twimg.com/media/D3PKZ3TWwAEdtRv.png", "http://pbs.twimg.com/media/D3PKZ3TWwAEdtRv.png")</f>
        <v>http://pbs.twimg.com/media/D3PKZ3TWwAEdtRv.png</v>
      </c>
      <c r="N927">
        <v>0</v>
      </c>
      <c r="O927">
        <v>0</v>
      </c>
      <c r="P927">
        <v>1</v>
      </c>
      <c r="Q927">
        <v>0</v>
      </c>
    </row>
    <row r="928" spans="1:17" x14ac:dyDescent="0.2">
      <c r="A928" s="1" t="str">
        <f>HYPERLINK("http://www.twitter.com/Ugo_Roux/status/1113445884342276096", "1113445884342276096")</f>
        <v>1113445884342276096</v>
      </c>
      <c r="B928" t="s">
        <v>425</v>
      </c>
      <c r="C928" s="3">
        <v>43558.596759259257</v>
      </c>
      <c r="D928" s="5" t="s">
        <v>17</v>
      </c>
      <c r="E928">
        <v>0</v>
      </c>
      <c r="F928">
        <v>0</v>
      </c>
      <c r="G928">
        <v>0</v>
      </c>
      <c r="I928" t="s">
        <v>963</v>
      </c>
      <c r="N928">
        <v>0</v>
      </c>
      <c r="O928">
        <v>0</v>
      </c>
      <c r="P928">
        <v>1</v>
      </c>
      <c r="Q928">
        <v>0</v>
      </c>
    </row>
    <row r="929" spans="1:17" x14ac:dyDescent="0.2">
      <c r="A929" s="1" t="str">
        <f>HYPERLINK("http://www.twitter.com/Ugo_Roux/status/1113434119428628480", "1113434119428628480")</f>
        <v>1113434119428628480</v>
      </c>
      <c r="B929" t="s">
        <v>142</v>
      </c>
      <c r="C929" s="3">
        <v>43558.564293981479</v>
      </c>
      <c r="D929" s="5" t="s">
        <v>17</v>
      </c>
      <c r="E929">
        <v>4</v>
      </c>
      <c r="F929">
        <v>2</v>
      </c>
      <c r="G929">
        <v>0</v>
      </c>
      <c r="I929" t="s">
        <v>964</v>
      </c>
      <c r="J929" t="str">
        <f>HYPERLINK("http://pbs.twimg.com/media/D3O2bScWsAIREWS.jpg", "http://pbs.twimg.com/media/D3O2bScWsAIREWS.jpg")</f>
        <v>http://pbs.twimg.com/media/D3O2bScWsAIREWS.jpg</v>
      </c>
      <c r="N929">
        <v>-0.29599999999999999</v>
      </c>
      <c r="O929">
        <v>0.16700000000000001</v>
      </c>
      <c r="P929">
        <v>0.83299999999999996</v>
      </c>
      <c r="Q929">
        <v>0</v>
      </c>
    </row>
    <row r="930" spans="1:17" x14ac:dyDescent="0.2">
      <c r="A930" s="1" t="str">
        <f>HYPERLINK("http://www.twitter.com/Ugo_Roux/status/1113354352415117312", "1113354352415117312")</f>
        <v>1113354352415117312</v>
      </c>
      <c r="B930" t="s">
        <v>130</v>
      </c>
      <c r="C930" s="3">
        <v>43558.344178240739</v>
      </c>
      <c r="D930" s="5" t="s">
        <v>28</v>
      </c>
      <c r="E930">
        <v>0</v>
      </c>
      <c r="F930">
        <v>0</v>
      </c>
      <c r="G930">
        <v>0</v>
      </c>
      <c r="I930" t="s">
        <v>965</v>
      </c>
      <c r="J930" t="str">
        <f>HYPERLINK("http://pbs.twimg.com/media/D3NtvNfW0AsUd9p.jpg", "http://pbs.twimg.com/media/D3NtvNfW0AsUd9p.jpg")</f>
        <v>http://pbs.twimg.com/media/D3NtvNfW0AsUd9p.jpg</v>
      </c>
      <c r="N930">
        <v>0</v>
      </c>
      <c r="O930">
        <v>0</v>
      </c>
      <c r="P930">
        <v>1</v>
      </c>
      <c r="Q930">
        <v>0</v>
      </c>
    </row>
    <row r="931" spans="1:17" x14ac:dyDescent="0.2">
      <c r="A931" s="1" t="str">
        <f>HYPERLINK("http://www.twitter.com/Ugo_Roux/status/1113351282960543744", "1113351282960543744")</f>
        <v>1113351282960543744</v>
      </c>
      <c r="B931" t="s">
        <v>414</v>
      </c>
      <c r="C931" s="3">
        <v>43558.335706018523</v>
      </c>
      <c r="D931" s="5" t="s">
        <v>28</v>
      </c>
      <c r="E931">
        <v>0</v>
      </c>
      <c r="F931">
        <v>0</v>
      </c>
      <c r="G931">
        <v>0</v>
      </c>
      <c r="I931" t="s">
        <v>966</v>
      </c>
      <c r="J931" t="str">
        <f>HYPERLINK("http://pbs.twimg.com/media/D3NrE7lXsAA9DWw.jpg", "http://pbs.twimg.com/media/D3NrE7lXsAA9DWw.jpg")</f>
        <v>http://pbs.twimg.com/media/D3NrE7lXsAA9DWw.jpg</v>
      </c>
      <c r="N931">
        <v>0</v>
      </c>
      <c r="O931">
        <v>0</v>
      </c>
      <c r="P931">
        <v>1</v>
      </c>
      <c r="Q931">
        <v>0</v>
      </c>
    </row>
    <row r="932" spans="1:17" x14ac:dyDescent="0.2">
      <c r="A932" s="1" t="str">
        <f>HYPERLINK("http://www.twitter.com/Ugo_Roux/status/1113075161564147714", "1113075161564147714")</f>
        <v>1113075161564147714</v>
      </c>
      <c r="B932" t="s">
        <v>285</v>
      </c>
      <c r="C932" s="3">
        <v>43557.573761574073</v>
      </c>
      <c r="D932" s="5" t="s">
        <v>28</v>
      </c>
      <c r="E932">
        <v>0</v>
      </c>
      <c r="F932">
        <v>0</v>
      </c>
      <c r="G932">
        <v>0</v>
      </c>
      <c r="I932" t="s">
        <v>967</v>
      </c>
      <c r="J932" t="str">
        <f>HYPERLINK("http://pbs.twimg.com/media/D3Jv9AqXkAIIqvZ.jpg", "http://pbs.twimg.com/media/D3Jv9AqXkAIIqvZ.jpg")</f>
        <v>http://pbs.twimg.com/media/D3Jv9AqXkAIIqvZ.jpg</v>
      </c>
      <c r="N932">
        <v>0</v>
      </c>
      <c r="O932">
        <v>0</v>
      </c>
      <c r="P932">
        <v>1</v>
      </c>
      <c r="Q932">
        <v>0</v>
      </c>
    </row>
    <row r="933" spans="1:17" x14ac:dyDescent="0.2">
      <c r="A933" s="1" t="str">
        <f>HYPERLINK("http://www.twitter.com/Ugo_Roux/status/1113006235387944966", "1113006235387944966")</f>
        <v>1113006235387944966</v>
      </c>
      <c r="B933" t="s">
        <v>414</v>
      </c>
      <c r="C933" s="3">
        <v>43557.383553240739</v>
      </c>
      <c r="D933" s="5" t="s">
        <v>28</v>
      </c>
      <c r="E933">
        <v>0</v>
      </c>
      <c r="F933">
        <v>0</v>
      </c>
      <c r="G933">
        <v>0</v>
      </c>
      <c r="I933" t="s">
        <v>968</v>
      </c>
      <c r="N933">
        <v>0</v>
      </c>
      <c r="O933">
        <v>0</v>
      </c>
      <c r="P933">
        <v>1</v>
      </c>
      <c r="Q933">
        <v>0</v>
      </c>
    </row>
    <row r="934" spans="1:17" x14ac:dyDescent="0.2">
      <c r="A934" s="1" t="str">
        <f>HYPERLINK("http://www.twitter.com/Ugo_Roux/status/1112646851541549056", "1112646851541549056")</f>
        <v>1112646851541549056</v>
      </c>
      <c r="B934" t="s">
        <v>142</v>
      </c>
      <c r="C934" s="3">
        <v>43556.391851851848</v>
      </c>
      <c r="D934" s="5" t="s">
        <v>17</v>
      </c>
      <c r="E934">
        <v>2</v>
      </c>
      <c r="F934">
        <v>2</v>
      </c>
      <c r="G934">
        <v>0</v>
      </c>
      <c r="I934" t="s">
        <v>969</v>
      </c>
      <c r="J934" t="str">
        <f>HYPERLINK("http://pbs.twimg.com/media/D3DqaJdXQAEFIlk.jpg", "http://pbs.twimg.com/media/D3DqaJdXQAEFIlk.jpg")</f>
        <v>http://pbs.twimg.com/media/D3DqaJdXQAEFIlk.jpg</v>
      </c>
      <c r="N934">
        <v>0</v>
      </c>
      <c r="O934">
        <v>0</v>
      </c>
      <c r="P934">
        <v>1</v>
      </c>
      <c r="Q934">
        <v>0</v>
      </c>
    </row>
    <row r="935" spans="1:17" x14ac:dyDescent="0.2">
      <c r="A935" s="1" t="str">
        <f>HYPERLINK("http://www.twitter.com/Ugo_Roux/status/1111924218206261249", "1111924218206261249")</f>
        <v>1111924218206261249</v>
      </c>
      <c r="B935" t="s">
        <v>425</v>
      </c>
      <c r="C935" s="3">
        <v>43554.39775462963</v>
      </c>
      <c r="D935" s="5" t="s">
        <v>41</v>
      </c>
      <c r="E935">
        <v>0</v>
      </c>
      <c r="F935">
        <v>0</v>
      </c>
      <c r="G935">
        <v>0</v>
      </c>
      <c r="I935" t="s">
        <v>970</v>
      </c>
      <c r="J935" t="str">
        <f>HYPERLINK("https://video.twimg.com/ext_tw_video/1111923836260442112/pu/vid/720x720/QoVhk-lXrGOxENQl.mp4?tag=8", "https://video.twimg.com/ext_tw_video/1111923836260442112/pu/vid/720x720/QoVhk-lXrGOxENQl.mp4?tag=8")</f>
        <v>https://video.twimg.com/ext_tw_video/1111923836260442112/pu/vid/720x720/QoVhk-lXrGOxENQl.mp4?tag=8</v>
      </c>
      <c r="N935">
        <v>0</v>
      </c>
      <c r="O935">
        <v>0</v>
      </c>
      <c r="P935">
        <v>1</v>
      </c>
      <c r="Q935">
        <v>0</v>
      </c>
    </row>
    <row r="936" spans="1:17" x14ac:dyDescent="0.2">
      <c r="A936" s="1" t="str">
        <f>HYPERLINK("http://www.twitter.com/Ugo_Roux/status/1111552726461304837", "1111552726461304837")</f>
        <v>1111552726461304837</v>
      </c>
      <c r="B936" t="s">
        <v>476</v>
      </c>
      <c r="C936" s="3">
        <v>43553.37263888889</v>
      </c>
      <c r="D936" s="5" t="s">
        <v>28</v>
      </c>
      <c r="E936">
        <v>1</v>
      </c>
      <c r="F936">
        <v>0</v>
      </c>
      <c r="G936">
        <v>0</v>
      </c>
      <c r="I936" t="s">
        <v>971</v>
      </c>
      <c r="J936" t="str">
        <f>HYPERLINK("http://pbs.twimg.com/media/D20HLBsWkAApSqZ.jpg", "http://pbs.twimg.com/media/D20HLBsWkAApSqZ.jpg")</f>
        <v>http://pbs.twimg.com/media/D20HLBsWkAApSqZ.jpg</v>
      </c>
      <c r="K936" t="str">
        <f>HYPERLINK("http://pbs.twimg.com/media/D20HQIJXgAAZXs1.jpg", "http://pbs.twimg.com/media/D20HQIJXgAAZXs1.jpg")</f>
        <v>http://pbs.twimg.com/media/D20HQIJXgAAZXs1.jpg</v>
      </c>
      <c r="N936">
        <v>0</v>
      </c>
      <c r="O936">
        <v>0</v>
      </c>
      <c r="P936">
        <v>1</v>
      </c>
      <c r="Q936">
        <v>0</v>
      </c>
    </row>
    <row r="937" spans="1:17" x14ac:dyDescent="0.2">
      <c r="A937" s="1" t="str">
        <f>HYPERLINK("http://www.twitter.com/Ugo_Roux/status/1111270994340208641", "1111270994340208641")</f>
        <v>1111270994340208641</v>
      </c>
      <c r="B937" t="s">
        <v>425</v>
      </c>
      <c r="C937" s="3">
        <v>43552.595208333332</v>
      </c>
      <c r="D937" s="5" t="s">
        <v>41</v>
      </c>
      <c r="E937">
        <v>1</v>
      </c>
      <c r="F937">
        <v>0</v>
      </c>
      <c r="G937">
        <v>0</v>
      </c>
      <c r="I937" t="s">
        <v>972</v>
      </c>
      <c r="J937" t="str">
        <f>HYPERLINK("http://pbs.twimg.com/media/D2wHDhTWkAAlIFT.jpg", "http://pbs.twimg.com/media/D2wHDhTWkAAlIFT.jpg")</f>
        <v>http://pbs.twimg.com/media/D2wHDhTWkAAlIFT.jpg</v>
      </c>
      <c r="N937">
        <v>0</v>
      </c>
      <c r="O937">
        <v>0</v>
      </c>
      <c r="P937">
        <v>1</v>
      </c>
      <c r="Q937">
        <v>0</v>
      </c>
    </row>
    <row r="938" spans="1:17" x14ac:dyDescent="0.2">
      <c r="A938" s="1" t="str">
        <f>HYPERLINK("http://www.twitter.com/Ugo_Roux/status/1111222213083103232", "1111222213083103232")</f>
        <v>1111222213083103232</v>
      </c>
      <c r="B938" t="s">
        <v>425</v>
      </c>
      <c r="C938" s="3">
        <v>43552.460590277777</v>
      </c>
      <c r="D938" s="5" t="s">
        <v>17</v>
      </c>
      <c r="E938">
        <v>0</v>
      </c>
      <c r="F938">
        <v>0</v>
      </c>
      <c r="G938">
        <v>0</v>
      </c>
      <c r="I938" t="s">
        <v>973</v>
      </c>
      <c r="N938">
        <v>0</v>
      </c>
      <c r="O938">
        <v>0</v>
      </c>
      <c r="P938">
        <v>1</v>
      </c>
      <c r="Q938">
        <v>0</v>
      </c>
    </row>
    <row r="939" spans="1:17" x14ac:dyDescent="0.2">
      <c r="A939" s="1" t="str">
        <f>HYPERLINK("http://www.twitter.com/Ugo_Roux/status/1111198560844947456", "1111198560844947456")</f>
        <v>1111198560844947456</v>
      </c>
      <c r="B939" t="s">
        <v>370</v>
      </c>
      <c r="C939" s="3">
        <v>43552.395324074067</v>
      </c>
      <c r="D939" s="5" t="s">
        <v>28</v>
      </c>
      <c r="E939">
        <v>0</v>
      </c>
      <c r="F939">
        <v>0</v>
      </c>
      <c r="G939">
        <v>0</v>
      </c>
      <c r="I939" t="s">
        <v>974</v>
      </c>
      <c r="J939" t="str">
        <f>HYPERLINK("http://pbs.twimg.com/media/D2vFM8iWwAAtXai.jpg", "http://pbs.twimg.com/media/D2vFM8iWwAAtXai.jpg")</f>
        <v>http://pbs.twimg.com/media/D2vFM8iWwAAtXai.jpg</v>
      </c>
      <c r="N939">
        <v>0</v>
      </c>
      <c r="O939">
        <v>0</v>
      </c>
      <c r="P939">
        <v>1</v>
      </c>
      <c r="Q939">
        <v>0</v>
      </c>
    </row>
    <row r="940" spans="1:17" x14ac:dyDescent="0.2">
      <c r="A940" s="1" t="str">
        <f>HYPERLINK("http://www.twitter.com/Ugo_Roux/status/1111198242233044992", "1111198242233044992")</f>
        <v>1111198242233044992</v>
      </c>
      <c r="B940" t="s">
        <v>370</v>
      </c>
      <c r="C940" s="3">
        <v>43552.394444444442</v>
      </c>
      <c r="D940" s="5" t="s">
        <v>28</v>
      </c>
      <c r="E940">
        <v>0</v>
      </c>
      <c r="F940">
        <v>0</v>
      </c>
      <c r="G940">
        <v>0</v>
      </c>
      <c r="I940" t="s">
        <v>975</v>
      </c>
      <c r="J940" t="str">
        <f>HYPERLINK("http://pbs.twimg.com/media/D2vE6Z9XcAEqN0w.jpg", "http://pbs.twimg.com/media/D2vE6Z9XcAEqN0w.jpg")</f>
        <v>http://pbs.twimg.com/media/D2vE6Z9XcAEqN0w.jpg</v>
      </c>
      <c r="N940">
        <v>0</v>
      </c>
      <c r="O940">
        <v>0</v>
      </c>
      <c r="P940">
        <v>1</v>
      </c>
      <c r="Q940">
        <v>0</v>
      </c>
    </row>
    <row r="941" spans="1:17" x14ac:dyDescent="0.2">
      <c r="A941" s="1" t="str">
        <f>HYPERLINK("http://www.twitter.com/Ugo_Roux/status/1111197837767909376", "1111197837767909376")</f>
        <v>1111197837767909376</v>
      </c>
      <c r="B941" t="s">
        <v>370</v>
      </c>
      <c r="C941" s="3">
        <v>43552.393333333333</v>
      </c>
      <c r="D941" s="5" t="s">
        <v>28</v>
      </c>
      <c r="E941">
        <v>0</v>
      </c>
      <c r="F941">
        <v>0</v>
      </c>
      <c r="G941">
        <v>0</v>
      </c>
      <c r="I941" t="s">
        <v>976</v>
      </c>
      <c r="J941" t="str">
        <f>HYPERLINK("http://pbs.twimg.com/media/D2vEi3MXgAEvycL.jpg", "http://pbs.twimg.com/media/D2vEi3MXgAEvycL.jpg")</f>
        <v>http://pbs.twimg.com/media/D2vEi3MXgAEvycL.jpg</v>
      </c>
      <c r="N941">
        <v>0</v>
      </c>
      <c r="O941">
        <v>0</v>
      </c>
      <c r="P941">
        <v>1</v>
      </c>
      <c r="Q941">
        <v>0</v>
      </c>
    </row>
    <row r="942" spans="1:17" x14ac:dyDescent="0.2">
      <c r="A942" s="1" t="str">
        <f>HYPERLINK("http://www.twitter.com/Ugo_Roux/status/1111197521261531138", "1111197521261531138")</f>
        <v>1111197521261531138</v>
      </c>
      <c r="B942" t="s">
        <v>370</v>
      </c>
      <c r="C942" s="3">
        <v>43552.392453703702</v>
      </c>
      <c r="D942" s="5" t="s">
        <v>28</v>
      </c>
      <c r="E942">
        <v>0</v>
      </c>
      <c r="F942">
        <v>0</v>
      </c>
      <c r="G942">
        <v>0</v>
      </c>
      <c r="I942" t="s">
        <v>977</v>
      </c>
      <c r="J942" t="str">
        <f>HYPERLINK("http://pbs.twimg.com/media/D2vEQbYW0AAyYWl.jpg", "http://pbs.twimg.com/media/D2vEQbYW0AAyYWl.jpg")</f>
        <v>http://pbs.twimg.com/media/D2vEQbYW0AAyYWl.jpg</v>
      </c>
      <c r="N942">
        <v>0</v>
      </c>
      <c r="O942">
        <v>0</v>
      </c>
      <c r="P942">
        <v>1</v>
      </c>
      <c r="Q942">
        <v>0</v>
      </c>
    </row>
    <row r="943" spans="1:17" x14ac:dyDescent="0.2">
      <c r="A943" s="1" t="str">
        <f>HYPERLINK("http://www.twitter.com/Ugo_Roux/status/1111197285424267264", "1111197285424267264")</f>
        <v>1111197285424267264</v>
      </c>
      <c r="B943" t="s">
        <v>370</v>
      </c>
      <c r="C943" s="3">
        <v>43552.391805555562</v>
      </c>
      <c r="D943" s="5" t="s">
        <v>28</v>
      </c>
      <c r="E943">
        <v>0</v>
      </c>
      <c r="F943">
        <v>0</v>
      </c>
      <c r="G943">
        <v>0</v>
      </c>
      <c r="I943" t="s">
        <v>978</v>
      </c>
      <c r="J943" t="str">
        <f>HYPERLINK("http://pbs.twimg.com/media/D2vECs_WwAAEs46.jpg", "http://pbs.twimg.com/media/D2vECs_WwAAEs46.jpg")</f>
        <v>http://pbs.twimg.com/media/D2vECs_WwAAEs46.jpg</v>
      </c>
      <c r="N943">
        <v>0</v>
      </c>
      <c r="O943">
        <v>0</v>
      </c>
      <c r="P943">
        <v>1</v>
      </c>
      <c r="Q943">
        <v>0</v>
      </c>
    </row>
    <row r="944" spans="1:17" x14ac:dyDescent="0.2">
      <c r="A944" s="1" t="str">
        <f>HYPERLINK("http://www.twitter.com/Ugo_Roux/status/1111171685846265856", "1111171685846265856")</f>
        <v>1111171685846265856</v>
      </c>
      <c r="B944" t="s">
        <v>285</v>
      </c>
      <c r="C944" s="3">
        <v>43552.321168981478</v>
      </c>
      <c r="D944" s="5" t="s">
        <v>28</v>
      </c>
      <c r="E944">
        <v>0</v>
      </c>
      <c r="F944">
        <v>0</v>
      </c>
      <c r="G944">
        <v>0</v>
      </c>
      <c r="I944" t="s">
        <v>979</v>
      </c>
      <c r="J944" t="str">
        <f>HYPERLINK("http://pbs.twimg.com/media/D2usjTiWoAE472O.jpg", "http://pbs.twimg.com/media/D2usjTiWoAE472O.jpg")</f>
        <v>http://pbs.twimg.com/media/D2usjTiWoAE472O.jpg</v>
      </c>
      <c r="N944">
        <v>0.45879999999999999</v>
      </c>
      <c r="O944">
        <v>0</v>
      </c>
      <c r="P944">
        <v>0.82399999999999995</v>
      </c>
      <c r="Q944">
        <v>0.17599999999999999</v>
      </c>
    </row>
    <row r="945" spans="1:17" x14ac:dyDescent="0.2">
      <c r="A945" s="1" t="str">
        <f>HYPERLINK("http://www.twitter.com/Ugo_Roux/status/1110923833517764608", "1110923833517764608")</f>
        <v>1110923833517764608</v>
      </c>
      <c r="B945" t="s">
        <v>130</v>
      </c>
      <c r="C945" s="3">
        <v>43551.63722222222</v>
      </c>
      <c r="D945" s="5" t="s">
        <v>28</v>
      </c>
      <c r="E945">
        <v>0</v>
      </c>
      <c r="F945">
        <v>0</v>
      </c>
      <c r="G945">
        <v>0</v>
      </c>
      <c r="I945" t="s">
        <v>980</v>
      </c>
      <c r="J945" t="str">
        <f>HYPERLINK("http://pbs.twimg.com/media/D2rLTQqWwAAMMWl.jpg", "http://pbs.twimg.com/media/D2rLTQqWwAAMMWl.jpg")</f>
        <v>http://pbs.twimg.com/media/D2rLTQqWwAAMMWl.jpg</v>
      </c>
      <c r="N945">
        <v>0</v>
      </c>
      <c r="O945">
        <v>0</v>
      </c>
      <c r="P945">
        <v>1</v>
      </c>
      <c r="Q945">
        <v>0</v>
      </c>
    </row>
    <row r="946" spans="1:17" x14ac:dyDescent="0.2">
      <c r="A946" s="1" t="str">
        <f>HYPERLINK("http://www.twitter.com/Ugo_Roux/status/1110913264958013440", "1110913264958013440")</f>
        <v>1110913264958013440</v>
      </c>
      <c r="B946" t="s">
        <v>414</v>
      </c>
      <c r="C946" s="3">
        <v>43551.608055555553</v>
      </c>
      <c r="D946" s="5" t="s">
        <v>28</v>
      </c>
      <c r="E946">
        <v>1</v>
      </c>
      <c r="F946">
        <v>0</v>
      </c>
      <c r="G946">
        <v>0</v>
      </c>
      <c r="I946" t="s">
        <v>981</v>
      </c>
      <c r="J946" t="str">
        <f>HYPERLINK("http://pbs.twimg.com/media/D2rBuKtWwAEJyof.jpg", "http://pbs.twimg.com/media/D2rBuKtWwAEJyof.jpg")</f>
        <v>http://pbs.twimg.com/media/D2rBuKtWwAEJyof.jpg</v>
      </c>
      <c r="N946">
        <v>0</v>
      </c>
      <c r="O946">
        <v>0</v>
      </c>
      <c r="P946">
        <v>1</v>
      </c>
      <c r="Q946">
        <v>0</v>
      </c>
    </row>
    <row r="947" spans="1:17" x14ac:dyDescent="0.2">
      <c r="A947" s="1" t="str">
        <f>HYPERLINK("http://www.twitter.com/Ugo_Roux/status/1110503784827023360", "1110503784827023360")</f>
        <v>1110503784827023360</v>
      </c>
      <c r="B947" t="s">
        <v>476</v>
      </c>
      <c r="C947" s="3">
        <v>43550.478113425917</v>
      </c>
      <c r="D947" s="5" t="s">
        <v>28</v>
      </c>
      <c r="E947">
        <v>0</v>
      </c>
      <c r="F947">
        <v>0</v>
      </c>
      <c r="G947">
        <v>0</v>
      </c>
      <c r="I947" t="s">
        <v>982</v>
      </c>
      <c r="J947" t="str">
        <f>HYPERLINK("http://pbs.twimg.com/media/D2lNJEjX0AAm4fu.jpg", "http://pbs.twimg.com/media/D2lNJEjX0AAm4fu.jpg")</f>
        <v>http://pbs.twimg.com/media/D2lNJEjX0AAm4fu.jpg</v>
      </c>
      <c r="K947" t="str">
        <f>HYPERLINK("http://pbs.twimg.com/media/D2lNM7kWwAAO7PA.jpg", "http://pbs.twimg.com/media/D2lNM7kWwAAO7PA.jpg")</f>
        <v>http://pbs.twimg.com/media/D2lNM7kWwAAO7PA.jpg</v>
      </c>
      <c r="N947">
        <v>0</v>
      </c>
      <c r="O947">
        <v>0</v>
      </c>
      <c r="P947">
        <v>1</v>
      </c>
      <c r="Q947">
        <v>0</v>
      </c>
    </row>
    <row r="948" spans="1:17" x14ac:dyDescent="0.2">
      <c r="A948" s="1" t="str">
        <f>HYPERLINK("http://www.twitter.com/Ugo_Roux/status/1110078796332482561", "1110078796332482561")</f>
        <v>1110078796332482561</v>
      </c>
      <c r="B948" t="s">
        <v>285</v>
      </c>
      <c r="C948" s="3">
        <v>43549.305358796293</v>
      </c>
      <c r="D948" s="5" t="s">
        <v>28</v>
      </c>
      <c r="E948">
        <v>0</v>
      </c>
      <c r="F948">
        <v>0</v>
      </c>
      <c r="G948">
        <v>0</v>
      </c>
      <c r="I948" t="s">
        <v>983</v>
      </c>
      <c r="N948">
        <v>0</v>
      </c>
      <c r="O948">
        <v>0</v>
      </c>
      <c r="P948">
        <v>1</v>
      </c>
      <c r="Q948">
        <v>0</v>
      </c>
    </row>
    <row r="949" spans="1:17" x14ac:dyDescent="0.2">
      <c r="A949" s="1" t="str">
        <f>HYPERLINK("http://www.twitter.com/Ugo_Roux/status/1109029645750538240", "1109029645750538240")</f>
        <v>1109029645750538240</v>
      </c>
      <c r="B949" t="s">
        <v>97</v>
      </c>
      <c r="C949" s="3">
        <v>43546.410254629627</v>
      </c>
      <c r="D949" s="5" t="s">
        <v>41</v>
      </c>
      <c r="E949">
        <v>2</v>
      </c>
      <c r="F949">
        <v>2</v>
      </c>
      <c r="G949">
        <v>0</v>
      </c>
      <c r="I949" t="s">
        <v>984</v>
      </c>
      <c r="J949" t="str">
        <f>HYPERLINK("http://pbs.twimg.com/media/D2QQldZW0AAn5H1.jpg", "http://pbs.twimg.com/media/D2QQldZW0AAn5H1.jpg")</f>
        <v>http://pbs.twimg.com/media/D2QQldZW0AAn5H1.jpg</v>
      </c>
      <c r="N949">
        <v>0</v>
      </c>
      <c r="O949">
        <v>0</v>
      </c>
      <c r="P949">
        <v>1</v>
      </c>
      <c r="Q949">
        <v>0</v>
      </c>
    </row>
    <row r="950" spans="1:17" x14ac:dyDescent="0.2">
      <c r="A950" s="1" t="str">
        <f>HYPERLINK("http://www.twitter.com/Ugo_Roux/status/1108695542698258432", "1108695542698258432")</f>
        <v>1108695542698258432</v>
      </c>
      <c r="B950" t="s">
        <v>285</v>
      </c>
      <c r="C950" s="3">
        <v>43545.488310185188</v>
      </c>
      <c r="D950" s="5" t="s">
        <v>17</v>
      </c>
      <c r="E950">
        <v>2</v>
      </c>
      <c r="F950">
        <v>0</v>
      </c>
      <c r="G950">
        <v>0</v>
      </c>
      <c r="I950" t="s">
        <v>985</v>
      </c>
      <c r="J950" t="str">
        <f>HYPERLINK("http://pbs.twimg.com/media/D2Lgtt5X0AAJtyb.jpg", "http://pbs.twimg.com/media/D2Lgtt5X0AAJtyb.jpg")</f>
        <v>http://pbs.twimg.com/media/D2Lgtt5X0AAJtyb.jpg</v>
      </c>
      <c r="N950">
        <v>0.45879999999999999</v>
      </c>
      <c r="O950">
        <v>0</v>
      </c>
      <c r="P950">
        <v>0.81200000000000006</v>
      </c>
      <c r="Q950">
        <v>0.188</v>
      </c>
    </row>
    <row r="951" spans="1:17" x14ac:dyDescent="0.2">
      <c r="A951" s="1" t="str">
        <f>HYPERLINK("http://www.twitter.com/Ugo_Roux/status/1108666257564405761", "1108666257564405761")</f>
        <v>1108666257564405761</v>
      </c>
      <c r="B951" t="s">
        <v>142</v>
      </c>
      <c r="C951" s="3">
        <v>43545.407500000001</v>
      </c>
      <c r="D951" s="5" t="s">
        <v>28</v>
      </c>
      <c r="E951">
        <v>2</v>
      </c>
      <c r="F951">
        <v>1</v>
      </c>
      <c r="G951">
        <v>0</v>
      </c>
      <c r="I951" t="s">
        <v>986</v>
      </c>
      <c r="N951">
        <v>0.31640000000000001</v>
      </c>
      <c r="O951">
        <v>0</v>
      </c>
      <c r="P951">
        <v>0.79700000000000004</v>
      </c>
      <c r="Q951">
        <v>0.20300000000000001</v>
      </c>
    </row>
    <row r="952" spans="1:17" x14ac:dyDescent="0.2">
      <c r="A952" s="1" t="str">
        <f>HYPERLINK("http://www.twitter.com/Ugo_Roux/status/1108663414627409920", "1108663414627409920")</f>
        <v>1108663414627409920</v>
      </c>
      <c r="B952" t="s">
        <v>456</v>
      </c>
      <c r="C952" s="3">
        <v>43545.399652777778</v>
      </c>
      <c r="D952" t="s">
        <v>28</v>
      </c>
      <c r="E952">
        <v>2</v>
      </c>
      <c r="F952">
        <v>1</v>
      </c>
      <c r="G952">
        <v>0</v>
      </c>
      <c r="I952" t="s">
        <v>987</v>
      </c>
      <c r="J952" t="str">
        <f>HYPERLINK("http://pbs.twimg.com/media/D2LC4IJW0AEcmGe.jpg", "http://pbs.twimg.com/media/D2LC4IJW0AEcmGe.jpg")</f>
        <v>http://pbs.twimg.com/media/D2LC4IJW0AEcmGe.jpg</v>
      </c>
      <c r="N952">
        <v>0</v>
      </c>
      <c r="O952">
        <v>0</v>
      </c>
      <c r="P952">
        <v>1</v>
      </c>
      <c r="Q952">
        <v>0</v>
      </c>
    </row>
    <row r="953" spans="1:17" x14ac:dyDescent="0.2">
      <c r="A953" s="1" t="str">
        <f>HYPERLINK("http://www.twitter.com/Ugo_Roux/status/1108353864233861120", "1108353864233861120")</f>
        <v>1108353864233861120</v>
      </c>
      <c r="B953" t="s">
        <v>425</v>
      </c>
      <c r="C953" s="3">
        <v>43544.54546296296</v>
      </c>
      <c r="D953" s="5" t="s">
        <v>17</v>
      </c>
      <c r="E953">
        <v>0</v>
      </c>
      <c r="F953">
        <v>0</v>
      </c>
      <c r="G953">
        <v>0</v>
      </c>
      <c r="I953" t="s">
        <v>988</v>
      </c>
      <c r="J953" t="str">
        <f>HYPERLINK("https://video.twimg.com/ext_tw_video/1108353434711937025/pu/vid/720x720/9tR3M-jSQMSGcqKZ.mp4?tag=8", "https://video.twimg.com/ext_tw_video/1108353434711937025/pu/vid/720x720/9tR3M-jSQMSGcqKZ.mp4?tag=8")</f>
        <v>https://video.twimg.com/ext_tw_video/1108353434711937025/pu/vid/720x720/9tR3M-jSQMSGcqKZ.mp4?tag=8</v>
      </c>
      <c r="N953">
        <v>0</v>
      </c>
      <c r="O953">
        <v>0</v>
      </c>
      <c r="P953">
        <v>1</v>
      </c>
      <c r="Q953">
        <v>0</v>
      </c>
    </row>
    <row r="954" spans="1:17" x14ac:dyDescent="0.2">
      <c r="A954" s="1" t="str">
        <f>HYPERLINK("http://www.twitter.com/Ugo_Roux/status/1108316160288792576", "1108316160288792576")</f>
        <v>1108316160288792576</v>
      </c>
      <c r="B954" t="s">
        <v>414</v>
      </c>
      <c r="C954" s="3">
        <v>43544.441412037027</v>
      </c>
      <c r="D954" s="5" t="s">
        <v>41</v>
      </c>
      <c r="E954">
        <v>0</v>
      </c>
      <c r="F954">
        <v>0</v>
      </c>
      <c r="G954">
        <v>0</v>
      </c>
      <c r="I954" t="s">
        <v>989</v>
      </c>
      <c r="J954" t="str">
        <f>HYPERLINK("http://pbs.twimg.com/media/D2GHqiZWoAASlKV.jpg", "http://pbs.twimg.com/media/D2GHqiZWoAASlKV.jpg")</f>
        <v>http://pbs.twimg.com/media/D2GHqiZWoAASlKV.jpg</v>
      </c>
      <c r="N954">
        <v>0</v>
      </c>
      <c r="O954">
        <v>0</v>
      </c>
      <c r="P954">
        <v>1</v>
      </c>
      <c r="Q954">
        <v>0</v>
      </c>
    </row>
    <row r="955" spans="1:17" x14ac:dyDescent="0.2">
      <c r="A955" s="1" t="str">
        <f>HYPERLINK("http://www.twitter.com/Ugo_Roux/status/1107906768351449088", "1107906768351449088")</f>
        <v>1107906768351449088</v>
      </c>
      <c r="B955" t="s">
        <v>285</v>
      </c>
      <c r="C955" s="3">
        <v>43543.311712962961</v>
      </c>
      <c r="D955" s="5" t="s">
        <v>17</v>
      </c>
      <c r="E955">
        <v>2</v>
      </c>
      <c r="F955">
        <v>3</v>
      </c>
      <c r="G955">
        <v>0</v>
      </c>
      <c r="I955" t="s">
        <v>990</v>
      </c>
      <c r="J955" t="str">
        <f>HYPERLINK("http://pbs.twimg.com/media/D2ATQzYWoAUsgg8.jpg", "http://pbs.twimg.com/media/D2ATQzYWoAUsgg8.jpg")</f>
        <v>http://pbs.twimg.com/media/D2ATQzYWoAUsgg8.jpg</v>
      </c>
      <c r="N955">
        <v>0</v>
      </c>
      <c r="O955">
        <v>0</v>
      </c>
      <c r="P955">
        <v>1</v>
      </c>
      <c r="Q955">
        <v>0</v>
      </c>
    </row>
    <row r="956" spans="1:17" x14ac:dyDescent="0.2">
      <c r="A956" s="1" t="str">
        <f>HYPERLINK("http://www.twitter.com/Ugo_Roux/status/1107548357449396224", "1107548357449396224")</f>
        <v>1107548357449396224</v>
      </c>
      <c r="B956" t="s">
        <v>142</v>
      </c>
      <c r="C956" s="3">
        <v>43542.322685185187</v>
      </c>
      <c r="D956" s="5" t="s">
        <v>17</v>
      </c>
      <c r="E956">
        <v>0</v>
      </c>
      <c r="F956">
        <v>0</v>
      </c>
      <c r="G956">
        <v>0</v>
      </c>
      <c r="I956" t="s">
        <v>991</v>
      </c>
      <c r="N956">
        <v>0</v>
      </c>
      <c r="O956">
        <v>0</v>
      </c>
      <c r="P956">
        <v>1</v>
      </c>
      <c r="Q956">
        <v>0</v>
      </c>
    </row>
    <row r="957" spans="1:17" x14ac:dyDescent="0.2">
      <c r="A957" s="1" t="str">
        <f>HYPERLINK("http://www.twitter.com/Ugo_Roux/status/1106922204124594176", "1106922204124594176")</f>
        <v>1106922204124594176</v>
      </c>
      <c r="B957" t="s">
        <v>206</v>
      </c>
      <c r="C957" s="3">
        <v>43540.594826388893</v>
      </c>
      <c r="D957" s="5" t="s">
        <v>28</v>
      </c>
      <c r="E957">
        <v>6</v>
      </c>
      <c r="F957">
        <v>3</v>
      </c>
      <c r="G957">
        <v>0</v>
      </c>
      <c r="I957" t="s">
        <v>992</v>
      </c>
      <c r="J957" t="str">
        <f>HYPERLINK("http://pbs.twimg.com/media/D1yT205WkAMfBDP.jpg", "http://pbs.twimg.com/media/D1yT205WkAMfBDP.jpg")</f>
        <v>http://pbs.twimg.com/media/D1yT205WkAMfBDP.jpg</v>
      </c>
      <c r="N957">
        <v>0.60719999999999996</v>
      </c>
      <c r="O957">
        <v>0</v>
      </c>
      <c r="P957">
        <v>0.85</v>
      </c>
      <c r="Q957">
        <v>0.15</v>
      </c>
    </row>
    <row r="958" spans="1:17" x14ac:dyDescent="0.2">
      <c r="A958" s="1" t="str">
        <f>HYPERLINK("http://www.twitter.com/Ugo_Roux/status/1106603519036084229", "1106603519036084229")</f>
        <v>1106603519036084229</v>
      </c>
      <c r="B958" t="s">
        <v>142</v>
      </c>
      <c r="C958" s="3">
        <v>43539.715428240743</v>
      </c>
      <c r="D958" s="5" t="s">
        <v>17</v>
      </c>
      <c r="E958">
        <v>5</v>
      </c>
      <c r="F958">
        <v>3</v>
      </c>
      <c r="G958">
        <v>0</v>
      </c>
      <c r="I958" t="s">
        <v>993</v>
      </c>
      <c r="J958" t="str">
        <f>HYPERLINK("http://pbs.twimg.com/media/D1tyB6jXcAMtVeb.jpg", "http://pbs.twimg.com/media/D1tyB6jXcAMtVeb.jpg")</f>
        <v>http://pbs.twimg.com/media/D1tyB6jXcAMtVeb.jpg</v>
      </c>
      <c r="N958">
        <v>0</v>
      </c>
      <c r="O958">
        <v>0</v>
      </c>
      <c r="P958">
        <v>1</v>
      </c>
      <c r="Q958">
        <v>0</v>
      </c>
    </row>
    <row r="959" spans="1:17" x14ac:dyDescent="0.2">
      <c r="A959" s="1" t="str">
        <f>HYPERLINK("http://www.twitter.com/Ugo_Roux/status/1106574023834718208", "1106574023834718208")</f>
        <v>1106574023834718208</v>
      </c>
      <c r="B959" t="s">
        <v>16</v>
      </c>
      <c r="C959" s="3">
        <v>43539.634039351848</v>
      </c>
      <c r="D959" s="3" t="s">
        <v>28</v>
      </c>
      <c r="E959">
        <v>9</v>
      </c>
      <c r="F959">
        <v>2</v>
      </c>
      <c r="G959">
        <v>0</v>
      </c>
      <c r="I959" t="s">
        <v>994</v>
      </c>
      <c r="N959">
        <v>0</v>
      </c>
      <c r="O959">
        <v>0</v>
      </c>
      <c r="P959">
        <v>1</v>
      </c>
      <c r="Q959">
        <v>0</v>
      </c>
    </row>
    <row r="960" spans="1:17" x14ac:dyDescent="0.2">
      <c r="A960" s="1" t="str">
        <f>HYPERLINK("http://www.twitter.com/Ugo_Roux/status/1106477942622830592", "1106477942622830592")</f>
        <v>1106477942622830592</v>
      </c>
      <c r="B960" t="s">
        <v>425</v>
      </c>
      <c r="C960" s="3">
        <v>43539.368900462963</v>
      </c>
      <c r="D960" s="5" t="s">
        <v>17</v>
      </c>
      <c r="E960">
        <v>0</v>
      </c>
      <c r="F960">
        <v>0</v>
      </c>
      <c r="G960">
        <v>0</v>
      </c>
      <c r="I960" t="s">
        <v>995</v>
      </c>
      <c r="J960" t="str">
        <f>HYPERLINK("http://pbs.twimg.com/media/D1r_oa-W0AE-JFT.jpg", "http://pbs.twimg.com/media/D1r_oa-W0AE-JFT.jpg")</f>
        <v>http://pbs.twimg.com/media/D1r_oa-W0AE-JFT.jpg</v>
      </c>
      <c r="N960">
        <v>0.52669999999999995</v>
      </c>
      <c r="O960">
        <v>0</v>
      </c>
      <c r="P960">
        <v>0.91800000000000004</v>
      </c>
      <c r="Q960">
        <v>8.2000000000000003E-2</v>
      </c>
    </row>
    <row r="961" spans="1:17" x14ac:dyDescent="0.2">
      <c r="A961" s="1" t="str">
        <f>HYPERLINK("http://www.twitter.com/Ugo_Roux/status/1106473649698156544", "1106473649698156544")</f>
        <v>1106473649698156544</v>
      </c>
      <c r="B961" t="s">
        <v>425</v>
      </c>
      <c r="C961" s="3">
        <v>43539.357060185182</v>
      </c>
      <c r="D961" s="5" t="s">
        <v>28</v>
      </c>
      <c r="E961">
        <v>0</v>
      </c>
      <c r="F961">
        <v>0</v>
      </c>
      <c r="G961">
        <v>0</v>
      </c>
      <c r="I961" t="s">
        <v>996</v>
      </c>
      <c r="J961" t="str">
        <f>HYPERLINK("http://pbs.twimg.com/media/D1r74ZxWkAA_k_w.jpg", "http://pbs.twimg.com/media/D1r74ZxWkAA_k_w.jpg")</f>
        <v>http://pbs.twimg.com/media/D1r74ZxWkAA_k_w.jpg</v>
      </c>
      <c r="K961" t="str">
        <f>HYPERLINK("http://pbs.twimg.com/media/D1r74Z5WsAEjk3u.jpg", "http://pbs.twimg.com/media/D1r74Z5WsAEjk3u.jpg")</f>
        <v>http://pbs.twimg.com/media/D1r74Z5WsAEjk3u.jpg</v>
      </c>
      <c r="N961">
        <v>0</v>
      </c>
      <c r="O961">
        <v>0</v>
      </c>
      <c r="P961">
        <v>1</v>
      </c>
      <c r="Q961">
        <v>0</v>
      </c>
    </row>
    <row r="962" spans="1:17" x14ac:dyDescent="0.2">
      <c r="A962" s="1" t="str">
        <f>HYPERLINK("http://www.twitter.com/Ugo_Roux/status/1105864352043810817", "1105864352043810817")</f>
        <v>1105864352043810817</v>
      </c>
      <c r="B962" t="s">
        <v>130</v>
      </c>
      <c r="C962" s="3">
        <v>43537.675717592603</v>
      </c>
      <c r="D962" s="5" t="s">
        <v>28</v>
      </c>
      <c r="E962">
        <v>0</v>
      </c>
      <c r="F962">
        <v>0</v>
      </c>
      <c r="G962">
        <v>0</v>
      </c>
      <c r="I962" t="s">
        <v>997</v>
      </c>
      <c r="J962" t="str">
        <f>HYPERLINK("http://pbs.twimg.com/media/D1jRvdTWwAEatvH.jpg", "http://pbs.twimg.com/media/D1jRvdTWwAEatvH.jpg")</f>
        <v>http://pbs.twimg.com/media/D1jRvdTWwAEatvH.jpg</v>
      </c>
      <c r="N962">
        <v>0</v>
      </c>
      <c r="O962">
        <v>0</v>
      </c>
      <c r="P962">
        <v>1</v>
      </c>
      <c r="Q962">
        <v>0</v>
      </c>
    </row>
    <row r="963" spans="1:17" x14ac:dyDescent="0.2">
      <c r="A963" s="1" t="str">
        <f>HYPERLINK("http://www.twitter.com/Ugo_Roux/status/1105858030036574212", "1105858030036574212")</f>
        <v>1105858030036574212</v>
      </c>
      <c r="B963" t="s">
        <v>471</v>
      </c>
      <c r="C963" s="3">
        <v>43537.658263888887</v>
      </c>
      <c r="D963" s="3" t="s">
        <v>28</v>
      </c>
      <c r="E963">
        <v>2</v>
      </c>
      <c r="F963">
        <v>1</v>
      </c>
      <c r="G963">
        <v>0</v>
      </c>
      <c r="I963" t="s">
        <v>998</v>
      </c>
      <c r="J963" t="str">
        <f>HYPERLINK("http://pbs.twimg.com/media/D1jL_FgW0AAgWve.jpg", "http://pbs.twimg.com/media/D1jL_FgW0AAgWve.jpg")</f>
        <v>http://pbs.twimg.com/media/D1jL_FgW0AAgWve.jpg</v>
      </c>
      <c r="N963">
        <v>0</v>
      </c>
      <c r="O963">
        <v>0</v>
      </c>
      <c r="P963">
        <v>1</v>
      </c>
      <c r="Q963">
        <v>0</v>
      </c>
    </row>
    <row r="964" spans="1:17" x14ac:dyDescent="0.2">
      <c r="A964" s="1" t="str">
        <f>HYPERLINK("http://www.twitter.com/Ugo_Roux/status/1105511641221869569", "1105511641221869569")</f>
        <v>1105511641221869569</v>
      </c>
      <c r="B964" t="s">
        <v>97</v>
      </c>
      <c r="C964" s="3">
        <v>43536.702418981477</v>
      </c>
      <c r="D964" s="5" t="s">
        <v>28</v>
      </c>
      <c r="E964">
        <v>0</v>
      </c>
      <c r="F964">
        <v>0</v>
      </c>
      <c r="G964">
        <v>0</v>
      </c>
      <c r="I964" t="s">
        <v>999</v>
      </c>
      <c r="J964" t="str">
        <f>HYPERLINK("http://pbs.twimg.com/media/D1eQ-m4XQAAkseP.jpg", "http://pbs.twimg.com/media/D1eQ-m4XQAAkseP.jpg")</f>
        <v>http://pbs.twimg.com/media/D1eQ-m4XQAAkseP.jpg</v>
      </c>
      <c r="N964">
        <v>0</v>
      </c>
      <c r="O964">
        <v>0</v>
      </c>
      <c r="P964">
        <v>1</v>
      </c>
      <c r="Q964">
        <v>0</v>
      </c>
    </row>
    <row r="965" spans="1:17" x14ac:dyDescent="0.2">
      <c r="A965" s="1" t="str">
        <f>HYPERLINK("http://www.twitter.com/Ugo_Roux/status/1105495502227939328", "1105495502227939328")</f>
        <v>1105495502227939328</v>
      </c>
      <c r="B965" t="s">
        <v>414</v>
      </c>
      <c r="C965" s="3">
        <v>43536.657881944448</v>
      </c>
      <c r="D965" s="5" t="s">
        <v>28</v>
      </c>
      <c r="E965">
        <v>0</v>
      </c>
      <c r="F965">
        <v>0</v>
      </c>
      <c r="G965">
        <v>0</v>
      </c>
      <c r="I965" t="s">
        <v>1000</v>
      </c>
      <c r="J965" t="str">
        <f>HYPERLINK("http://pbs.twimg.com/media/D1eCSdGWkAAki23.jpg", "http://pbs.twimg.com/media/D1eCSdGWkAAki23.jpg")</f>
        <v>http://pbs.twimg.com/media/D1eCSdGWkAAki23.jpg</v>
      </c>
      <c r="N965">
        <v>0.52669999999999995</v>
      </c>
      <c r="O965">
        <v>0</v>
      </c>
      <c r="P965">
        <v>0.92200000000000004</v>
      </c>
      <c r="Q965">
        <v>7.8E-2</v>
      </c>
    </row>
    <row r="966" spans="1:17" x14ac:dyDescent="0.2">
      <c r="A966" s="1" t="str">
        <f>HYPERLINK("http://www.twitter.com/Ugo_Roux/status/1105489166870163457", "1105489166870163457")</f>
        <v>1105489166870163457</v>
      </c>
      <c r="B966" t="s">
        <v>425</v>
      </c>
      <c r="C966" s="3">
        <v>43536.640405092592</v>
      </c>
      <c r="D966" s="5" t="s">
        <v>17</v>
      </c>
      <c r="E966">
        <v>0</v>
      </c>
      <c r="F966">
        <v>0</v>
      </c>
      <c r="G966">
        <v>0</v>
      </c>
      <c r="I966" t="s">
        <v>1001</v>
      </c>
      <c r="J966" t="str">
        <f>HYPERLINK("http://pbs.twimg.com/media/D1d8hFoW0AEhYqk.jpg", "http://pbs.twimg.com/media/D1d8hFoW0AEhYqk.jpg")</f>
        <v>http://pbs.twimg.com/media/D1d8hFoW0AEhYqk.jpg</v>
      </c>
      <c r="N966">
        <v>0</v>
      </c>
      <c r="O966">
        <v>0</v>
      </c>
      <c r="P966">
        <v>1</v>
      </c>
      <c r="Q966">
        <v>0</v>
      </c>
    </row>
    <row r="967" spans="1:17" x14ac:dyDescent="0.2">
      <c r="A967" s="1" t="str">
        <f>HYPERLINK("http://www.twitter.com/Ugo_Roux/status/1105359517699719168", "1105359517699719168")</f>
        <v>1105359517699719168</v>
      </c>
      <c r="B967" t="s">
        <v>285</v>
      </c>
      <c r="C967" s="3">
        <v>43536.282638888893</v>
      </c>
      <c r="D967" s="5" t="s">
        <v>28</v>
      </c>
      <c r="E967">
        <v>0</v>
      </c>
      <c r="F967">
        <v>0</v>
      </c>
      <c r="G967">
        <v>0</v>
      </c>
      <c r="I967" t="s">
        <v>1002</v>
      </c>
      <c r="J967" t="str">
        <f>HYPERLINK("http://pbs.twimg.com/media/D1cGjy-X0AE9zse.jpg", "http://pbs.twimg.com/media/D1cGjy-X0AE9zse.jpg")</f>
        <v>http://pbs.twimg.com/media/D1cGjy-X0AE9zse.jpg</v>
      </c>
      <c r="N967">
        <v>0</v>
      </c>
      <c r="O967">
        <v>0</v>
      </c>
      <c r="P967">
        <v>1</v>
      </c>
      <c r="Q967">
        <v>0</v>
      </c>
    </row>
    <row r="968" spans="1:17" x14ac:dyDescent="0.2">
      <c r="A968" s="1" t="str">
        <f>HYPERLINK("http://www.twitter.com/Ugo_Roux/status/1105103951937105920", "1105103951937105920")</f>
        <v>1105103951937105920</v>
      </c>
      <c r="B968" t="s">
        <v>142</v>
      </c>
      <c r="C968" s="3">
        <v>43535.577407407407</v>
      </c>
      <c r="D968" s="5" t="s">
        <v>28</v>
      </c>
      <c r="E968">
        <v>5</v>
      </c>
      <c r="F968">
        <v>4</v>
      </c>
      <c r="G968">
        <v>0</v>
      </c>
      <c r="I968" t="s">
        <v>1003</v>
      </c>
      <c r="J968" t="str">
        <f>HYPERLINK("http://pbs.twimg.com/media/D1YeLoTX4AENYDT.jpg", "http://pbs.twimg.com/media/D1YeLoTX4AENYDT.jpg")</f>
        <v>http://pbs.twimg.com/media/D1YeLoTX4AENYDT.jpg</v>
      </c>
      <c r="N968">
        <v>0</v>
      </c>
      <c r="O968">
        <v>0</v>
      </c>
      <c r="P968">
        <v>1</v>
      </c>
      <c r="Q968">
        <v>0</v>
      </c>
    </row>
    <row r="969" spans="1:17" x14ac:dyDescent="0.2">
      <c r="A969" s="1" t="str">
        <f>HYPERLINK("http://www.twitter.com/Ugo_Roux/status/1104301528712728576", "1104301528712728576")</f>
        <v>1104301528712728576</v>
      </c>
      <c r="B969" t="s">
        <v>414</v>
      </c>
      <c r="C969" s="3">
        <v>43533.36314814815</v>
      </c>
      <c r="D969" s="5" t="s">
        <v>28</v>
      </c>
      <c r="E969">
        <v>0</v>
      </c>
      <c r="F969">
        <v>0</v>
      </c>
      <c r="G969">
        <v>0</v>
      </c>
      <c r="I969" t="s">
        <v>1004</v>
      </c>
      <c r="J969" t="str">
        <f>HYPERLINK("http://pbs.twimg.com/media/D1NEX4pWkAAzGIC.jpg", "http://pbs.twimg.com/media/D1NEX4pWkAAzGIC.jpg")</f>
        <v>http://pbs.twimg.com/media/D1NEX4pWkAAzGIC.jpg</v>
      </c>
      <c r="N969">
        <v>0</v>
      </c>
      <c r="O969">
        <v>0</v>
      </c>
      <c r="P969">
        <v>1</v>
      </c>
      <c r="Q969">
        <v>0</v>
      </c>
    </row>
    <row r="970" spans="1:17" x14ac:dyDescent="0.2">
      <c r="A970" s="1" t="str">
        <f>HYPERLINK("http://www.twitter.com/Ugo_Roux/status/1103997714713448448", "1103997714713448448")</f>
        <v>1103997714713448448</v>
      </c>
      <c r="B970" t="s">
        <v>476</v>
      </c>
      <c r="C970" s="3">
        <v>43532.524780092594</v>
      </c>
      <c r="D970" s="5" t="s">
        <v>28</v>
      </c>
      <c r="E970">
        <v>1</v>
      </c>
      <c r="F970">
        <v>0</v>
      </c>
      <c r="G970">
        <v>0</v>
      </c>
      <c r="I970" t="s">
        <v>1005</v>
      </c>
      <c r="N970">
        <v>0</v>
      </c>
      <c r="O970">
        <v>0</v>
      </c>
      <c r="P970">
        <v>1</v>
      </c>
      <c r="Q970">
        <v>0</v>
      </c>
    </row>
    <row r="971" spans="1:17" x14ac:dyDescent="0.2">
      <c r="A971" s="1" t="str">
        <f>HYPERLINK("http://www.twitter.com/Ugo_Roux/status/1103958689445224454", "1103958689445224454")</f>
        <v>1103958689445224454</v>
      </c>
      <c r="B971" t="s">
        <v>425</v>
      </c>
      <c r="C971" s="3">
        <v>43532.417083333326</v>
      </c>
      <c r="D971" s="5" t="s">
        <v>17</v>
      </c>
      <c r="E971">
        <v>4</v>
      </c>
      <c r="F971">
        <v>1</v>
      </c>
      <c r="G971">
        <v>0</v>
      </c>
      <c r="I971" t="s">
        <v>1006</v>
      </c>
      <c r="J971" t="str">
        <f>HYPERLINK("http://pbs.twimg.com/media/D1ILunlWsAAF_JS.jpg", "http://pbs.twimg.com/media/D1ILunlWsAAF_JS.jpg")</f>
        <v>http://pbs.twimg.com/media/D1ILunlWsAAF_JS.jpg</v>
      </c>
      <c r="K971" t="str">
        <f>HYPERLINK("http://pbs.twimg.com/media/D1ILunmX0AIykpR.jpg", "http://pbs.twimg.com/media/D1ILunmX0AIykpR.jpg")</f>
        <v>http://pbs.twimg.com/media/D1ILunmX0AIykpR.jpg</v>
      </c>
      <c r="N971">
        <v>0.47670000000000001</v>
      </c>
      <c r="O971">
        <v>0</v>
      </c>
      <c r="P971">
        <v>0.90300000000000002</v>
      </c>
      <c r="Q971">
        <v>9.7000000000000003E-2</v>
      </c>
    </row>
    <row r="972" spans="1:17" x14ac:dyDescent="0.2">
      <c r="A972" s="1" t="str">
        <f>HYPERLINK("http://www.twitter.com/Ugo_Roux/status/1103717741092057090", "1103717741092057090")</f>
        <v>1103717741092057090</v>
      </c>
      <c r="B972" t="s">
        <v>456</v>
      </c>
      <c r="C972" s="3">
        <v>43531.752199074072</v>
      </c>
      <c r="D972" t="s">
        <v>28</v>
      </c>
      <c r="E972">
        <v>6</v>
      </c>
      <c r="F972">
        <v>1</v>
      </c>
      <c r="G972">
        <v>1</v>
      </c>
      <c r="I972" t="s">
        <v>1007</v>
      </c>
      <c r="J972" t="str">
        <f>HYPERLINK("http://pbs.twimg.com/media/D1EwXYjX0AIvPiA.jpg", "http://pbs.twimg.com/media/D1EwXYjX0AIvPiA.jpg")</f>
        <v>http://pbs.twimg.com/media/D1EwXYjX0AIvPiA.jpg</v>
      </c>
      <c r="N972">
        <v>0</v>
      </c>
      <c r="O972">
        <v>0</v>
      </c>
      <c r="P972">
        <v>1</v>
      </c>
      <c r="Q972">
        <v>0</v>
      </c>
    </row>
    <row r="973" spans="1:17" x14ac:dyDescent="0.2">
      <c r="A973" s="1" t="str">
        <f>HYPERLINK("http://www.twitter.com/Ugo_Roux/status/1103599828678914048", "1103599828678914048")</f>
        <v>1103599828678914048</v>
      </c>
      <c r="B973" t="s">
        <v>130</v>
      </c>
      <c r="C973" s="3">
        <v>43531.426817129628</v>
      </c>
      <c r="D973" s="5" t="s">
        <v>28</v>
      </c>
      <c r="E973">
        <v>0</v>
      </c>
      <c r="F973">
        <v>0</v>
      </c>
      <c r="G973">
        <v>0</v>
      </c>
      <c r="I973" t="s">
        <v>1008</v>
      </c>
      <c r="J973" t="str">
        <f>HYPERLINK("http://pbs.twimg.com/media/D1DEYFEWkAAXfkN.jpg", "http://pbs.twimg.com/media/D1DEYFEWkAAXfkN.jpg")</f>
        <v>http://pbs.twimg.com/media/D1DEYFEWkAAXfkN.jpg</v>
      </c>
      <c r="N973">
        <v>0</v>
      </c>
      <c r="O973">
        <v>0</v>
      </c>
      <c r="P973">
        <v>1</v>
      </c>
      <c r="Q973">
        <v>0</v>
      </c>
    </row>
    <row r="974" spans="1:17" x14ac:dyDescent="0.2">
      <c r="A974" s="1" t="str">
        <f>HYPERLINK("http://www.twitter.com/Ugo_Roux/status/1103358640097034241", "1103358640097034241")</f>
        <v>1103358640097034241</v>
      </c>
      <c r="B974" t="s">
        <v>142</v>
      </c>
      <c r="C974" s="3">
        <v>43530.761261574073</v>
      </c>
      <c r="D974" s="5" t="s">
        <v>17</v>
      </c>
      <c r="E974">
        <v>3</v>
      </c>
      <c r="F974">
        <v>0</v>
      </c>
      <c r="G974">
        <v>0</v>
      </c>
      <c r="I974" t="s">
        <v>1009</v>
      </c>
      <c r="J974" t="str">
        <f>HYPERLINK("http://pbs.twimg.com/media/D0_q0eSWwAMu7Lz.jpg", "http://pbs.twimg.com/media/D0_q0eSWwAMu7Lz.jpg")</f>
        <v>http://pbs.twimg.com/media/D0_q0eSWwAMu7Lz.jpg</v>
      </c>
      <c r="N974">
        <v>0</v>
      </c>
      <c r="O974">
        <v>0</v>
      </c>
      <c r="P974">
        <v>1</v>
      </c>
      <c r="Q974">
        <v>0</v>
      </c>
    </row>
    <row r="975" spans="1:17" x14ac:dyDescent="0.2">
      <c r="A975" s="1" t="str">
        <f>HYPERLINK("http://www.twitter.com/Ugo_Roux/status/1103331510994780160", "1103331510994780160")</f>
        <v>1103331510994780160</v>
      </c>
      <c r="B975" t="s">
        <v>425</v>
      </c>
      <c r="C975" s="3">
        <v>43530.686400462961</v>
      </c>
      <c r="D975" s="5" t="s">
        <v>17</v>
      </c>
      <c r="E975">
        <v>0</v>
      </c>
      <c r="F975">
        <v>0</v>
      </c>
      <c r="G975">
        <v>0</v>
      </c>
      <c r="I975" t="s">
        <v>1010</v>
      </c>
      <c r="N975">
        <v>0</v>
      </c>
      <c r="O975">
        <v>0</v>
      </c>
      <c r="P975">
        <v>1</v>
      </c>
      <c r="Q975">
        <v>0</v>
      </c>
    </row>
    <row r="976" spans="1:17" x14ac:dyDescent="0.2">
      <c r="A976" s="1" t="str">
        <f>HYPERLINK("http://www.twitter.com/Ugo_Roux/status/1102918420100722688", "1102918420100722688")</f>
        <v>1102918420100722688</v>
      </c>
      <c r="B976" t="s">
        <v>476</v>
      </c>
      <c r="C976" s="3">
        <v>43529.546493055554</v>
      </c>
      <c r="D976" s="5" t="s">
        <v>28</v>
      </c>
      <c r="E976">
        <v>0</v>
      </c>
      <c r="F976">
        <v>0</v>
      </c>
      <c r="G976">
        <v>0</v>
      </c>
      <c r="I976" t="s">
        <v>1011</v>
      </c>
      <c r="N976">
        <v>0</v>
      </c>
      <c r="O976">
        <v>0</v>
      </c>
      <c r="P976">
        <v>1</v>
      </c>
      <c r="Q976">
        <v>0</v>
      </c>
    </row>
    <row r="977" spans="1:17" x14ac:dyDescent="0.2">
      <c r="A977" s="1" t="str">
        <f>HYPERLINK("http://www.twitter.com/Ugo_Roux/status/1102157913035075585", "1102157913035075585")</f>
        <v>1102157913035075585</v>
      </c>
      <c r="B977" t="s">
        <v>142</v>
      </c>
      <c r="C977" s="3">
        <v>43527.447893518518</v>
      </c>
      <c r="D977" s="5" t="s">
        <v>17</v>
      </c>
      <c r="E977">
        <v>0</v>
      </c>
      <c r="F977">
        <v>0</v>
      </c>
      <c r="G977">
        <v>0</v>
      </c>
      <c r="I977" t="s">
        <v>1012</v>
      </c>
      <c r="J977" t="str">
        <f>HYPERLINK("http://pbs.twimg.com/media/D0umwi0WsAAUhNv.jpg", "http://pbs.twimg.com/media/D0umwi0WsAAUhNv.jpg")</f>
        <v>http://pbs.twimg.com/media/D0umwi0WsAAUhNv.jpg</v>
      </c>
      <c r="N977">
        <v>0</v>
      </c>
      <c r="O977">
        <v>0</v>
      </c>
      <c r="P977">
        <v>1</v>
      </c>
      <c r="Q977">
        <v>0</v>
      </c>
    </row>
    <row r="978" spans="1:17" x14ac:dyDescent="0.2">
      <c r="A978" s="1" t="str">
        <f>HYPERLINK("http://www.twitter.com/Ugo_Roux/status/1101873521989427201", "1101873521989427201")</f>
        <v>1101873521989427201</v>
      </c>
      <c r="B978" t="s">
        <v>425</v>
      </c>
      <c r="C978" s="3">
        <v>43526.663124999999</v>
      </c>
      <c r="D978" s="5" t="s">
        <v>17</v>
      </c>
      <c r="E978">
        <v>0</v>
      </c>
      <c r="F978">
        <v>0</v>
      </c>
      <c r="G978">
        <v>0</v>
      </c>
      <c r="I978" t="s">
        <v>1013</v>
      </c>
      <c r="N978">
        <v>-0.44040000000000001</v>
      </c>
      <c r="O978">
        <v>6.6000000000000003E-2</v>
      </c>
      <c r="P978">
        <v>0.93400000000000005</v>
      </c>
      <c r="Q978">
        <v>0</v>
      </c>
    </row>
    <row r="979" spans="1:17" x14ac:dyDescent="0.2">
      <c r="A979" s="1" t="str">
        <f>HYPERLINK("http://www.twitter.com/Ugo_Roux/status/1101871837875785728", "1101871837875785728")</f>
        <v>1101871837875785728</v>
      </c>
      <c r="B979" t="s">
        <v>142</v>
      </c>
      <c r="C979" s="3">
        <v>43526.658472222232</v>
      </c>
      <c r="D979" s="5" t="s">
        <v>17</v>
      </c>
      <c r="E979">
        <v>0</v>
      </c>
      <c r="F979">
        <v>1</v>
      </c>
      <c r="G979">
        <v>0</v>
      </c>
      <c r="I979" t="s">
        <v>1014</v>
      </c>
      <c r="N979">
        <v>0</v>
      </c>
      <c r="O979">
        <v>0</v>
      </c>
      <c r="P979">
        <v>1</v>
      </c>
      <c r="Q979">
        <v>0</v>
      </c>
    </row>
    <row r="980" spans="1:17" x14ac:dyDescent="0.2">
      <c r="A980" s="1" t="str">
        <f>HYPERLINK("http://www.twitter.com/Ugo_Roux/status/1101853122228563969", "1101853122228563969")</f>
        <v>1101853122228563969</v>
      </c>
      <c r="B980" t="s">
        <v>414</v>
      </c>
      <c r="C980" s="3">
        <v>43526.606828703712</v>
      </c>
      <c r="D980" s="5" t="s">
        <v>28</v>
      </c>
      <c r="E980">
        <v>0</v>
      </c>
      <c r="F980">
        <v>0</v>
      </c>
      <c r="G980">
        <v>0</v>
      </c>
      <c r="I980" t="s">
        <v>1015</v>
      </c>
      <c r="J980" t="str">
        <f>HYPERLINK("http://pbs.twimg.com/media/D0qRkbOX0AApqne.jpg", "http://pbs.twimg.com/media/D0qRkbOX0AApqne.jpg")</f>
        <v>http://pbs.twimg.com/media/D0qRkbOX0AApqne.jpg</v>
      </c>
      <c r="N980">
        <v>0</v>
      </c>
      <c r="O980">
        <v>0</v>
      </c>
      <c r="P980">
        <v>1</v>
      </c>
      <c r="Q980">
        <v>0</v>
      </c>
    </row>
    <row r="981" spans="1:17" x14ac:dyDescent="0.2">
      <c r="A981" s="1" t="str">
        <f>HYPERLINK("http://www.twitter.com/Ugo_Roux/status/1101799755838095360", "1101799755838095360")</f>
        <v>1101799755838095360</v>
      </c>
      <c r="B981" t="s">
        <v>425</v>
      </c>
      <c r="C981" s="3">
        <v>43526.459560185183</v>
      </c>
      <c r="D981" s="5" t="s">
        <v>28</v>
      </c>
      <c r="E981">
        <v>0</v>
      </c>
      <c r="F981">
        <v>0</v>
      </c>
      <c r="G981">
        <v>0</v>
      </c>
      <c r="I981" t="s">
        <v>1016</v>
      </c>
      <c r="J981" t="str">
        <f>HYPERLINK("http://pbs.twimg.com/media/D0pg2RKX4AED3Aq.png", "http://pbs.twimg.com/media/D0pg2RKX4AED3Aq.png")</f>
        <v>http://pbs.twimg.com/media/D0pg2RKX4AED3Aq.png</v>
      </c>
      <c r="N981">
        <v>0</v>
      </c>
      <c r="O981">
        <v>0</v>
      </c>
      <c r="P981">
        <v>1</v>
      </c>
      <c r="Q981">
        <v>0</v>
      </c>
    </row>
    <row r="982" spans="1:17" x14ac:dyDescent="0.2">
      <c r="A982" s="1" t="str">
        <f>HYPERLINK("http://www.twitter.com/Ugo_Roux/status/1101794576174587904", "1101794576174587904")</f>
        <v>1101794576174587904</v>
      </c>
      <c r="B982" t="s">
        <v>142</v>
      </c>
      <c r="C982" s="3">
        <v>43526.4452662037</v>
      </c>
      <c r="D982" s="5" t="s">
        <v>28</v>
      </c>
      <c r="E982">
        <v>10</v>
      </c>
      <c r="F982">
        <v>5</v>
      </c>
      <c r="G982">
        <v>1</v>
      </c>
      <c r="I982" t="s">
        <v>1017</v>
      </c>
      <c r="J982" t="str">
        <f>HYPERLINK("http://pbs.twimg.com/media/D0pcRZUWwAE7IFF.jpg", "http://pbs.twimg.com/media/D0pcRZUWwAE7IFF.jpg")</f>
        <v>http://pbs.twimg.com/media/D0pcRZUWwAE7IFF.jpg</v>
      </c>
      <c r="N982">
        <v>0.42149999999999999</v>
      </c>
      <c r="O982">
        <v>0</v>
      </c>
      <c r="P982">
        <v>0.90900000000000003</v>
      </c>
      <c r="Q982">
        <v>9.0999999999999998E-2</v>
      </c>
    </row>
    <row r="983" spans="1:17" x14ac:dyDescent="0.2">
      <c r="A983" s="1" t="str">
        <f>HYPERLINK("http://www.twitter.com/Ugo_Roux/status/1101760538240077824", "1101760538240077824")</f>
        <v>1101760538240077824</v>
      </c>
      <c r="B983" t="s">
        <v>414</v>
      </c>
      <c r="C983" s="3">
        <v>43526.351342592592</v>
      </c>
      <c r="D983" s="5" t="s">
        <v>28</v>
      </c>
      <c r="E983">
        <v>0</v>
      </c>
      <c r="F983">
        <v>0</v>
      </c>
      <c r="G983">
        <v>0</v>
      </c>
      <c r="I983" t="s">
        <v>1018</v>
      </c>
      <c r="J983" t="str">
        <f>HYPERLINK("http://pbs.twimg.com/media/D0o9XYXW0AE5pWC.jpg", "http://pbs.twimg.com/media/D0o9XYXW0AE5pWC.jpg")</f>
        <v>http://pbs.twimg.com/media/D0o9XYXW0AE5pWC.jpg</v>
      </c>
      <c r="N983">
        <v>0</v>
      </c>
      <c r="O983">
        <v>0</v>
      </c>
      <c r="P983">
        <v>1</v>
      </c>
      <c r="Q983">
        <v>0</v>
      </c>
    </row>
    <row r="984" spans="1:17" x14ac:dyDescent="0.2">
      <c r="A984" s="1" t="str">
        <f>HYPERLINK("http://www.twitter.com/Ugo_Roux/status/1101520040694874113", "1101520040694874113")</f>
        <v>1101520040694874113</v>
      </c>
      <c r="B984" t="s">
        <v>47</v>
      </c>
      <c r="C984" s="3">
        <v>43525.687696759262</v>
      </c>
      <c r="D984" s="5" t="s">
        <v>41</v>
      </c>
      <c r="E984">
        <v>2</v>
      </c>
      <c r="F984">
        <v>0</v>
      </c>
      <c r="G984">
        <v>0</v>
      </c>
      <c r="I984" t="s">
        <v>1019</v>
      </c>
      <c r="J984" t="str">
        <f>HYPERLINK("http://pbs.twimg.com/media/D0limSlXcAU0U6z.jpg", "http://pbs.twimg.com/media/D0limSlXcAU0U6z.jpg")</f>
        <v>http://pbs.twimg.com/media/D0limSlXcAU0U6z.jpg</v>
      </c>
      <c r="K984" t="str">
        <f>HYPERLINK("http://pbs.twimg.com/media/D0linAwWwAAi3JG.jpg", "http://pbs.twimg.com/media/D0linAwWwAAi3JG.jpg")</f>
        <v>http://pbs.twimg.com/media/D0linAwWwAAi3JG.jpg</v>
      </c>
      <c r="L984" t="str">
        <f>HYPERLINK("http://pbs.twimg.com/media/D0linkgX0AAXcZC.jpg", "http://pbs.twimg.com/media/D0linkgX0AAXcZC.jpg")</f>
        <v>http://pbs.twimg.com/media/D0linkgX0AAXcZC.jpg</v>
      </c>
      <c r="M984" t="str">
        <f>HYPERLINK("http://pbs.twimg.com/media/D0lioJpXQAEugpC.jpg", "http://pbs.twimg.com/media/D0lioJpXQAEugpC.jpg")</f>
        <v>http://pbs.twimg.com/media/D0lioJpXQAEugpC.jpg</v>
      </c>
      <c r="N984">
        <v>0</v>
      </c>
      <c r="O984">
        <v>0</v>
      </c>
      <c r="P984">
        <v>1</v>
      </c>
      <c r="Q984">
        <v>0</v>
      </c>
    </row>
    <row r="985" spans="1:17" x14ac:dyDescent="0.2">
      <c r="A985" s="1" t="str">
        <f>HYPERLINK("http://www.twitter.com/Ugo_Roux/status/1101516583090958336", "1101516583090958336")</f>
        <v>1101516583090958336</v>
      </c>
      <c r="B985" t="s">
        <v>142</v>
      </c>
      <c r="C985" s="3">
        <v>43525.678159722222</v>
      </c>
      <c r="D985" s="5" t="s">
        <v>17</v>
      </c>
      <c r="E985">
        <v>2</v>
      </c>
      <c r="F985">
        <v>5</v>
      </c>
      <c r="G985">
        <v>0</v>
      </c>
      <c r="I985" t="s">
        <v>1020</v>
      </c>
      <c r="J985" t="str">
        <f>HYPERLINK("http://pbs.twimg.com/media/D0lffXXWoAAtnYy.jpg", "http://pbs.twimg.com/media/D0lffXXWoAAtnYy.jpg")</f>
        <v>http://pbs.twimg.com/media/D0lffXXWoAAtnYy.jpg</v>
      </c>
      <c r="N985">
        <v>0</v>
      </c>
      <c r="O985">
        <v>0</v>
      </c>
      <c r="P985">
        <v>1</v>
      </c>
      <c r="Q985">
        <v>0</v>
      </c>
    </row>
    <row r="986" spans="1:17" x14ac:dyDescent="0.2">
      <c r="A986" s="1" t="str">
        <f>HYPERLINK("http://www.twitter.com/Ugo_Roux/status/1101463017470996480", "1101463017470996480")</f>
        <v>1101463017470996480</v>
      </c>
      <c r="B986" t="s">
        <v>414</v>
      </c>
      <c r="C986" s="3">
        <v>43525.530347222222</v>
      </c>
      <c r="D986" s="5" t="s">
        <v>28</v>
      </c>
      <c r="E986">
        <v>0</v>
      </c>
      <c r="F986">
        <v>0</v>
      </c>
      <c r="G986">
        <v>0</v>
      </c>
      <c r="I986" t="s">
        <v>1021</v>
      </c>
      <c r="J986" t="str">
        <f>HYPERLINK("http://pbs.twimg.com/media/D0kurv0WwAUF_y6.jpg", "http://pbs.twimg.com/media/D0kurv0WwAUF_y6.jpg")</f>
        <v>http://pbs.twimg.com/media/D0kurv0WwAUF_y6.jpg</v>
      </c>
      <c r="N986">
        <v>0.52669999999999995</v>
      </c>
      <c r="O986">
        <v>5.1999999999999998E-2</v>
      </c>
      <c r="P986">
        <v>0.82699999999999996</v>
      </c>
      <c r="Q986">
        <v>0.121</v>
      </c>
    </row>
    <row r="987" spans="1:17" x14ac:dyDescent="0.2">
      <c r="A987" s="1" t="str">
        <f>HYPERLINK("http://www.twitter.com/Ugo_Roux/status/1101443153926725633", "1101443153926725633")</f>
        <v>1101443153926725633</v>
      </c>
      <c r="B987" t="s">
        <v>425</v>
      </c>
      <c r="C987" s="3">
        <v>43525.475532407407</v>
      </c>
      <c r="D987" s="5" t="s">
        <v>28</v>
      </c>
      <c r="E987">
        <v>1</v>
      </c>
      <c r="F987">
        <v>0</v>
      </c>
      <c r="G987">
        <v>0</v>
      </c>
      <c r="I987" t="s">
        <v>1022</v>
      </c>
      <c r="J987" t="str">
        <f>HYPERLINK("http://pbs.twimg.com/media/D0kckRKXcAAQSQ3.jpg", "http://pbs.twimg.com/media/D0kckRKXcAAQSQ3.jpg")</f>
        <v>http://pbs.twimg.com/media/D0kckRKXcAAQSQ3.jpg</v>
      </c>
      <c r="N987">
        <v>0</v>
      </c>
      <c r="O987">
        <v>0</v>
      </c>
      <c r="P987">
        <v>1</v>
      </c>
      <c r="Q987">
        <v>0</v>
      </c>
    </row>
    <row r="988" spans="1:17" x14ac:dyDescent="0.2">
      <c r="A988" s="1" t="str">
        <f>HYPERLINK("http://www.twitter.com/Ugo_Roux/status/1101152724614348800", "1101152724614348800")</f>
        <v>1101152724614348800</v>
      </c>
      <c r="B988" t="s">
        <v>456</v>
      </c>
      <c r="C988" s="3">
        <v>43524.674097222232</v>
      </c>
      <c r="D988" t="s">
        <v>28</v>
      </c>
      <c r="E988">
        <v>6</v>
      </c>
      <c r="F988">
        <v>4</v>
      </c>
      <c r="G988">
        <v>0</v>
      </c>
      <c r="I988" t="s">
        <v>1023</v>
      </c>
      <c r="J988" t="str">
        <f>HYPERLINK("http://pbs.twimg.com/media/D0gUMshXgAAWY_9.jpg", "http://pbs.twimg.com/media/D0gUMshXgAAWY_9.jpg")</f>
        <v>http://pbs.twimg.com/media/D0gUMshXgAAWY_9.jpg</v>
      </c>
      <c r="K988" t="str">
        <f>HYPERLINK("http://pbs.twimg.com/media/D0gUMs3X4AAPzFt.jpg", "http://pbs.twimg.com/media/D0gUMs3X4AAPzFt.jpg")</f>
        <v>http://pbs.twimg.com/media/D0gUMs3X4AAPzFt.jpg</v>
      </c>
      <c r="L988" t="str">
        <f>HYPERLINK("http://pbs.twimg.com/media/D0gUMssXcAAc_WF.jpg", "http://pbs.twimg.com/media/D0gUMssXcAAc_WF.jpg")</f>
        <v>http://pbs.twimg.com/media/D0gUMssXcAAc_WF.jpg</v>
      </c>
      <c r="N988">
        <v>0</v>
      </c>
      <c r="O988">
        <v>0</v>
      </c>
      <c r="P988">
        <v>1</v>
      </c>
      <c r="Q988">
        <v>0</v>
      </c>
    </row>
    <row r="989" spans="1:17" x14ac:dyDescent="0.2">
      <c r="A989" s="1" t="str">
        <f>HYPERLINK("http://www.twitter.com/Ugo_Roux/status/1101142900333834248", "1101142900333834248")</f>
        <v>1101142900333834248</v>
      </c>
      <c r="B989" t="s">
        <v>142</v>
      </c>
      <c r="C989" s="3">
        <v>43524.646990740737</v>
      </c>
      <c r="D989" s="5" t="s">
        <v>17</v>
      </c>
      <c r="E989">
        <v>2</v>
      </c>
      <c r="F989">
        <v>0</v>
      </c>
      <c r="G989">
        <v>0</v>
      </c>
      <c r="I989" t="s">
        <v>1024</v>
      </c>
      <c r="N989">
        <v>0</v>
      </c>
      <c r="O989">
        <v>0</v>
      </c>
      <c r="P989">
        <v>1</v>
      </c>
      <c r="Q989">
        <v>0</v>
      </c>
    </row>
    <row r="990" spans="1:17" x14ac:dyDescent="0.2">
      <c r="A990" s="1" t="str">
        <f>HYPERLINK("http://www.twitter.com/Ugo_Roux/status/1101117925082185728", "1101117925082185728")</f>
        <v>1101117925082185728</v>
      </c>
      <c r="B990" t="s">
        <v>142</v>
      </c>
      <c r="C990" s="3">
        <v>43524.578067129631</v>
      </c>
      <c r="D990" s="5" t="s">
        <v>28</v>
      </c>
      <c r="E990">
        <v>1</v>
      </c>
      <c r="F990">
        <v>0</v>
      </c>
      <c r="G990">
        <v>0</v>
      </c>
      <c r="I990" t="s">
        <v>1025</v>
      </c>
      <c r="J990" t="str">
        <f>HYPERLINK("http://pbs.twimg.com/media/D0f05paW0AUxpbW.jpg", "http://pbs.twimg.com/media/D0f05paW0AUxpbW.jpg")</f>
        <v>http://pbs.twimg.com/media/D0f05paW0AUxpbW.jpg</v>
      </c>
      <c r="N990">
        <v>0</v>
      </c>
      <c r="O990">
        <v>0</v>
      </c>
      <c r="P990">
        <v>1</v>
      </c>
      <c r="Q990">
        <v>0</v>
      </c>
    </row>
    <row r="991" spans="1:17" x14ac:dyDescent="0.2">
      <c r="A991" s="1" t="str">
        <f>HYPERLINK("http://www.twitter.com/Ugo_Roux/status/1101104300577775616", "1101104300577775616")</f>
        <v>1101104300577775616</v>
      </c>
      <c r="B991" t="s">
        <v>476</v>
      </c>
      <c r="C991" s="3">
        <v>43524.54047453704</v>
      </c>
      <c r="D991" s="5" t="s">
        <v>17</v>
      </c>
      <c r="E991">
        <v>1</v>
      </c>
      <c r="F991">
        <v>0</v>
      </c>
      <c r="G991">
        <v>0</v>
      </c>
      <c r="I991" t="s">
        <v>1026</v>
      </c>
      <c r="J991" t="str">
        <f>HYPERLINK("http://pbs.twimg.com/media/D0fogfvXcAI3Wmq.jpg", "http://pbs.twimg.com/media/D0fogfvXcAI3Wmq.jpg")</f>
        <v>http://pbs.twimg.com/media/D0fogfvXcAI3Wmq.jpg</v>
      </c>
      <c r="N991">
        <v>0</v>
      </c>
      <c r="O991">
        <v>0</v>
      </c>
      <c r="P991">
        <v>1</v>
      </c>
      <c r="Q991">
        <v>0</v>
      </c>
    </row>
    <row r="992" spans="1:17" x14ac:dyDescent="0.2">
      <c r="A992" s="1" t="str">
        <f>HYPERLINK("http://www.twitter.com/Ugo_Roux/status/1100710270123544576", "1100710270123544576")</f>
        <v>1100710270123544576</v>
      </c>
      <c r="B992" t="s">
        <v>414</v>
      </c>
      <c r="C992" s="3">
        <v>43523.453159722223</v>
      </c>
      <c r="D992" s="5" t="s">
        <v>28</v>
      </c>
      <c r="E992">
        <v>0</v>
      </c>
      <c r="F992">
        <v>0</v>
      </c>
      <c r="G992">
        <v>0</v>
      </c>
      <c r="I992" t="s">
        <v>1027</v>
      </c>
      <c r="J992" t="str">
        <f>HYPERLINK("http://pbs.twimg.com/media/D0aCIlUWoAEyXad.jpg", "http://pbs.twimg.com/media/D0aCIlUWoAEyXad.jpg")</f>
        <v>http://pbs.twimg.com/media/D0aCIlUWoAEyXad.jpg</v>
      </c>
      <c r="N992">
        <v>0.47670000000000001</v>
      </c>
      <c r="O992">
        <v>0</v>
      </c>
      <c r="P992">
        <v>0.871</v>
      </c>
      <c r="Q992">
        <v>0.129</v>
      </c>
    </row>
    <row r="993" spans="1:17" x14ac:dyDescent="0.2">
      <c r="A993" s="1" t="str">
        <f>HYPERLINK("http://www.twitter.com/Ugo_Roux/status/1100323296984420352", "1100323296984420352")</f>
        <v>1100323296984420352</v>
      </c>
      <c r="B993" t="s">
        <v>471</v>
      </c>
      <c r="C993" s="3">
        <v>43522.385312500002</v>
      </c>
      <c r="D993" s="3" t="s">
        <v>28</v>
      </c>
      <c r="E993">
        <v>0</v>
      </c>
      <c r="F993">
        <v>0</v>
      </c>
      <c r="G993">
        <v>0</v>
      </c>
      <c r="I993" t="s">
        <v>1028</v>
      </c>
      <c r="J993" t="str">
        <f>HYPERLINK("http://pbs.twimg.com/media/D0UiCZUWsAAWc6g.jpg", "http://pbs.twimg.com/media/D0UiCZUWsAAWc6g.jpg")</f>
        <v>http://pbs.twimg.com/media/D0UiCZUWsAAWc6g.jpg</v>
      </c>
      <c r="N993">
        <v>0</v>
      </c>
      <c r="O993">
        <v>0</v>
      </c>
      <c r="P993">
        <v>1</v>
      </c>
      <c r="Q993">
        <v>0</v>
      </c>
    </row>
    <row r="994" spans="1:17" x14ac:dyDescent="0.2">
      <c r="A994" s="1" t="str">
        <f>HYPERLINK("http://www.twitter.com/Ugo_Roux/status/1099326167885250562", "1099326167885250562")</f>
        <v>1099326167885250562</v>
      </c>
      <c r="B994" t="s">
        <v>130</v>
      </c>
      <c r="C994" s="3">
        <v>43519.633761574078</v>
      </c>
      <c r="D994" s="5" t="s">
        <v>24</v>
      </c>
      <c r="E994">
        <v>1</v>
      </c>
      <c r="F994">
        <v>0</v>
      </c>
      <c r="G994">
        <v>0</v>
      </c>
      <c r="I994" t="s">
        <v>1029</v>
      </c>
      <c r="J994" t="str">
        <f>HYPERLINK("http://pbs.twimg.com/media/D0GXT79W0AAflQe.jpg", "http://pbs.twimg.com/media/D0GXT79W0AAflQe.jpg")</f>
        <v>http://pbs.twimg.com/media/D0GXT79W0AAflQe.jpg</v>
      </c>
      <c r="N994">
        <v>0</v>
      </c>
      <c r="O994">
        <v>0</v>
      </c>
      <c r="P994">
        <v>1</v>
      </c>
      <c r="Q994">
        <v>0</v>
      </c>
    </row>
    <row r="995" spans="1:17" x14ac:dyDescent="0.2">
      <c r="A995" s="1" t="str">
        <f>HYPERLINK("http://www.twitter.com/Ugo_Roux/status/1099232566559866880", "1099232566559866880")</f>
        <v>1099232566559866880</v>
      </c>
      <c r="B995" t="s">
        <v>476</v>
      </c>
      <c r="C995" s="3">
        <v>43519.375474537039</v>
      </c>
      <c r="D995" s="5" t="s">
        <v>28</v>
      </c>
      <c r="E995">
        <v>0</v>
      </c>
      <c r="F995">
        <v>0</v>
      </c>
      <c r="G995">
        <v>0</v>
      </c>
      <c r="I995" t="s">
        <v>1030</v>
      </c>
      <c r="J995" t="str">
        <f>HYPERLINK("http://pbs.twimg.com/media/D0FB2ipXgAEqsuo.jpg", "http://pbs.twimg.com/media/D0FB2ipXgAEqsuo.jpg")</f>
        <v>http://pbs.twimg.com/media/D0FB2ipXgAEqsuo.jpg</v>
      </c>
      <c r="N995">
        <v>0</v>
      </c>
      <c r="O995">
        <v>0</v>
      </c>
      <c r="P995">
        <v>1</v>
      </c>
      <c r="Q995">
        <v>0</v>
      </c>
    </row>
    <row r="996" spans="1:17" x14ac:dyDescent="0.2">
      <c r="A996" s="1" t="str">
        <f>HYPERLINK("http://www.twitter.com/Ugo_Roux/status/1098904877256884224", "1098904877256884224")</f>
        <v>1098904877256884224</v>
      </c>
      <c r="B996" t="s">
        <v>414</v>
      </c>
      <c r="C996" s="3">
        <v>43518.471226851849</v>
      </c>
      <c r="D996" s="5" t="s">
        <v>28</v>
      </c>
      <c r="E996">
        <v>0</v>
      </c>
      <c r="F996">
        <v>0</v>
      </c>
      <c r="G996">
        <v>1</v>
      </c>
      <c r="I996" t="s">
        <v>1031</v>
      </c>
      <c r="J996" t="str">
        <f>HYPERLINK("http://pbs.twimg.com/media/D0AYJVvWsAAzbLs.jpg", "http://pbs.twimg.com/media/D0AYJVvWsAAzbLs.jpg")</f>
        <v>http://pbs.twimg.com/media/D0AYJVvWsAAzbLs.jpg</v>
      </c>
      <c r="N996">
        <v>0</v>
      </c>
      <c r="O996">
        <v>0</v>
      </c>
      <c r="P996">
        <v>1</v>
      </c>
      <c r="Q996">
        <v>0</v>
      </c>
    </row>
    <row r="997" spans="1:17" x14ac:dyDescent="0.2">
      <c r="A997" s="1" t="str">
        <f>HYPERLINK("http://www.twitter.com/Ugo_Roux/status/1098845854608359424", "1098845854608359424")</f>
        <v>1098845854608359424</v>
      </c>
      <c r="B997" t="s">
        <v>285</v>
      </c>
      <c r="C997" s="3">
        <v>43518.308344907397</v>
      </c>
      <c r="D997" s="5" t="s">
        <v>17</v>
      </c>
      <c r="E997">
        <v>1</v>
      </c>
      <c r="F997">
        <v>0</v>
      </c>
      <c r="G997">
        <v>0</v>
      </c>
      <c r="I997" t="s">
        <v>1032</v>
      </c>
      <c r="J997" t="str">
        <f>HYPERLINK("http://pbs.twimg.com/media/Dz_ic-OW0AAU7Og.jpg", "http://pbs.twimg.com/media/Dz_ic-OW0AAU7Og.jpg")</f>
        <v>http://pbs.twimg.com/media/Dz_ic-OW0AAU7Og.jpg</v>
      </c>
      <c r="K997" t="str">
        <f>HYPERLINK("http://pbs.twimg.com/media/Dz_ic9OXQAEsxZi.jpg", "http://pbs.twimg.com/media/Dz_ic9OXQAEsxZi.jpg")</f>
        <v>http://pbs.twimg.com/media/Dz_ic9OXQAEsxZi.jpg</v>
      </c>
      <c r="N997">
        <v>0</v>
      </c>
      <c r="O997">
        <v>0</v>
      </c>
      <c r="P997">
        <v>1</v>
      </c>
      <c r="Q997">
        <v>0</v>
      </c>
    </row>
    <row r="998" spans="1:17" x14ac:dyDescent="0.2">
      <c r="A998" s="1" t="str">
        <f>HYPERLINK("http://www.twitter.com/Ugo_Roux/status/1098488151981637632", "1098488151981637632")</f>
        <v>1098488151981637632</v>
      </c>
      <c r="B998" t="s">
        <v>142</v>
      </c>
      <c r="C998" s="3">
        <v>43517.321284722217</v>
      </c>
      <c r="D998" s="5" t="s">
        <v>28</v>
      </c>
      <c r="E998">
        <v>1</v>
      </c>
      <c r="F998">
        <v>0</v>
      </c>
      <c r="G998">
        <v>0</v>
      </c>
      <c r="I998" t="s">
        <v>1033</v>
      </c>
      <c r="N998">
        <v>0</v>
      </c>
      <c r="O998">
        <v>0</v>
      </c>
      <c r="P998">
        <v>1</v>
      </c>
      <c r="Q998">
        <v>0</v>
      </c>
    </row>
    <row r="999" spans="1:17" x14ac:dyDescent="0.2">
      <c r="A999" s="1" t="str">
        <f>HYPERLINK("http://www.twitter.com/Ugo_Roux/status/1098277313735729152", "1098277313735729152")</f>
        <v>1098277313735729152</v>
      </c>
      <c r="B999" t="s">
        <v>142</v>
      </c>
      <c r="C999" s="3">
        <v>43516.739479166667</v>
      </c>
      <c r="D999" s="5" t="s">
        <v>17</v>
      </c>
      <c r="E999">
        <v>3</v>
      </c>
      <c r="F999">
        <v>2</v>
      </c>
      <c r="G999">
        <v>0</v>
      </c>
      <c r="I999" t="s">
        <v>1034</v>
      </c>
      <c r="J999" t="str">
        <f>HYPERLINK("http://pbs.twimg.com/media/Dz3dZHhXcAAJh3i.jpg", "http://pbs.twimg.com/media/Dz3dZHhXcAAJh3i.jpg")</f>
        <v>http://pbs.twimg.com/media/Dz3dZHhXcAAJh3i.jpg</v>
      </c>
      <c r="N999">
        <v>0</v>
      </c>
      <c r="O999">
        <v>0</v>
      </c>
      <c r="P999">
        <v>1</v>
      </c>
      <c r="Q999">
        <v>0</v>
      </c>
    </row>
    <row r="1000" spans="1:17" x14ac:dyDescent="0.2">
      <c r="A1000" s="1" t="str">
        <f>HYPERLINK("http://www.twitter.com/Ugo_Roux/status/1098170494468190208", "1098170494468190208")</f>
        <v>1098170494468190208</v>
      </c>
      <c r="B1000" t="s">
        <v>97</v>
      </c>
      <c r="C1000" s="3">
        <v>43516.444710648153</v>
      </c>
      <c r="D1000" s="5" t="s">
        <v>41</v>
      </c>
      <c r="E1000">
        <v>0</v>
      </c>
      <c r="F1000">
        <v>0</v>
      </c>
      <c r="G1000">
        <v>0</v>
      </c>
      <c r="I1000" t="s">
        <v>1035</v>
      </c>
      <c r="J1000" t="str">
        <f>HYPERLINK("http://pbs.twimg.com/media/Dz18Pp1WsAAT0eC.jpg", "http://pbs.twimg.com/media/Dz18Pp1WsAAT0eC.jpg")</f>
        <v>http://pbs.twimg.com/media/Dz18Pp1WsAAT0eC.jpg</v>
      </c>
      <c r="N1000">
        <v>0</v>
      </c>
      <c r="O1000">
        <v>0</v>
      </c>
      <c r="P1000">
        <v>1</v>
      </c>
      <c r="Q1000">
        <v>0</v>
      </c>
    </row>
    <row r="1001" spans="1:17" x14ac:dyDescent="0.2">
      <c r="A1001" s="1" t="str">
        <f>HYPERLINK("http://www.twitter.com/Ugo_Roux/status/1098122808184451072", "1098122808184451072")</f>
        <v>1098122808184451072</v>
      </c>
      <c r="B1001" t="s">
        <v>285</v>
      </c>
      <c r="C1001" s="3">
        <v>43516.313125000001</v>
      </c>
      <c r="D1001" s="5" t="s">
        <v>17</v>
      </c>
      <c r="E1001">
        <v>0</v>
      </c>
      <c r="F1001">
        <v>0</v>
      </c>
      <c r="G1001">
        <v>0</v>
      </c>
      <c r="I1001" t="s">
        <v>1036</v>
      </c>
      <c r="J1001" t="str">
        <f>HYPERLINK("http://pbs.twimg.com/media/Dz1Q2rSXgAAOQwb.jpg", "http://pbs.twimg.com/media/Dz1Q2rSXgAAOQwb.jpg")</f>
        <v>http://pbs.twimg.com/media/Dz1Q2rSXgAAOQwb.jpg</v>
      </c>
      <c r="N1001">
        <v>0</v>
      </c>
      <c r="O1001">
        <v>0</v>
      </c>
      <c r="P1001">
        <v>1</v>
      </c>
      <c r="Q1001">
        <v>0</v>
      </c>
    </row>
    <row r="1002" spans="1:17" x14ac:dyDescent="0.2">
      <c r="A1002" s="1" t="str">
        <f>HYPERLINK("http://www.twitter.com/Ugo_Roux/status/1097865563706220546", "1097865563706220546")</f>
        <v>1097865563706220546</v>
      </c>
      <c r="B1002" t="s">
        <v>47</v>
      </c>
      <c r="C1002" s="3">
        <v>43515.603263888886</v>
      </c>
      <c r="D1002" s="5" t="s">
        <v>460</v>
      </c>
      <c r="E1002">
        <v>5</v>
      </c>
      <c r="F1002">
        <v>2</v>
      </c>
      <c r="G1002">
        <v>0</v>
      </c>
      <c r="I1002" t="s">
        <v>1037</v>
      </c>
      <c r="N1002">
        <v>0</v>
      </c>
      <c r="O1002">
        <v>0</v>
      </c>
      <c r="P1002">
        <v>1</v>
      </c>
      <c r="Q1002">
        <v>0</v>
      </c>
    </row>
    <row r="1003" spans="1:17" x14ac:dyDescent="0.2">
      <c r="A1003" s="1" t="str">
        <f>HYPERLINK("http://www.twitter.com/Ugo_Roux/status/1097852450940301317", "1097852450940301317")</f>
        <v>1097852450940301317</v>
      </c>
      <c r="B1003" t="s">
        <v>130</v>
      </c>
      <c r="C1003" s="3">
        <v>43515.567083333342</v>
      </c>
      <c r="D1003" s="5" t="s">
        <v>24</v>
      </c>
      <c r="E1003">
        <v>0</v>
      </c>
      <c r="F1003">
        <v>0</v>
      </c>
      <c r="G1003">
        <v>0</v>
      </c>
      <c r="I1003" t="s">
        <v>1038</v>
      </c>
      <c r="J1003" t="str">
        <f>HYPERLINK("http://pbs.twimg.com/media/DzxaHDcX0AASrA3.jpg", "http://pbs.twimg.com/media/DzxaHDcX0AASrA3.jpg")</f>
        <v>http://pbs.twimg.com/media/DzxaHDcX0AASrA3.jpg</v>
      </c>
      <c r="N1003">
        <v>0</v>
      </c>
      <c r="O1003">
        <v>0</v>
      </c>
      <c r="P1003">
        <v>1</v>
      </c>
      <c r="Q1003">
        <v>0</v>
      </c>
    </row>
    <row r="1004" spans="1:17" x14ac:dyDescent="0.2">
      <c r="A1004" s="1" t="str">
        <f>HYPERLINK("http://www.twitter.com/Ugo_Roux/status/1097760369349718016", "1097760369349718016")</f>
        <v>1097760369349718016</v>
      </c>
      <c r="B1004" t="s">
        <v>285</v>
      </c>
      <c r="C1004" s="3">
        <v>43515.312986111108</v>
      </c>
      <c r="D1004" s="5" t="s">
        <v>28</v>
      </c>
      <c r="E1004">
        <v>1</v>
      </c>
      <c r="F1004">
        <v>1</v>
      </c>
      <c r="G1004">
        <v>0</v>
      </c>
      <c r="I1004" t="s">
        <v>1039</v>
      </c>
      <c r="J1004" t="str">
        <f>HYPERLINK("http://pbs.twimg.com/media/DzwHND9WsAILmlX.jpg", "http://pbs.twimg.com/media/DzwHND9WsAILmlX.jpg")</f>
        <v>http://pbs.twimg.com/media/DzwHND9WsAILmlX.jpg</v>
      </c>
      <c r="N1004">
        <v>0</v>
      </c>
      <c r="O1004">
        <v>0</v>
      </c>
      <c r="P1004">
        <v>1</v>
      </c>
      <c r="Q1004">
        <v>0</v>
      </c>
    </row>
    <row r="1005" spans="1:17" x14ac:dyDescent="0.2">
      <c r="A1005" s="1" t="str">
        <f>HYPERLINK("http://www.twitter.com/Ugo_Roux/status/1097163956052021253", "1097163956052021253")</f>
        <v>1097163956052021253</v>
      </c>
      <c r="B1005" t="s">
        <v>142</v>
      </c>
      <c r="C1005" s="3">
        <v>43513.667199074072</v>
      </c>
      <c r="D1005" s="5" t="s">
        <v>17</v>
      </c>
      <c r="E1005">
        <v>1</v>
      </c>
      <c r="F1005">
        <v>2</v>
      </c>
      <c r="G1005">
        <v>0</v>
      </c>
      <c r="I1005" t="s">
        <v>1040</v>
      </c>
      <c r="N1005">
        <v>0</v>
      </c>
      <c r="O1005">
        <v>0</v>
      </c>
      <c r="P1005">
        <v>1</v>
      </c>
      <c r="Q1005">
        <v>0</v>
      </c>
    </row>
    <row r="1006" spans="1:17" x14ac:dyDescent="0.2">
      <c r="A1006" s="1" t="str">
        <f>HYPERLINK("http://www.twitter.com/Ugo_Roux/status/1096710780756488193", "1096710780756488193")</f>
        <v>1096710780756488193</v>
      </c>
      <c r="B1006" t="s">
        <v>47</v>
      </c>
      <c r="C1006" s="3">
        <v>43512.416666666657</v>
      </c>
      <c r="D1006" s="5" t="s">
        <v>17</v>
      </c>
      <c r="E1006">
        <v>1</v>
      </c>
      <c r="F1006">
        <v>0</v>
      </c>
      <c r="G1006">
        <v>0</v>
      </c>
      <c r="I1006" t="s">
        <v>1041</v>
      </c>
      <c r="N1006">
        <v>0</v>
      </c>
      <c r="O1006">
        <v>0</v>
      </c>
      <c r="P1006">
        <v>1</v>
      </c>
      <c r="Q1006">
        <v>0</v>
      </c>
    </row>
    <row r="1007" spans="1:17" x14ac:dyDescent="0.2">
      <c r="A1007" s="1" t="str">
        <f>HYPERLINK("http://www.twitter.com/Ugo_Roux/status/1096456659340267520", "1096456659340267520")</f>
        <v>1096456659340267520</v>
      </c>
      <c r="B1007" t="s">
        <v>142</v>
      </c>
      <c r="C1007" s="3">
        <v>43511.715428240743</v>
      </c>
      <c r="D1007" s="5" t="s">
        <v>17</v>
      </c>
      <c r="E1007">
        <v>3</v>
      </c>
      <c r="F1007">
        <v>0</v>
      </c>
      <c r="G1007">
        <v>0</v>
      </c>
      <c r="I1007" t="s">
        <v>1042</v>
      </c>
      <c r="J1007" t="str">
        <f>HYPERLINK("http://pbs.twimg.com/media/Dzdlgp5XcAYYV2f.jpg", "http://pbs.twimg.com/media/Dzdlgp5XcAYYV2f.jpg")</f>
        <v>http://pbs.twimg.com/media/Dzdlgp5XcAYYV2f.jpg</v>
      </c>
      <c r="N1007">
        <v>-0.75739999999999996</v>
      </c>
      <c r="O1007">
        <v>0.155</v>
      </c>
      <c r="P1007">
        <v>0.80700000000000005</v>
      </c>
      <c r="Q1007">
        <v>3.7999999999999999E-2</v>
      </c>
    </row>
    <row r="1008" spans="1:17" x14ac:dyDescent="0.2">
      <c r="A1008" s="1" t="str">
        <f>HYPERLINK("http://www.twitter.com/Ugo_Roux/status/1096414916788080640", "1096414916788080640")</f>
        <v>1096414916788080640</v>
      </c>
      <c r="B1008" t="s">
        <v>370</v>
      </c>
      <c r="C1008" s="3">
        <v>43511.600243055553</v>
      </c>
      <c r="D1008" s="5" t="s">
        <v>28</v>
      </c>
      <c r="E1008">
        <v>0</v>
      </c>
      <c r="F1008">
        <v>0</v>
      </c>
      <c r="G1008">
        <v>0</v>
      </c>
      <c r="I1008" t="s">
        <v>1043</v>
      </c>
      <c r="J1008" t="str">
        <f>HYPERLINK("http://pbs.twimg.com/media/Dzc_jlQUUAAufaU.jpg", "http://pbs.twimg.com/media/Dzc_jlQUUAAufaU.jpg")</f>
        <v>http://pbs.twimg.com/media/Dzc_jlQUUAAufaU.jpg</v>
      </c>
      <c r="N1008">
        <v>0</v>
      </c>
      <c r="O1008">
        <v>0</v>
      </c>
      <c r="P1008">
        <v>1</v>
      </c>
      <c r="Q1008">
        <v>0</v>
      </c>
    </row>
    <row r="1009" spans="1:17" x14ac:dyDescent="0.2">
      <c r="A1009" s="1" t="str">
        <f>HYPERLINK("http://www.twitter.com/Ugo_Roux/status/1096353660207026176", "1096353660207026176")</f>
        <v>1096353660207026176</v>
      </c>
      <c r="B1009" t="s">
        <v>414</v>
      </c>
      <c r="C1009" s="3">
        <v>43511.431203703702</v>
      </c>
      <c r="D1009" s="5" t="s">
        <v>28</v>
      </c>
      <c r="E1009">
        <v>0</v>
      </c>
      <c r="F1009">
        <v>0</v>
      </c>
      <c r="G1009">
        <v>0</v>
      </c>
      <c r="I1009" t="s">
        <v>1044</v>
      </c>
      <c r="J1009" t="str">
        <f>HYPERLINK("http://pbs.twimg.com/media/DzcH1pdWwAABscI.jpg", "http://pbs.twimg.com/media/DzcH1pdWwAABscI.jpg")</f>
        <v>http://pbs.twimg.com/media/DzcH1pdWwAABscI.jpg</v>
      </c>
      <c r="N1009">
        <v>0</v>
      </c>
      <c r="O1009">
        <v>0</v>
      </c>
      <c r="P1009">
        <v>1</v>
      </c>
      <c r="Q1009">
        <v>0</v>
      </c>
    </row>
    <row r="1010" spans="1:17" x14ac:dyDescent="0.2">
      <c r="A1010" s="1" t="str">
        <f>HYPERLINK("http://www.twitter.com/Ugo_Roux/status/1096315168521441282", "1096315168521441282")</f>
        <v>1096315168521441282</v>
      </c>
      <c r="B1010" t="s">
        <v>285</v>
      </c>
      <c r="C1010" s="3">
        <v>43511.324988425928</v>
      </c>
      <c r="D1010" s="5" t="s">
        <v>17</v>
      </c>
      <c r="E1010">
        <v>0</v>
      </c>
      <c r="F1010">
        <v>0</v>
      </c>
      <c r="G1010">
        <v>0</v>
      </c>
      <c r="I1010" t="s">
        <v>1045</v>
      </c>
      <c r="N1010">
        <v>0</v>
      </c>
      <c r="O1010">
        <v>0</v>
      </c>
      <c r="P1010">
        <v>1</v>
      </c>
      <c r="Q1010">
        <v>0</v>
      </c>
    </row>
    <row r="1011" spans="1:17" x14ac:dyDescent="0.2">
      <c r="A1011" s="1" t="str">
        <f>HYPERLINK("http://www.twitter.com/Ugo_Roux/status/1095614299941363712", "1095614299941363712")</f>
        <v>1095614299941363712</v>
      </c>
      <c r="B1011" t="s">
        <v>425</v>
      </c>
      <c r="C1011" s="3">
        <v>43509.390960648147</v>
      </c>
      <c r="D1011" s="5" t="s">
        <v>17</v>
      </c>
      <c r="E1011">
        <v>0</v>
      </c>
      <c r="F1011">
        <v>0</v>
      </c>
      <c r="G1011">
        <v>0</v>
      </c>
      <c r="I1011" t="s">
        <v>1046</v>
      </c>
      <c r="J1011" t="str">
        <f>HYPERLINK("http://pbs.twimg.com/media/DzRnEPpWsAAeme5.jpg", "http://pbs.twimg.com/media/DzRnEPpWsAAeme5.jpg")</f>
        <v>http://pbs.twimg.com/media/DzRnEPpWsAAeme5.jpg</v>
      </c>
      <c r="N1011">
        <v>0</v>
      </c>
      <c r="O1011">
        <v>0</v>
      </c>
      <c r="P1011">
        <v>1</v>
      </c>
      <c r="Q1011">
        <v>0</v>
      </c>
    </row>
    <row r="1012" spans="1:17" x14ac:dyDescent="0.2">
      <c r="A1012" s="1" t="str">
        <f>HYPERLINK("http://www.twitter.com/Ugo_Roux/status/1095326630829064192", "1095326630829064192")</f>
        <v>1095326630829064192</v>
      </c>
      <c r="B1012" t="s">
        <v>414</v>
      </c>
      <c r="C1012" s="3">
        <v>43508.597141203703</v>
      </c>
      <c r="D1012" s="5" t="s">
        <v>28</v>
      </c>
      <c r="E1012">
        <v>2</v>
      </c>
      <c r="F1012">
        <v>1</v>
      </c>
      <c r="G1012">
        <v>1</v>
      </c>
      <c r="I1012" t="s">
        <v>1047</v>
      </c>
      <c r="J1012" t="str">
        <f>HYPERLINK("http://pbs.twimg.com/media/DzNhv48VsAAunLN.jpg", "http://pbs.twimg.com/media/DzNhv48VsAAunLN.jpg")</f>
        <v>http://pbs.twimg.com/media/DzNhv48VsAAunLN.jpg</v>
      </c>
      <c r="N1012">
        <v>0</v>
      </c>
      <c r="O1012">
        <v>0</v>
      </c>
      <c r="P1012">
        <v>1</v>
      </c>
      <c r="Q1012">
        <v>0</v>
      </c>
    </row>
    <row r="1013" spans="1:17" x14ac:dyDescent="0.2">
      <c r="A1013" s="1" t="str">
        <f>HYPERLINK("http://www.twitter.com/Ugo_Roux/status/1095222422263996416", "1095222422263996416")</f>
        <v>1095222422263996416</v>
      </c>
      <c r="B1013" t="s">
        <v>285</v>
      </c>
      <c r="C1013" s="3">
        <v>43508.309583333343</v>
      </c>
      <c r="D1013" s="5" t="s">
        <v>17</v>
      </c>
      <c r="E1013">
        <v>1</v>
      </c>
      <c r="F1013">
        <v>1</v>
      </c>
      <c r="G1013">
        <v>0</v>
      </c>
      <c r="I1013" t="s">
        <v>1048</v>
      </c>
      <c r="J1013" t="str">
        <f>HYPERLINK("http://pbs.twimg.com/media/DzMC60nWwAADnC4.jpg", "http://pbs.twimg.com/media/DzMC60nWwAADnC4.jpg")</f>
        <v>http://pbs.twimg.com/media/DzMC60nWwAADnC4.jpg</v>
      </c>
      <c r="N1013">
        <v>0</v>
      </c>
      <c r="O1013">
        <v>0</v>
      </c>
      <c r="P1013">
        <v>1</v>
      </c>
      <c r="Q1013">
        <v>0</v>
      </c>
    </row>
    <row r="1014" spans="1:17" x14ac:dyDescent="0.2">
      <c r="A1014" s="1" t="str">
        <f>HYPERLINK("http://www.twitter.com/Ugo_Roux/status/1093912678844821505", "1093912678844821505")</f>
        <v>1093912678844821505</v>
      </c>
      <c r="B1014" t="s">
        <v>16</v>
      </c>
      <c r="C1014" s="3">
        <v>43504.695381944453</v>
      </c>
      <c r="D1014" s="3" t="s">
        <v>17</v>
      </c>
      <c r="E1014">
        <v>5</v>
      </c>
      <c r="F1014">
        <v>1</v>
      </c>
      <c r="G1014">
        <v>1</v>
      </c>
      <c r="I1014" t="s">
        <v>1049</v>
      </c>
      <c r="J1014" t="str">
        <f>HYPERLINK("http://pbs.twimg.com/media/Dy5VpNEW0AAJfac.jpg", "http://pbs.twimg.com/media/Dy5VpNEW0AAJfac.jpg")</f>
        <v>http://pbs.twimg.com/media/Dy5VpNEW0AAJfac.jpg</v>
      </c>
      <c r="N1014">
        <v>0</v>
      </c>
      <c r="O1014">
        <v>0</v>
      </c>
      <c r="P1014">
        <v>1</v>
      </c>
      <c r="Q1014">
        <v>0</v>
      </c>
    </row>
    <row r="1015" spans="1:17" x14ac:dyDescent="0.2">
      <c r="A1015" s="1" t="str">
        <f>HYPERLINK("http://www.twitter.com/Ugo_Roux/status/1093911467093561344", "1093911467093561344")</f>
        <v>1093911467093561344</v>
      </c>
      <c r="B1015" t="s">
        <v>425</v>
      </c>
      <c r="C1015" s="3">
        <v>43504.692037037043</v>
      </c>
      <c r="D1015" s="5" t="s">
        <v>17</v>
      </c>
      <c r="E1015">
        <v>0</v>
      </c>
      <c r="F1015">
        <v>0</v>
      </c>
      <c r="G1015">
        <v>1</v>
      </c>
      <c r="I1015" t="s">
        <v>1050</v>
      </c>
      <c r="N1015">
        <v>0</v>
      </c>
      <c r="O1015">
        <v>0</v>
      </c>
      <c r="P1015">
        <v>1</v>
      </c>
      <c r="Q1015">
        <v>0</v>
      </c>
    </row>
    <row r="1016" spans="1:17" x14ac:dyDescent="0.2">
      <c r="A1016" s="1" t="str">
        <f>HYPERLINK("http://www.twitter.com/Ugo_Roux/status/1093897574954749952", "1093897574954749952")</f>
        <v>1093897574954749952</v>
      </c>
      <c r="B1016" t="s">
        <v>476</v>
      </c>
      <c r="C1016" s="3">
        <v>43504.653703703712</v>
      </c>
      <c r="D1016" s="5" t="s">
        <v>28</v>
      </c>
      <c r="E1016">
        <v>1</v>
      </c>
      <c r="F1016">
        <v>0</v>
      </c>
      <c r="G1016">
        <v>0</v>
      </c>
      <c r="I1016" t="s">
        <v>1051</v>
      </c>
      <c r="J1016" t="str">
        <f>HYPERLINK("http://pbs.twimg.com/media/Dy5NrpKXQAAwMwu.jpg", "http://pbs.twimg.com/media/Dy5NrpKXQAAwMwu.jpg")</f>
        <v>http://pbs.twimg.com/media/Dy5NrpKXQAAwMwu.jpg</v>
      </c>
      <c r="N1016">
        <v>0</v>
      </c>
      <c r="O1016">
        <v>0</v>
      </c>
      <c r="P1016">
        <v>1</v>
      </c>
      <c r="Q1016">
        <v>0</v>
      </c>
    </row>
    <row r="1017" spans="1:17" x14ac:dyDescent="0.2">
      <c r="A1017" s="1" t="str">
        <f>HYPERLINK("http://www.twitter.com/Ugo_Roux/status/1093183301853028352", "1093183301853028352")</f>
        <v>1093183301853028352</v>
      </c>
      <c r="B1017" t="s">
        <v>414</v>
      </c>
      <c r="C1017" s="3">
        <v>43502.682685185187</v>
      </c>
      <c r="D1017" s="5" t="s">
        <v>28</v>
      </c>
      <c r="E1017">
        <v>0</v>
      </c>
      <c r="F1017">
        <v>1</v>
      </c>
      <c r="G1017">
        <v>0</v>
      </c>
      <c r="I1017" t="s">
        <v>1052</v>
      </c>
      <c r="J1017" t="str">
        <f>HYPERLINK("http://pbs.twimg.com/media/DyvEajJXgAADUrM.jpg", "http://pbs.twimg.com/media/DyvEajJXgAADUrM.jpg")</f>
        <v>http://pbs.twimg.com/media/DyvEajJXgAADUrM.jpg</v>
      </c>
      <c r="N1017">
        <v>0</v>
      </c>
      <c r="O1017">
        <v>0</v>
      </c>
      <c r="P1017">
        <v>1</v>
      </c>
      <c r="Q1017">
        <v>0</v>
      </c>
    </row>
    <row r="1018" spans="1:17" x14ac:dyDescent="0.2">
      <c r="A1018" s="1" t="str">
        <f>HYPERLINK("http://www.twitter.com/Ugo_Roux/status/1093054402288644096", "1093054402288644096")</f>
        <v>1093054402288644096</v>
      </c>
      <c r="B1018" t="s">
        <v>414</v>
      </c>
      <c r="C1018" s="3">
        <v>43502.326990740738</v>
      </c>
      <c r="D1018" s="5" t="s">
        <v>28</v>
      </c>
      <c r="E1018">
        <v>1</v>
      </c>
      <c r="F1018">
        <v>1</v>
      </c>
      <c r="G1018">
        <v>0</v>
      </c>
      <c r="I1018" t="s">
        <v>1053</v>
      </c>
      <c r="N1018">
        <v>0</v>
      </c>
      <c r="O1018">
        <v>0</v>
      </c>
      <c r="P1018">
        <v>1</v>
      </c>
      <c r="Q1018">
        <v>0</v>
      </c>
    </row>
    <row r="1019" spans="1:17" x14ac:dyDescent="0.2">
      <c r="A1019" s="1" t="str">
        <f>HYPERLINK("http://www.twitter.com/Ugo_Roux/status/1093048158001786885", "1093048158001786885")</f>
        <v>1093048158001786885</v>
      </c>
      <c r="B1019" t="s">
        <v>285</v>
      </c>
      <c r="C1019" s="3">
        <v>43502.309756944444</v>
      </c>
      <c r="D1019" s="5" t="s">
        <v>17</v>
      </c>
      <c r="E1019">
        <v>0</v>
      </c>
      <c r="F1019">
        <v>0</v>
      </c>
      <c r="G1019">
        <v>0</v>
      </c>
      <c r="I1019" t="s">
        <v>1054</v>
      </c>
      <c r="N1019">
        <v>0</v>
      </c>
      <c r="O1019">
        <v>0</v>
      </c>
      <c r="P1019">
        <v>1</v>
      </c>
      <c r="Q1019">
        <v>0</v>
      </c>
    </row>
    <row r="1020" spans="1:17" x14ac:dyDescent="0.2">
      <c r="A1020" s="1" t="str">
        <f>HYPERLINK("http://www.twitter.com/Ugo_Roux/status/1092724638298374144", "1092724638298374144")</f>
        <v>1092724638298374144</v>
      </c>
      <c r="B1020" t="s">
        <v>425</v>
      </c>
      <c r="C1020" s="3">
        <v>43501.417013888888</v>
      </c>
      <c r="D1020" s="5" t="s">
        <v>17</v>
      </c>
      <c r="E1020">
        <v>0</v>
      </c>
      <c r="F1020">
        <v>0</v>
      </c>
      <c r="G1020">
        <v>0</v>
      </c>
      <c r="I1020" t="s">
        <v>1055</v>
      </c>
      <c r="N1020">
        <v>0</v>
      </c>
      <c r="O1020">
        <v>0</v>
      </c>
      <c r="P1020">
        <v>1</v>
      </c>
      <c r="Q1020">
        <v>0</v>
      </c>
    </row>
    <row r="1021" spans="1:17" x14ac:dyDescent="0.2">
      <c r="A1021" s="1" t="str">
        <f>HYPERLINK("http://www.twitter.com/Ugo_Roux/status/1092683546261667840", "1092683546261667840")</f>
        <v>1092683546261667840</v>
      </c>
      <c r="B1021" t="s">
        <v>285</v>
      </c>
      <c r="C1021" s="3">
        <v>43501.303622685176</v>
      </c>
      <c r="D1021" s="5" t="s">
        <v>17</v>
      </c>
      <c r="E1021">
        <v>0</v>
      </c>
      <c r="F1021">
        <v>0</v>
      </c>
      <c r="G1021">
        <v>0</v>
      </c>
      <c r="I1021" t="s">
        <v>1056</v>
      </c>
      <c r="N1021">
        <v>0</v>
      </c>
      <c r="O1021">
        <v>0</v>
      </c>
      <c r="P1021">
        <v>1</v>
      </c>
      <c r="Q1021">
        <v>0</v>
      </c>
    </row>
    <row r="1022" spans="1:17" x14ac:dyDescent="0.2">
      <c r="A1022" s="1" t="str">
        <f>HYPERLINK("http://www.twitter.com/Ugo_Roux/status/1091613669019041792", "1091613669019041792")</f>
        <v>1091613669019041792</v>
      </c>
      <c r="B1022" t="s">
        <v>425</v>
      </c>
      <c r="C1022" s="3">
        <v>43498.351319444453</v>
      </c>
      <c r="D1022" s="5" t="s">
        <v>17</v>
      </c>
      <c r="E1022">
        <v>0</v>
      </c>
      <c r="F1022">
        <v>0</v>
      </c>
      <c r="G1022">
        <v>0</v>
      </c>
      <c r="I1022" t="s">
        <v>1057</v>
      </c>
      <c r="J1022" t="str">
        <f>HYPERLINK("http://pbs.twimg.com/media/DyYwq8pWoAAQ0-X.jpg", "http://pbs.twimg.com/media/DyYwq8pWoAAQ0-X.jpg")</f>
        <v>http://pbs.twimg.com/media/DyYwq8pWoAAQ0-X.jpg</v>
      </c>
      <c r="N1022">
        <v>0.27139999999999997</v>
      </c>
      <c r="O1022">
        <v>0</v>
      </c>
      <c r="P1022">
        <v>0.91700000000000004</v>
      </c>
      <c r="Q1022">
        <v>8.3000000000000004E-2</v>
      </c>
    </row>
    <row r="1023" spans="1:17" x14ac:dyDescent="0.2">
      <c r="A1023" s="1" t="str">
        <f>HYPERLINK("http://www.twitter.com/Ugo_Roux/status/1091359347521830913", "1091359347521830913")</f>
        <v>1091359347521830913</v>
      </c>
      <c r="B1023" t="s">
        <v>47</v>
      </c>
      <c r="C1023" s="3">
        <v>43497.649525462963</v>
      </c>
      <c r="D1023" s="5" t="s">
        <v>41</v>
      </c>
      <c r="E1023">
        <v>5</v>
      </c>
      <c r="F1023">
        <v>0</v>
      </c>
      <c r="G1023">
        <v>0</v>
      </c>
      <c r="I1023" t="s">
        <v>1058</v>
      </c>
      <c r="J1023" t="str">
        <f>HYPERLINK("http://pbs.twimg.com/media/DyVJiLLWkAIpzhO.jpg", "http://pbs.twimg.com/media/DyVJiLLWkAIpzhO.jpg")</f>
        <v>http://pbs.twimg.com/media/DyVJiLLWkAIpzhO.jpg</v>
      </c>
      <c r="N1023">
        <v>0</v>
      </c>
      <c r="O1023">
        <v>0</v>
      </c>
      <c r="P1023">
        <v>1</v>
      </c>
      <c r="Q1023">
        <v>0</v>
      </c>
    </row>
    <row r="1024" spans="1:17" x14ac:dyDescent="0.2">
      <c r="A1024" s="1" t="str">
        <f>HYPERLINK("http://www.twitter.com/Ugo_Roux/status/1091355322097299461", "1091355322097299461")</f>
        <v>1091355322097299461</v>
      </c>
      <c r="B1024" t="s">
        <v>16</v>
      </c>
      <c r="C1024" s="3">
        <v>43497.638414351852</v>
      </c>
      <c r="D1024" s="3" t="s">
        <v>41</v>
      </c>
      <c r="E1024">
        <v>2</v>
      </c>
      <c r="F1024">
        <v>1</v>
      </c>
      <c r="G1024">
        <v>0</v>
      </c>
      <c r="I1024" t="s">
        <v>1059</v>
      </c>
      <c r="J1024" t="str">
        <f>HYPERLINK("http://pbs.twimg.com/media/DyVF4BZXcAIeyz-.jpg", "http://pbs.twimg.com/media/DyVF4BZXcAIeyz-.jpg")</f>
        <v>http://pbs.twimg.com/media/DyVF4BZXcAIeyz-.jpg</v>
      </c>
      <c r="N1024">
        <v>7.7200000000000005E-2</v>
      </c>
      <c r="O1024">
        <v>0</v>
      </c>
      <c r="P1024">
        <v>0.96099999999999997</v>
      </c>
      <c r="Q1024">
        <v>3.9E-2</v>
      </c>
    </row>
    <row r="1025" spans="1:17" x14ac:dyDescent="0.2">
      <c r="A1025" s="1" t="str">
        <f>HYPERLINK("http://www.twitter.com/Ugo_Roux/status/1091292475174596608", "1091292475174596608")</f>
        <v>1091292475174596608</v>
      </c>
      <c r="B1025" t="s">
        <v>425</v>
      </c>
      <c r="C1025" s="3">
        <v>43497.464988425927</v>
      </c>
      <c r="D1025" s="5" t="s">
        <v>17</v>
      </c>
      <c r="E1025">
        <v>0</v>
      </c>
      <c r="F1025">
        <v>0</v>
      </c>
      <c r="G1025">
        <v>0</v>
      </c>
      <c r="I1025" t="s">
        <v>1060</v>
      </c>
      <c r="N1025">
        <v>0</v>
      </c>
      <c r="O1025">
        <v>0</v>
      </c>
      <c r="P1025">
        <v>1</v>
      </c>
      <c r="Q1025">
        <v>0</v>
      </c>
    </row>
    <row r="1026" spans="1:17" x14ac:dyDescent="0.2">
      <c r="A1026" s="1" t="str">
        <f>HYPERLINK("http://www.twitter.com/Ugo_Roux/status/1091275900166029312", "1091275900166029312")</f>
        <v>1091275900166029312</v>
      </c>
      <c r="B1026" t="s">
        <v>425</v>
      </c>
      <c r="C1026" s="3">
        <v>43497.419259259259</v>
      </c>
      <c r="D1026" s="5" t="s">
        <v>17</v>
      </c>
      <c r="E1026">
        <v>2</v>
      </c>
      <c r="F1026">
        <v>1</v>
      </c>
      <c r="G1026">
        <v>0</v>
      </c>
      <c r="I1026" t="s">
        <v>1061</v>
      </c>
      <c r="J1026" t="str">
        <f>HYPERLINK("http://pbs.twimg.com/media/DyT7AOBWwAA2xHZ.jpg", "http://pbs.twimg.com/media/DyT7AOBWwAA2xHZ.jpg")</f>
        <v>http://pbs.twimg.com/media/DyT7AOBWwAA2xHZ.jpg</v>
      </c>
      <c r="N1026">
        <v>0</v>
      </c>
      <c r="O1026">
        <v>0</v>
      </c>
      <c r="P1026">
        <v>1</v>
      </c>
      <c r="Q1026">
        <v>0</v>
      </c>
    </row>
    <row r="1027" spans="1:17" x14ac:dyDescent="0.2">
      <c r="A1027" s="1" t="str">
        <f>HYPERLINK("http://www.twitter.com/Ugo_Roux/status/1091063568643043329", "1091063568643043329")</f>
        <v>1091063568643043329</v>
      </c>
      <c r="B1027" t="s">
        <v>16</v>
      </c>
      <c r="C1027" s="3">
        <v>43496.833333333343</v>
      </c>
      <c r="D1027" s="3" t="s">
        <v>41</v>
      </c>
      <c r="E1027">
        <v>7</v>
      </c>
      <c r="F1027">
        <v>3</v>
      </c>
      <c r="G1027">
        <v>0</v>
      </c>
      <c r="I1027" t="s">
        <v>1062</v>
      </c>
      <c r="J1027" t="str">
        <f>HYPERLINK("http://pbs.twimg.com/media/DyJ2cgHX4AMfAJQ.jpg", "http://pbs.twimg.com/media/DyJ2cgHX4AMfAJQ.jpg")</f>
        <v>http://pbs.twimg.com/media/DyJ2cgHX4AMfAJQ.jpg</v>
      </c>
      <c r="N1027">
        <v>0</v>
      </c>
      <c r="O1027">
        <v>0</v>
      </c>
      <c r="P1027">
        <v>1</v>
      </c>
      <c r="Q1027">
        <v>0</v>
      </c>
    </row>
    <row r="1028" spans="1:17" x14ac:dyDescent="0.2">
      <c r="A1028" s="1" t="str">
        <f>HYPERLINK("http://www.twitter.com/Ugo_Roux/status/1090977938957205505", "1090977938957205505")</f>
        <v>1090977938957205505</v>
      </c>
      <c r="B1028" t="s">
        <v>142</v>
      </c>
      <c r="C1028" s="3">
        <v>43496.597037037027</v>
      </c>
      <c r="D1028" s="5" t="s">
        <v>28</v>
      </c>
      <c r="E1028">
        <v>0</v>
      </c>
      <c r="F1028">
        <v>0</v>
      </c>
      <c r="G1028">
        <v>0</v>
      </c>
      <c r="I1028" t="s">
        <v>1063</v>
      </c>
      <c r="N1028">
        <v>0</v>
      </c>
      <c r="O1028">
        <v>0</v>
      </c>
      <c r="P1028">
        <v>1</v>
      </c>
      <c r="Q1028">
        <v>0</v>
      </c>
    </row>
    <row r="1029" spans="1:17" x14ac:dyDescent="0.2">
      <c r="A1029" s="1" t="str">
        <f>HYPERLINK("http://www.twitter.com/Ugo_Roux/status/1090900553993990145", "1090900553993990145")</f>
        <v>1090900553993990145</v>
      </c>
      <c r="B1029" t="s">
        <v>16</v>
      </c>
      <c r="C1029" s="3">
        <v>43496.38349537037</v>
      </c>
      <c r="D1029" s="3" t="s">
        <v>41</v>
      </c>
      <c r="E1029">
        <v>2</v>
      </c>
      <c r="F1029">
        <v>0</v>
      </c>
      <c r="G1029">
        <v>0</v>
      </c>
      <c r="I1029" t="s">
        <v>1064</v>
      </c>
      <c r="J1029" t="str">
        <f>HYPERLINK("http://pbs.twimg.com/media/DyOoRGGX4AAS9FP.jpg", "http://pbs.twimg.com/media/DyOoRGGX4AAS9FP.jpg")</f>
        <v>http://pbs.twimg.com/media/DyOoRGGX4AAS9FP.jpg</v>
      </c>
      <c r="N1029">
        <v>7.7200000000000005E-2</v>
      </c>
      <c r="O1029">
        <v>0</v>
      </c>
      <c r="P1029">
        <v>0.96799999999999997</v>
      </c>
      <c r="Q1029">
        <v>3.2000000000000001E-2</v>
      </c>
    </row>
    <row r="1030" spans="1:17" x14ac:dyDescent="0.2">
      <c r="A1030" s="1" t="str">
        <f>HYPERLINK("http://www.twitter.com/Ugo_Roux/status/1090652087225122816", "1090652087225122816")</f>
        <v>1090652087225122816</v>
      </c>
      <c r="B1030" t="s">
        <v>130</v>
      </c>
      <c r="C1030" s="3">
        <v>43495.697858796288</v>
      </c>
      <c r="D1030" s="5" t="s">
        <v>41</v>
      </c>
      <c r="E1030">
        <v>0</v>
      </c>
      <c r="F1030">
        <v>0</v>
      </c>
      <c r="G1030">
        <v>0</v>
      </c>
      <c r="I1030" t="s">
        <v>1065</v>
      </c>
      <c r="J1030" t="str">
        <f>HYPERLINK("http://pbs.twimg.com/media/DyLGRq_X4AYloZ3.jpg", "http://pbs.twimg.com/media/DyLGRq_X4AYloZ3.jpg")</f>
        <v>http://pbs.twimg.com/media/DyLGRq_X4AYloZ3.jpg</v>
      </c>
      <c r="N1030">
        <v>0</v>
      </c>
      <c r="O1030">
        <v>0</v>
      </c>
      <c r="P1030">
        <v>1</v>
      </c>
      <c r="Q1030">
        <v>0</v>
      </c>
    </row>
    <row r="1031" spans="1:17" x14ac:dyDescent="0.2">
      <c r="A1031" s="1" t="str">
        <f>HYPERLINK("http://www.twitter.com/Ugo_Roux/status/1090282486876307456", "1090282486876307456")</f>
        <v>1090282486876307456</v>
      </c>
      <c r="B1031" t="s">
        <v>285</v>
      </c>
      <c r="C1031" s="3">
        <v>43494.677951388891</v>
      </c>
      <c r="D1031" s="5" t="s">
        <v>28</v>
      </c>
      <c r="E1031">
        <v>1</v>
      </c>
      <c r="F1031">
        <v>0</v>
      </c>
      <c r="G1031">
        <v>0</v>
      </c>
      <c r="I1031" t="s">
        <v>1066</v>
      </c>
      <c r="J1031" t="str">
        <f>HYPERLINK("http://pbs.twimg.com/media/DyF2I2vXQAQpHyn.jpg", "http://pbs.twimg.com/media/DyF2I2vXQAQpHyn.jpg")</f>
        <v>http://pbs.twimg.com/media/DyF2I2vXQAQpHyn.jpg</v>
      </c>
      <c r="N1031">
        <v>0</v>
      </c>
      <c r="O1031">
        <v>0</v>
      </c>
      <c r="P1031">
        <v>1</v>
      </c>
      <c r="Q1031">
        <v>0</v>
      </c>
    </row>
    <row r="1032" spans="1:17" x14ac:dyDescent="0.2">
      <c r="A1032" s="1" t="str">
        <f>HYPERLINK("http://www.twitter.com/Ugo_Roux/status/1090268047380627458", "1090268047380627458")</f>
        <v>1090268047380627458</v>
      </c>
      <c r="B1032" t="s">
        <v>414</v>
      </c>
      <c r="C1032" s="3">
        <v>43494.638113425928</v>
      </c>
      <c r="D1032" s="5" t="s">
        <v>28</v>
      </c>
      <c r="E1032">
        <v>0</v>
      </c>
      <c r="F1032">
        <v>0</v>
      </c>
      <c r="G1032">
        <v>0</v>
      </c>
      <c r="I1032" t="s">
        <v>1067</v>
      </c>
      <c r="J1032" t="str">
        <f>HYPERLINK("http://pbs.twimg.com/media/DyFpAOxUYAAz6zc.jpg", "http://pbs.twimg.com/media/DyFpAOxUYAAz6zc.jpg")</f>
        <v>http://pbs.twimg.com/media/DyFpAOxUYAAz6zc.jpg</v>
      </c>
      <c r="N1032">
        <v>0</v>
      </c>
      <c r="O1032">
        <v>0</v>
      </c>
      <c r="P1032">
        <v>1</v>
      </c>
      <c r="Q1032">
        <v>0</v>
      </c>
    </row>
    <row r="1033" spans="1:17" x14ac:dyDescent="0.2">
      <c r="A1033" s="1" t="str">
        <f>HYPERLINK("http://www.twitter.com/Ugo_Roux/status/1090230764657168384", "1090230764657168384")</f>
        <v>1090230764657168384</v>
      </c>
      <c r="B1033" t="s">
        <v>285</v>
      </c>
      <c r="C1033" s="3">
        <v>43494.535231481481</v>
      </c>
      <c r="D1033" s="5" t="s">
        <v>17</v>
      </c>
      <c r="E1033">
        <v>0</v>
      </c>
      <c r="F1033">
        <v>0</v>
      </c>
      <c r="G1033">
        <v>0</v>
      </c>
      <c r="I1033" t="s">
        <v>1068</v>
      </c>
      <c r="J1033" t="str">
        <f>HYPERLINK("http://pbs.twimg.com/media/DyFHFy-XgAAg21p.jpg", "http://pbs.twimg.com/media/DyFHFy-XgAAg21p.jpg")</f>
        <v>http://pbs.twimg.com/media/DyFHFy-XgAAg21p.jpg</v>
      </c>
      <c r="N1033">
        <v>0</v>
      </c>
      <c r="O1033">
        <v>0</v>
      </c>
      <c r="P1033">
        <v>1</v>
      </c>
      <c r="Q1033">
        <v>0</v>
      </c>
    </row>
    <row r="1034" spans="1:17" x14ac:dyDescent="0.2">
      <c r="A1034" s="1" t="str">
        <f>HYPERLINK("http://www.twitter.com/Ugo_Roux/status/1089874717282979840", "1089874717282979840")</f>
        <v>1089874717282979840</v>
      </c>
      <c r="B1034" t="s">
        <v>142</v>
      </c>
      <c r="C1034" s="3">
        <v>43493.552731481483</v>
      </c>
      <c r="D1034" s="5" t="s">
        <v>17</v>
      </c>
      <c r="E1034">
        <v>0</v>
      </c>
      <c r="F1034">
        <v>2</v>
      </c>
      <c r="G1034">
        <v>0</v>
      </c>
      <c r="I1034" t="s">
        <v>1069</v>
      </c>
      <c r="J1034" t="str">
        <f>HYPERLINK("http://pbs.twimg.com/media/DyADRP2U8AEDCvh.jpg", "http://pbs.twimg.com/media/DyADRP2U8AEDCvh.jpg")</f>
        <v>http://pbs.twimg.com/media/DyADRP2U8AEDCvh.jpg</v>
      </c>
      <c r="N1034">
        <v>0</v>
      </c>
      <c r="O1034">
        <v>0</v>
      </c>
      <c r="P1034">
        <v>1</v>
      </c>
      <c r="Q1034">
        <v>0</v>
      </c>
    </row>
    <row r="1035" spans="1:17" x14ac:dyDescent="0.2">
      <c r="A1035" s="1" t="str">
        <f>HYPERLINK("http://www.twitter.com/Ugo_Roux/status/1089785107068710913", "1089785107068710913")</f>
        <v>1089785107068710913</v>
      </c>
      <c r="B1035" t="s">
        <v>285</v>
      </c>
      <c r="C1035" s="3">
        <v>43493.305451388893</v>
      </c>
      <c r="D1035" s="5" t="s">
        <v>28</v>
      </c>
      <c r="E1035">
        <v>0</v>
      </c>
      <c r="F1035">
        <v>0</v>
      </c>
      <c r="G1035">
        <v>0</v>
      </c>
      <c r="I1035" t="s">
        <v>1070</v>
      </c>
      <c r="J1035" t="str">
        <f>HYPERLINK("http://pbs.twimg.com/media/Dx-xvUnWsAAv8cS.jpg", "http://pbs.twimg.com/media/Dx-xvUnWsAAv8cS.jpg")</f>
        <v>http://pbs.twimg.com/media/Dx-xvUnWsAAv8cS.jpg</v>
      </c>
      <c r="N1035">
        <v>0</v>
      </c>
      <c r="O1035">
        <v>0</v>
      </c>
      <c r="P1035">
        <v>1</v>
      </c>
      <c r="Q1035">
        <v>0</v>
      </c>
    </row>
    <row r="1036" spans="1:17" x14ac:dyDescent="0.2">
      <c r="A1036" s="1" t="str">
        <f>HYPERLINK("http://www.twitter.com/Ugo_Roux/status/1089191772838903808", "1089191772838903808")</f>
        <v>1089191772838903808</v>
      </c>
      <c r="B1036" t="s">
        <v>206</v>
      </c>
      <c r="C1036" s="3">
        <v>43491.66815972222</v>
      </c>
      <c r="D1036" s="5" t="s">
        <v>41</v>
      </c>
      <c r="E1036">
        <v>4</v>
      </c>
      <c r="F1036">
        <v>0</v>
      </c>
      <c r="G1036">
        <v>0</v>
      </c>
      <c r="I1036" t="s">
        <v>1071</v>
      </c>
      <c r="J1036" t="str">
        <f>HYPERLINK("http://pbs.twimg.com/media/Dx2VyVJWoAI-DRA.jpg", "http://pbs.twimg.com/media/Dx2VyVJWoAI-DRA.jpg")</f>
        <v>http://pbs.twimg.com/media/Dx2VyVJWoAI-DRA.jpg</v>
      </c>
      <c r="N1036">
        <v>0</v>
      </c>
      <c r="O1036">
        <v>0</v>
      </c>
      <c r="P1036">
        <v>1</v>
      </c>
      <c r="Q1036">
        <v>0</v>
      </c>
    </row>
    <row r="1037" spans="1:17" x14ac:dyDescent="0.2">
      <c r="A1037" s="1" t="str">
        <f>HYPERLINK("http://www.twitter.com/Ugo_Roux/status/1089147112607178753", "1089147112607178753")</f>
        <v>1089147112607178753</v>
      </c>
      <c r="B1037" t="s">
        <v>130</v>
      </c>
      <c r="C1037" s="3">
        <v>43491.544918981483</v>
      </c>
      <c r="D1037" s="5" t="s">
        <v>28</v>
      </c>
      <c r="E1037">
        <v>1</v>
      </c>
      <c r="F1037">
        <v>0</v>
      </c>
      <c r="G1037">
        <v>0</v>
      </c>
      <c r="I1037" t="s">
        <v>1072</v>
      </c>
      <c r="J1037" t="str">
        <f>HYPERLINK("http://pbs.twimg.com/media/Dx1tWPKXQAEFlxF.jpg", "http://pbs.twimg.com/media/Dx1tWPKXQAEFlxF.jpg")</f>
        <v>http://pbs.twimg.com/media/Dx1tWPKXQAEFlxF.jpg</v>
      </c>
      <c r="N1037">
        <v>0</v>
      </c>
      <c r="O1037">
        <v>0</v>
      </c>
      <c r="P1037">
        <v>1</v>
      </c>
      <c r="Q1037">
        <v>0</v>
      </c>
    </row>
    <row r="1038" spans="1:17" x14ac:dyDescent="0.2">
      <c r="A1038" s="1" t="str">
        <f>HYPERLINK("http://www.twitter.com/Ugo_Roux/status/1089078057854517248", "1089078057854517248")</f>
        <v>1089078057854517248</v>
      </c>
      <c r="B1038" t="s">
        <v>16</v>
      </c>
      <c r="C1038" s="3">
        <v>43491.354363425933</v>
      </c>
      <c r="D1038" s="3" t="s">
        <v>41</v>
      </c>
      <c r="E1038">
        <v>0</v>
      </c>
      <c r="F1038">
        <v>0</v>
      </c>
      <c r="G1038">
        <v>0</v>
      </c>
      <c r="I1038" t="s">
        <v>1073</v>
      </c>
      <c r="J1038" t="str">
        <f>HYPERLINK("http://pbs.twimg.com/media/Dx0uoBVWwAEl1Q8.jpg", "http://pbs.twimg.com/media/Dx0uoBVWwAEl1Q8.jpg")</f>
        <v>http://pbs.twimg.com/media/Dx0uoBVWwAEl1Q8.jpg</v>
      </c>
      <c r="N1038">
        <v>0.15310000000000001</v>
      </c>
      <c r="O1038">
        <v>0</v>
      </c>
      <c r="P1038">
        <v>0.92</v>
      </c>
      <c r="Q1038">
        <v>0.08</v>
      </c>
    </row>
    <row r="1039" spans="1:17" x14ac:dyDescent="0.2">
      <c r="A1039" s="1" t="str">
        <f>HYPERLINK("http://www.twitter.com/Ugo_Roux/status/1088827425524510720", "1088827425524510720")</f>
        <v>1088827425524510720</v>
      </c>
      <c r="B1039" t="s">
        <v>425</v>
      </c>
      <c r="C1039" s="3">
        <v>43490.662754629629</v>
      </c>
      <c r="D1039" s="5" t="s">
        <v>17</v>
      </c>
      <c r="E1039">
        <v>0</v>
      </c>
      <c r="F1039">
        <v>0</v>
      </c>
      <c r="G1039">
        <v>0</v>
      </c>
      <c r="I1039" t="s">
        <v>1074</v>
      </c>
      <c r="N1039">
        <v>0</v>
      </c>
      <c r="O1039">
        <v>0</v>
      </c>
      <c r="P1039">
        <v>1</v>
      </c>
      <c r="Q1039">
        <v>0</v>
      </c>
    </row>
    <row r="1040" spans="1:17" x14ac:dyDescent="0.2">
      <c r="A1040" s="1" t="str">
        <f>HYPERLINK("http://www.twitter.com/Ugo_Roux/status/1088824742180581376", "1088824742180581376")</f>
        <v>1088824742180581376</v>
      </c>
      <c r="B1040" t="s">
        <v>142</v>
      </c>
      <c r="C1040" s="3">
        <v>43490.655347222222</v>
      </c>
      <c r="D1040" s="5" t="s">
        <v>17</v>
      </c>
      <c r="E1040">
        <v>3</v>
      </c>
      <c r="F1040">
        <v>0</v>
      </c>
      <c r="G1040">
        <v>0</v>
      </c>
      <c r="I1040" t="s">
        <v>1075</v>
      </c>
      <c r="J1040" t="str">
        <f>HYPERLINK("http://pbs.twimg.com/media/DxxIUo4VYAA1q3o.jpg", "http://pbs.twimg.com/media/DxxIUo4VYAA1q3o.jpg")</f>
        <v>http://pbs.twimg.com/media/DxxIUo4VYAA1q3o.jpg</v>
      </c>
      <c r="N1040">
        <v>-0.47670000000000001</v>
      </c>
      <c r="O1040">
        <v>0.10299999999999999</v>
      </c>
      <c r="P1040">
        <v>0.89700000000000002</v>
      </c>
      <c r="Q1040">
        <v>0</v>
      </c>
    </row>
    <row r="1041" spans="1:17" x14ac:dyDescent="0.2">
      <c r="A1041" s="1" t="str">
        <f>HYPERLINK("http://www.twitter.com/Ugo_Roux/status/1088765577613766657", "1088765577613766657")</f>
        <v>1088765577613766657</v>
      </c>
      <c r="B1041" t="s">
        <v>425</v>
      </c>
      <c r="C1041" s="3">
        <v>43490.492083333331</v>
      </c>
      <c r="D1041" s="5" t="s">
        <v>17</v>
      </c>
      <c r="E1041">
        <v>0</v>
      </c>
      <c r="F1041">
        <v>0</v>
      </c>
      <c r="G1041">
        <v>0</v>
      </c>
      <c r="I1041" t="s">
        <v>1076</v>
      </c>
      <c r="J1041" t="str">
        <f>HYPERLINK("http://pbs.twimg.com/media/DxwRS1FW0AAWq5g.jpg", "http://pbs.twimg.com/media/DxwRS1FW0AAWq5g.jpg")</f>
        <v>http://pbs.twimg.com/media/DxwRS1FW0AAWq5g.jpg</v>
      </c>
      <c r="N1041">
        <v>0.38179999999999997</v>
      </c>
      <c r="O1041">
        <v>0</v>
      </c>
      <c r="P1041">
        <v>0.92900000000000005</v>
      </c>
      <c r="Q1041">
        <v>7.0999999999999994E-2</v>
      </c>
    </row>
    <row r="1042" spans="1:17" x14ac:dyDescent="0.2">
      <c r="A1042" s="1" t="str">
        <f>HYPERLINK("http://www.twitter.com/Ugo_Roux/status/1088400878896177153", "1088400878896177153")</f>
        <v>1088400878896177153</v>
      </c>
      <c r="B1042" t="s">
        <v>142</v>
      </c>
      <c r="C1042" s="3">
        <v>43489.485706018517</v>
      </c>
      <c r="D1042" s="5" t="s">
        <v>41</v>
      </c>
      <c r="E1042">
        <v>1</v>
      </c>
      <c r="F1042">
        <v>1</v>
      </c>
      <c r="G1042">
        <v>0</v>
      </c>
      <c r="I1042" t="s">
        <v>1077</v>
      </c>
      <c r="J1042" t="str">
        <f>HYPERLINK("http://pbs.twimg.com/media/DxrGyy8VAAAjDGr.jpg", "http://pbs.twimg.com/media/DxrGyy8VAAAjDGr.jpg")</f>
        <v>http://pbs.twimg.com/media/DxrGyy8VAAAjDGr.jpg</v>
      </c>
      <c r="N1042">
        <v>0</v>
      </c>
      <c r="O1042">
        <v>0</v>
      </c>
      <c r="P1042">
        <v>1</v>
      </c>
      <c r="Q1042">
        <v>0</v>
      </c>
    </row>
    <row r="1043" spans="1:17" x14ac:dyDescent="0.2">
      <c r="A1043" s="1" t="str">
        <f>HYPERLINK("http://www.twitter.com/Ugo_Roux/status/1088371580088987648", "1088371580088987648")</f>
        <v>1088371580088987648</v>
      </c>
      <c r="B1043" t="s">
        <v>16</v>
      </c>
      <c r="C1043" s="3">
        <v>43489.404861111107</v>
      </c>
      <c r="D1043" s="3" t="s">
        <v>41</v>
      </c>
      <c r="E1043">
        <v>2</v>
      </c>
      <c r="F1043">
        <v>0</v>
      </c>
      <c r="G1043">
        <v>0</v>
      </c>
      <c r="I1043" t="s">
        <v>1078</v>
      </c>
      <c r="J1043" t="str">
        <f>HYPERLINK("http://pbs.twimg.com/media/DxleDI_X0AEyzI7.jpg", "http://pbs.twimg.com/media/DxleDI_X0AEyzI7.jpg")</f>
        <v>http://pbs.twimg.com/media/DxleDI_X0AEyzI7.jpg</v>
      </c>
      <c r="N1043">
        <v>0.15110000000000001</v>
      </c>
      <c r="O1043">
        <v>0</v>
      </c>
      <c r="P1043">
        <v>0.95299999999999996</v>
      </c>
      <c r="Q1043">
        <v>4.7E-2</v>
      </c>
    </row>
    <row r="1044" spans="1:17" x14ac:dyDescent="0.2">
      <c r="A1044" s="1" t="str">
        <f>HYPERLINK("http://www.twitter.com/Ugo_Roux/status/1088111450126716928", "1088111450126716928")</f>
        <v>1088111450126716928</v>
      </c>
      <c r="B1044" t="s">
        <v>425</v>
      </c>
      <c r="C1044" s="3">
        <v>43488.687037037038</v>
      </c>
      <c r="D1044" s="5" t="s">
        <v>17</v>
      </c>
      <c r="E1044">
        <v>0</v>
      </c>
      <c r="F1044">
        <v>0</v>
      </c>
      <c r="G1044">
        <v>0</v>
      </c>
      <c r="I1044" t="s">
        <v>1079</v>
      </c>
      <c r="N1044">
        <v>0</v>
      </c>
      <c r="O1044">
        <v>0</v>
      </c>
      <c r="P1044">
        <v>1</v>
      </c>
      <c r="Q1044">
        <v>0</v>
      </c>
    </row>
    <row r="1045" spans="1:17" x14ac:dyDescent="0.2">
      <c r="A1045" s="1" t="str">
        <f>HYPERLINK("http://www.twitter.com/Ugo_Roux/status/1088024931961630721", "1088024931961630721")</f>
        <v>1088024931961630721</v>
      </c>
      <c r="B1045" t="s">
        <v>425</v>
      </c>
      <c r="C1045" s="3">
        <v>43488.448287037027</v>
      </c>
      <c r="D1045" s="5" t="s">
        <v>41</v>
      </c>
      <c r="E1045">
        <v>0</v>
      </c>
      <c r="F1045">
        <v>0</v>
      </c>
      <c r="G1045">
        <v>0</v>
      </c>
      <c r="I1045" t="s">
        <v>1080</v>
      </c>
      <c r="N1045">
        <v>0</v>
      </c>
      <c r="O1045">
        <v>0</v>
      </c>
      <c r="P1045">
        <v>1</v>
      </c>
      <c r="Q1045">
        <v>0</v>
      </c>
    </row>
    <row r="1046" spans="1:17" x14ac:dyDescent="0.2">
      <c r="A1046" s="1" t="str">
        <f>HYPERLINK("http://www.twitter.com/Ugo_Roux/status/1088000160603533312", "1088000160603533312")</f>
        <v>1088000160603533312</v>
      </c>
      <c r="B1046" t="s">
        <v>16</v>
      </c>
      <c r="C1046" s="3">
        <v>43488.379942129628</v>
      </c>
      <c r="D1046" s="3" t="s">
        <v>41</v>
      </c>
      <c r="E1046">
        <v>8</v>
      </c>
      <c r="F1046">
        <v>1</v>
      </c>
      <c r="G1046">
        <v>1</v>
      </c>
      <c r="I1046" t="s">
        <v>1081</v>
      </c>
      <c r="J1046" t="str">
        <f>HYPERLINK("http://pbs.twimg.com/media/DxlaOUEXcAErCIU.jpg", "http://pbs.twimg.com/media/DxlaOUEXcAErCIU.jpg")</f>
        <v>http://pbs.twimg.com/media/DxlaOUEXcAErCIU.jpg</v>
      </c>
      <c r="N1046">
        <v>7.7200000000000005E-2</v>
      </c>
      <c r="O1046">
        <v>0</v>
      </c>
      <c r="P1046">
        <v>0.96099999999999997</v>
      </c>
      <c r="Q1046">
        <v>3.9E-2</v>
      </c>
    </row>
    <row r="1047" spans="1:17" x14ac:dyDescent="0.2">
      <c r="A1047" s="1" t="str">
        <f>HYPERLINK("http://www.twitter.com/Ugo_Roux/status/1087337742139183105", "1087337742139183105")</f>
        <v>1087337742139183105</v>
      </c>
      <c r="B1047" t="s">
        <v>142</v>
      </c>
      <c r="C1047" s="3">
        <v>43486.55201388889</v>
      </c>
      <c r="D1047" s="5" t="s">
        <v>17</v>
      </c>
      <c r="E1047">
        <v>0</v>
      </c>
      <c r="F1047">
        <v>1</v>
      </c>
      <c r="G1047">
        <v>0</v>
      </c>
      <c r="I1047" t="s">
        <v>1082</v>
      </c>
      <c r="J1047" t="str">
        <f>HYPERLINK("http://pbs.twimg.com/media/Dxb_6A6UwAAPpAk.jpg", "http://pbs.twimg.com/media/Dxb_6A6UwAAPpAk.jpg")</f>
        <v>http://pbs.twimg.com/media/Dxb_6A6UwAAPpAk.jpg</v>
      </c>
      <c r="N1047">
        <v>0</v>
      </c>
      <c r="O1047">
        <v>0</v>
      </c>
      <c r="P1047">
        <v>1</v>
      </c>
      <c r="Q1047">
        <v>0</v>
      </c>
    </row>
    <row r="1048" spans="1:17" x14ac:dyDescent="0.2">
      <c r="A1048" s="1" t="str">
        <f>HYPERLINK("http://www.twitter.com/Ugo_Roux/status/1086731482910113792", "1086731482910113792")</f>
        <v>1086731482910113792</v>
      </c>
      <c r="B1048" t="s">
        <v>425</v>
      </c>
      <c r="C1048" s="3">
        <v>43484.879050925927</v>
      </c>
      <c r="D1048" s="5" t="s">
        <v>41</v>
      </c>
      <c r="E1048">
        <v>2</v>
      </c>
      <c r="F1048">
        <v>0</v>
      </c>
      <c r="G1048">
        <v>0</v>
      </c>
      <c r="I1048" t="s">
        <v>1083</v>
      </c>
      <c r="J1048" t="str">
        <f>HYPERLINK("http://pbs.twimg.com/media/DxTYHhnXgAID-e0.jpg", "http://pbs.twimg.com/media/DxTYHhnXgAID-e0.jpg")</f>
        <v>http://pbs.twimg.com/media/DxTYHhnXgAID-e0.jpg</v>
      </c>
      <c r="N1048">
        <v>0</v>
      </c>
      <c r="O1048">
        <v>0</v>
      </c>
      <c r="P1048">
        <v>1</v>
      </c>
      <c r="Q1048">
        <v>0</v>
      </c>
    </row>
    <row r="1049" spans="1:17" x14ac:dyDescent="0.2">
      <c r="A1049" s="1" t="str">
        <f>HYPERLINK("http://www.twitter.com/Ugo_Roux/status/1086711849893199891", "1086711849893199891")</f>
        <v>1086711849893199891</v>
      </c>
      <c r="B1049" t="s">
        <v>425</v>
      </c>
      <c r="C1049" s="3">
        <v>43484.824872685182</v>
      </c>
      <c r="D1049" s="5" t="s">
        <v>41</v>
      </c>
      <c r="E1049">
        <v>1</v>
      </c>
      <c r="F1049">
        <v>0</v>
      </c>
      <c r="G1049">
        <v>0</v>
      </c>
      <c r="I1049" t="s">
        <v>1084</v>
      </c>
      <c r="J1049" t="str">
        <f>HYPERLINK("http://pbs.twimg.com/media/DxTGiXDWkAE_TTv.jpg", "http://pbs.twimg.com/media/DxTGiXDWkAE_TTv.jpg")</f>
        <v>http://pbs.twimg.com/media/DxTGiXDWkAE_TTv.jpg</v>
      </c>
      <c r="N1049">
        <v>0</v>
      </c>
      <c r="O1049">
        <v>0</v>
      </c>
      <c r="P1049">
        <v>1</v>
      </c>
      <c r="Q1049">
        <v>0</v>
      </c>
    </row>
    <row r="1050" spans="1:17" x14ac:dyDescent="0.2">
      <c r="A1050" s="1" t="str">
        <f>HYPERLINK("http://www.twitter.com/Ugo_Roux/status/1086674982762098688", "1086674982762098688")</f>
        <v>1086674982762098688</v>
      </c>
      <c r="B1050" t="s">
        <v>425</v>
      </c>
      <c r="C1050" s="3">
        <v>43484.723136574074</v>
      </c>
      <c r="D1050" s="5" t="s">
        <v>28</v>
      </c>
      <c r="E1050">
        <v>1</v>
      </c>
      <c r="F1050">
        <v>0</v>
      </c>
      <c r="G1050">
        <v>0</v>
      </c>
      <c r="I1050" t="s">
        <v>1085</v>
      </c>
      <c r="N1050">
        <v>0</v>
      </c>
      <c r="O1050">
        <v>0</v>
      </c>
      <c r="P1050">
        <v>1</v>
      </c>
      <c r="Q1050">
        <v>0</v>
      </c>
    </row>
    <row r="1051" spans="1:17" x14ac:dyDescent="0.2">
      <c r="A1051" s="1" t="str">
        <f>HYPERLINK("http://www.twitter.com/Ugo_Roux/status/1086653315193159680", "1086653315193159680")</f>
        <v>1086653315193159680</v>
      </c>
      <c r="B1051" t="s">
        <v>97</v>
      </c>
      <c r="C1051" s="3">
        <v>43484.663356481477</v>
      </c>
      <c r="D1051" s="5" t="s">
        <v>41</v>
      </c>
      <c r="E1051">
        <v>0</v>
      </c>
      <c r="F1051">
        <v>0</v>
      </c>
      <c r="G1051">
        <v>0</v>
      </c>
      <c r="I1051" t="s">
        <v>1086</v>
      </c>
      <c r="J1051" t="str">
        <f>HYPERLINK("http://pbs.twimg.com/media/DxSRblNU8AAuQl8.jpg", "http://pbs.twimg.com/media/DxSRblNU8AAuQl8.jpg")</f>
        <v>http://pbs.twimg.com/media/DxSRblNU8AAuQl8.jpg</v>
      </c>
      <c r="N1051">
        <v>0</v>
      </c>
      <c r="O1051">
        <v>0</v>
      </c>
      <c r="P1051">
        <v>1</v>
      </c>
      <c r="Q1051">
        <v>0</v>
      </c>
    </row>
    <row r="1052" spans="1:17" x14ac:dyDescent="0.2">
      <c r="A1052" s="1" t="str">
        <f>HYPERLINK("http://www.twitter.com/Ugo_Roux/status/1086648401729650690", "1086648401729650690")</f>
        <v>1086648401729650690</v>
      </c>
      <c r="B1052" t="s">
        <v>130</v>
      </c>
      <c r="C1052" s="3">
        <v>43484.649791666663</v>
      </c>
      <c r="D1052" s="5" t="s">
        <v>28</v>
      </c>
      <c r="E1052">
        <v>1</v>
      </c>
      <c r="F1052">
        <v>0</v>
      </c>
      <c r="G1052">
        <v>0</v>
      </c>
      <c r="I1052" t="s">
        <v>1087</v>
      </c>
      <c r="J1052" t="str">
        <f>HYPERLINK("http://pbs.twimg.com/media/DxSM4-HW0AIZ_Gv.jpg", "http://pbs.twimg.com/media/DxSM4-HW0AIZ_Gv.jpg")</f>
        <v>http://pbs.twimg.com/media/DxSM4-HW0AIZ_Gv.jpg</v>
      </c>
      <c r="N1052">
        <v>0</v>
      </c>
      <c r="O1052">
        <v>0</v>
      </c>
      <c r="P1052">
        <v>1</v>
      </c>
      <c r="Q1052">
        <v>0</v>
      </c>
    </row>
    <row r="1053" spans="1:17" x14ac:dyDescent="0.2">
      <c r="A1053" s="1" t="str">
        <f>HYPERLINK("http://www.twitter.com/Ugo_Roux/status/1086629072904568832", "1086629072904568832")</f>
        <v>1086629072904568832</v>
      </c>
      <c r="B1053" t="s">
        <v>425</v>
      </c>
      <c r="C1053" s="3">
        <v>43484.596458333333</v>
      </c>
      <c r="D1053" s="5" t="s">
        <v>28</v>
      </c>
      <c r="E1053">
        <v>0</v>
      </c>
      <c r="F1053">
        <v>0</v>
      </c>
      <c r="G1053">
        <v>0</v>
      </c>
      <c r="I1053" t="s">
        <v>1088</v>
      </c>
      <c r="J1053" t="str">
        <f>HYPERLINK("http://pbs.twimg.com/media/DxR6WU1WkAcR8Ek.jpg", "http://pbs.twimg.com/media/DxR6WU1WkAcR8Ek.jpg")</f>
        <v>http://pbs.twimg.com/media/DxR6WU1WkAcR8Ek.jpg</v>
      </c>
      <c r="N1053">
        <v>0.31640000000000001</v>
      </c>
      <c r="O1053">
        <v>0</v>
      </c>
      <c r="P1053">
        <v>0.91600000000000004</v>
      </c>
      <c r="Q1053">
        <v>8.4000000000000005E-2</v>
      </c>
    </row>
    <row r="1054" spans="1:17" x14ac:dyDescent="0.2">
      <c r="A1054" s="1" t="str">
        <f>HYPERLINK("http://www.twitter.com/Ugo_Roux/status/1086307084294070273", "1086307084294070273")</f>
        <v>1086307084294070273</v>
      </c>
      <c r="B1054" t="s">
        <v>425</v>
      </c>
      <c r="C1054" s="3">
        <v>43483.707939814813</v>
      </c>
      <c r="D1054" s="5" t="s">
        <v>28</v>
      </c>
      <c r="E1054">
        <v>0</v>
      </c>
      <c r="F1054">
        <v>0</v>
      </c>
      <c r="G1054">
        <v>0</v>
      </c>
      <c r="I1054" t="s">
        <v>1089</v>
      </c>
      <c r="N1054">
        <v>0</v>
      </c>
      <c r="O1054">
        <v>0</v>
      </c>
      <c r="P1054">
        <v>1</v>
      </c>
      <c r="Q1054">
        <v>0</v>
      </c>
    </row>
    <row r="1055" spans="1:17" x14ac:dyDescent="0.2">
      <c r="A1055" s="1" t="str">
        <f>HYPERLINK("http://www.twitter.com/Ugo_Roux/status/1086305609027407872", "1086305609027407872")</f>
        <v>1086305609027407872</v>
      </c>
      <c r="B1055" t="s">
        <v>425</v>
      </c>
      <c r="C1055" s="3">
        <v>43483.703865740739</v>
      </c>
      <c r="D1055" s="5" t="s">
        <v>28</v>
      </c>
      <c r="E1055">
        <v>1</v>
      </c>
      <c r="F1055">
        <v>0</v>
      </c>
      <c r="G1055">
        <v>0</v>
      </c>
      <c r="I1055" t="s">
        <v>1090</v>
      </c>
      <c r="J1055" t="str">
        <f>HYPERLINK("http://pbs.twimg.com/media/DxNUlQCWkAEoayb.jpg", "http://pbs.twimg.com/media/DxNUlQCWkAEoayb.jpg")</f>
        <v>http://pbs.twimg.com/media/DxNUlQCWkAEoayb.jpg</v>
      </c>
      <c r="N1055">
        <v>0</v>
      </c>
      <c r="O1055">
        <v>0.193</v>
      </c>
      <c r="P1055">
        <v>0.57399999999999995</v>
      </c>
      <c r="Q1055">
        <v>0.23400000000000001</v>
      </c>
    </row>
    <row r="1056" spans="1:17" x14ac:dyDescent="0.2">
      <c r="A1056" s="1" t="str">
        <f>HYPERLINK("http://www.twitter.com/Ugo_Roux/status/1086238639284195328", "1086238639284195328")</f>
        <v>1086238639284195328</v>
      </c>
      <c r="B1056" t="s">
        <v>142</v>
      </c>
      <c r="C1056" s="3">
        <v>43483.519062500003</v>
      </c>
      <c r="D1056" s="5" t="s">
        <v>17</v>
      </c>
      <c r="E1056">
        <v>1</v>
      </c>
      <c r="F1056">
        <v>0</v>
      </c>
      <c r="G1056">
        <v>1</v>
      </c>
      <c r="I1056" t="s">
        <v>1091</v>
      </c>
      <c r="J1056" t="str">
        <f>HYPERLINK("http://pbs.twimg.com/media/DxMYR3xX4AAqeLr.jpg", "http://pbs.twimg.com/media/DxMYR3xX4AAqeLr.jpg")</f>
        <v>http://pbs.twimg.com/media/DxMYR3xX4AAqeLr.jpg</v>
      </c>
      <c r="N1056">
        <v>-0.128</v>
      </c>
      <c r="O1056">
        <v>4.2999999999999997E-2</v>
      </c>
      <c r="P1056">
        <v>0.95699999999999996</v>
      </c>
      <c r="Q1056">
        <v>0</v>
      </c>
    </row>
    <row r="1057" spans="1:17" x14ac:dyDescent="0.2">
      <c r="A1057" s="1" t="str">
        <f>HYPERLINK("http://www.twitter.com/Ugo_Roux/status/1086182480837779458", "1086182480837779458")</f>
        <v>1086182480837779458</v>
      </c>
      <c r="B1057" t="s">
        <v>142</v>
      </c>
      <c r="C1057" s="3">
        <v>43483.36409722222</v>
      </c>
      <c r="D1057" s="5" t="s">
        <v>28</v>
      </c>
      <c r="E1057">
        <v>0</v>
      </c>
      <c r="F1057">
        <v>0</v>
      </c>
      <c r="G1057">
        <v>0</v>
      </c>
      <c r="I1057" t="s">
        <v>1092</v>
      </c>
      <c r="N1057">
        <v>0</v>
      </c>
      <c r="O1057">
        <v>0</v>
      </c>
      <c r="P1057">
        <v>1</v>
      </c>
      <c r="Q1057">
        <v>0</v>
      </c>
    </row>
    <row r="1058" spans="1:17" x14ac:dyDescent="0.2">
      <c r="A1058" s="1" t="str">
        <f>HYPERLINK("http://www.twitter.com/Ugo_Roux/status/1085889419876421633", "1085889419876421633")</f>
        <v>1085889419876421633</v>
      </c>
      <c r="B1058" t="s">
        <v>425</v>
      </c>
      <c r="C1058" s="3">
        <v>43482.555405092593</v>
      </c>
      <c r="D1058" s="5" t="s">
        <v>24</v>
      </c>
      <c r="E1058">
        <v>0</v>
      </c>
      <c r="F1058">
        <v>0</v>
      </c>
      <c r="G1058">
        <v>0</v>
      </c>
      <c r="I1058" t="s">
        <v>1093</v>
      </c>
      <c r="J1058" t="str">
        <f>HYPERLINK("http://pbs.twimg.com/media/DxHap1VWkAEImZE.jpg", "http://pbs.twimg.com/media/DxHap1VWkAEImZE.jpg")</f>
        <v>http://pbs.twimg.com/media/DxHap1VWkAEImZE.jpg</v>
      </c>
      <c r="N1058">
        <v>0</v>
      </c>
      <c r="O1058">
        <v>0</v>
      </c>
      <c r="P1058">
        <v>1</v>
      </c>
      <c r="Q1058">
        <v>0</v>
      </c>
    </row>
    <row r="1059" spans="1:17" x14ac:dyDescent="0.2">
      <c r="A1059" s="1" t="str">
        <f>HYPERLINK("http://www.twitter.com/Ugo_Roux/status/1085805006115074049", "1085805006115074049")</f>
        <v>1085805006115074049</v>
      </c>
      <c r="B1059" t="s">
        <v>425</v>
      </c>
      <c r="C1059" s="3">
        <v>43482.322465277779</v>
      </c>
      <c r="D1059" s="5" t="s">
        <v>17</v>
      </c>
      <c r="E1059">
        <v>0</v>
      </c>
      <c r="F1059">
        <v>0</v>
      </c>
      <c r="G1059">
        <v>0</v>
      </c>
      <c r="I1059" t="s">
        <v>1094</v>
      </c>
      <c r="N1059">
        <v>0</v>
      </c>
      <c r="O1059">
        <v>0</v>
      </c>
      <c r="P1059">
        <v>1</v>
      </c>
      <c r="Q1059">
        <v>0</v>
      </c>
    </row>
    <row r="1060" spans="1:17" x14ac:dyDescent="0.2">
      <c r="A1060" s="1" t="str">
        <f>HYPERLINK("http://www.twitter.com/Ugo_Roux/status/1085802957126348800", "1085802957126348800")</f>
        <v>1085802957126348800</v>
      </c>
      <c r="B1060" t="s">
        <v>285</v>
      </c>
      <c r="C1060" s="3">
        <v>43482.316805555558</v>
      </c>
      <c r="D1060" s="5" t="s">
        <v>17</v>
      </c>
      <c r="E1060">
        <v>0</v>
      </c>
      <c r="F1060">
        <v>1</v>
      </c>
      <c r="G1060">
        <v>0</v>
      </c>
      <c r="I1060" t="s">
        <v>1095</v>
      </c>
      <c r="J1060" t="str">
        <f>HYPERLINK("http://pbs.twimg.com/media/DxGL2fnVsAAQblq.jpg", "http://pbs.twimg.com/media/DxGL2fnVsAAQblq.jpg")</f>
        <v>http://pbs.twimg.com/media/DxGL2fnVsAAQblq.jpg</v>
      </c>
      <c r="N1060">
        <v>0.45879999999999999</v>
      </c>
      <c r="O1060">
        <v>0</v>
      </c>
      <c r="P1060">
        <v>0.89700000000000002</v>
      </c>
      <c r="Q1060">
        <v>0.10299999999999999</v>
      </c>
    </row>
    <row r="1061" spans="1:17" x14ac:dyDescent="0.2">
      <c r="A1061" s="1" t="str">
        <f>HYPERLINK("http://www.twitter.com/Ugo_Roux/status/1085577485662724096", "1085577485662724096")</f>
        <v>1085577485662724096</v>
      </c>
      <c r="B1061" t="s">
        <v>425</v>
      </c>
      <c r="C1061" s="3">
        <v>43481.69462962963</v>
      </c>
      <c r="D1061" s="5" t="s">
        <v>41</v>
      </c>
      <c r="E1061">
        <v>1</v>
      </c>
      <c r="F1061">
        <v>0</v>
      </c>
      <c r="G1061">
        <v>0</v>
      </c>
      <c r="I1061" t="s">
        <v>1096</v>
      </c>
      <c r="J1061" t="str">
        <f>HYPERLINK("http://pbs.twimg.com/media/DxC-1OVX0AIvxWg.jpg", "http://pbs.twimg.com/media/DxC-1OVX0AIvxWg.jpg")</f>
        <v>http://pbs.twimg.com/media/DxC-1OVX0AIvxWg.jpg</v>
      </c>
      <c r="N1061">
        <v>0</v>
      </c>
      <c r="O1061">
        <v>0</v>
      </c>
      <c r="P1061">
        <v>1</v>
      </c>
      <c r="Q1061">
        <v>0</v>
      </c>
    </row>
    <row r="1062" spans="1:17" x14ac:dyDescent="0.2">
      <c r="A1062" s="1" t="str">
        <f>HYPERLINK("http://www.twitter.com/Ugo_Roux/status/1085474298842808320", "1085474298842808320")</f>
        <v>1085474298842808320</v>
      </c>
      <c r="B1062" t="s">
        <v>471</v>
      </c>
      <c r="C1062" s="3">
        <v>43481.409884259258</v>
      </c>
      <c r="D1062" s="3" t="s">
        <v>28</v>
      </c>
      <c r="E1062">
        <v>0</v>
      </c>
      <c r="F1062">
        <v>1</v>
      </c>
      <c r="G1062">
        <v>0</v>
      </c>
      <c r="I1062" t="s">
        <v>1097</v>
      </c>
      <c r="J1062" t="str">
        <f>HYPERLINK("http://pbs.twimg.com/media/DxBgqVfX0AIt5IR.jpg", "http://pbs.twimg.com/media/DxBgqVfX0AIt5IR.jpg")</f>
        <v>http://pbs.twimg.com/media/DxBgqVfX0AIt5IR.jpg</v>
      </c>
      <c r="N1062">
        <v>0</v>
      </c>
      <c r="O1062">
        <v>0</v>
      </c>
      <c r="P1062">
        <v>1</v>
      </c>
      <c r="Q1062">
        <v>0</v>
      </c>
    </row>
    <row r="1063" spans="1:17" x14ac:dyDescent="0.2">
      <c r="A1063" s="1" t="str">
        <f>HYPERLINK("http://www.twitter.com/Ugo_Roux/status/1085166593708097537", "1085166593708097537")</f>
        <v>1085166593708097537</v>
      </c>
      <c r="B1063" t="s">
        <v>414</v>
      </c>
      <c r="C1063" s="3">
        <v>43480.560787037037</v>
      </c>
      <c r="D1063" s="5" t="s">
        <v>28</v>
      </c>
      <c r="E1063">
        <v>0</v>
      </c>
      <c r="F1063">
        <v>0</v>
      </c>
      <c r="G1063">
        <v>0</v>
      </c>
      <c r="I1063" t="s">
        <v>1098</v>
      </c>
      <c r="J1063" t="str">
        <f>HYPERLINK("http://pbs.twimg.com/media/Dw9JQdkX0AEAfWi.jpg", "http://pbs.twimg.com/media/Dw9JQdkX0AEAfWi.jpg")</f>
        <v>http://pbs.twimg.com/media/Dw9JQdkX0AEAfWi.jpg</v>
      </c>
      <c r="N1063">
        <v>0</v>
      </c>
      <c r="O1063">
        <v>0</v>
      </c>
      <c r="P1063">
        <v>1</v>
      </c>
      <c r="Q1063">
        <v>0</v>
      </c>
    </row>
    <row r="1064" spans="1:17" x14ac:dyDescent="0.2">
      <c r="A1064" s="1" t="str">
        <f>HYPERLINK("http://www.twitter.com/Ugo_Roux/status/1085164052463214593", "1085164052463214593")</f>
        <v>1085164052463214593</v>
      </c>
      <c r="B1064" t="s">
        <v>414</v>
      </c>
      <c r="C1064" s="3">
        <v>43480.553773148153</v>
      </c>
      <c r="D1064" s="5" t="s">
        <v>28</v>
      </c>
      <c r="E1064">
        <v>0</v>
      </c>
      <c r="F1064">
        <v>0</v>
      </c>
      <c r="G1064">
        <v>0</v>
      </c>
      <c r="I1064" t="s">
        <v>1099</v>
      </c>
      <c r="J1064" t="str">
        <f>HYPERLINK("http://pbs.twimg.com/media/Dw9G8s-X0AIPvJw.jpg", "http://pbs.twimg.com/media/Dw9G8s-X0AIPvJw.jpg")</f>
        <v>http://pbs.twimg.com/media/Dw9G8s-X0AIPvJw.jpg</v>
      </c>
      <c r="N1064">
        <v>0</v>
      </c>
      <c r="O1064">
        <v>0</v>
      </c>
      <c r="P1064">
        <v>1</v>
      </c>
      <c r="Q1064">
        <v>0</v>
      </c>
    </row>
    <row r="1065" spans="1:17" x14ac:dyDescent="0.2">
      <c r="A1065" s="1" t="str">
        <f>HYPERLINK("http://www.twitter.com/Ugo_Roux/status/1085162596574085120", "1085162596574085120")</f>
        <v>1085162596574085120</v>
      </c>
      <c r="B1065" t="s">
        <v>425</v>
      </c>
      <c r="C1065" s="3">
        <v>43480.549756944441</v>
      </c>
      <c r="D1065" s="5" t="s">
        <v>17</v>
      </c>
      <c r="E1065">
        <v>0</v>
      </c>
      <c r="F1065">
        <v>0</v>
      </c>
      <c r="G1065">
        <v>0</v>
      </c>
      <c r="I1065" t="s">
        <v>1100</v>
      </c>
      <c r="N1065">
        <v>0</v>
      </c>
      <c r="O1065">
        <v>0</v>
      </c>
      <c r="P1065">
        <v>1</v>
      </c>
      <c r="Q1065">
        <v>0</v>
      </c>
    </row>
    <row r="1066" spans="1:17" x14ac:dyDescent="0.2">
      <c r="A1066" s="1" t="str">
        <f>HYPERLINK("http://www.twitter.com/Ugo_Roux/status/1084710966762315776", "1084710966762315776")</f>
        <v>1084710966762315776</v>
      </c>
      <c r="B1066" t="s">
        <v>285</v>
      </c>
      <c r="C1066" s="3">
        <v>43479.303495370368</v>
      </c>
      <c r="D1066" s="5" t="s">
        <v>28</v>
      </c>
      <c r="E1066">
        <v>0</v>
      </c>
      <c r="F1066">
        <v>0</v>
      </c>
      <c r="G1066">
        <v>0</v>
      </c>
      <c r="I1066" t="s">
        <v>1101</v>
      </c>
      <c r="J1066" t="str">
        <f>HYPERLINK("http://pbs.twimg.com/media/Dw2q2uAW0AE_fAP.jpg", "http://pbs.twimg.com/media/Dw2q2uAW0AE_fAP.jpg")</f>
        <v>http://pbs.twimg.com/media/Dw2q2uAW0AE_fAP.jpg</v>
      </c>
      <c r="N1066">
        <v>0</v>
      </c>
      <c r="O1066">
        <v>0</v>
      </c>
      <c r="P1066">
        <v>1</v>
      </c>
      <c r="Q1066">
        <v>0</v>
      </c>
    </row>
    <row r="1067" spans="1:17" x14ac:dyDescent="0.2">
      <c r="A1067" s="1" t="str">
        <f>HYPERLINK("http://www.twitter.com/Ugo_Roux/status/1084117339581435905", "1084117339581435905")</f>
        <v>1084117339581435905</v>
      </c>
      <c r="B1067" t="s">
        <v>97</v>
      </c>
      <c r="C1067" s="3">
        <v>43477.665393518517</v>
      </c>
      <c r="D1067" s="5" t="s">
        <v>28</v>
      </c>
      <c r="E1067">
        <v>1</v>
      </c>
      <c r="F1067">
        <v>0</v>
      </c>
      <c r="G1067">
        <v>0</v>
      </c>
      <c r="I1067" t="s">
        <v>1102</v>
      </c>
      <c r="J1067" t="str">
        <f>HYPERLINK("http://pbs.twimg.com/media/DwuO-THVYAANoFk.jpg", "http://pbs.twimg.com/media/DwuO-THVYAANoFk.jpg")</f>
        <v>http://pbs.twimg.com/media/DwuO-THVYAANoFk.jpg</v>
      </c>
      <c r="N1067">
        <v>0</v>
      </c>
      <c r="O1067">
        <v>0</v>
      </c>
      <c r="P1067">
        <v>1</v>
      </c>
      <c r="Q1067">
        <v>0</v>
      </c>
    </row>
    <row r="1068" spans="1:17" x14ac:dyDescent="0.2">
      <c r="A1068" s="1" t="str">
        <f>HYPERLINK("http://www.twitter.com/Ugo_Roux/status/1084101837970653187", "1084101837970653187")</f>
        <v>1084101837970653187</v>
      </c>
      <c r="B1068" t="s">
        <v>130</v>
      </c>
      <c r="C1068" s="3">
        <v>43477.622615740736</v>
      </c>
      <c r="D1068" s="5" t="s">
        <v>28</v>
      </c>
      <c r="E1068">
        <v>0</v>
      </c>
      <c r="F1068">
        <v>0</v>
      </c>
      <c r="G1068">
        <v>0</v>
      </c>
      <c r="I1068" t="s">
        <v>1103</v>
      </c>
      <c r="J1068" t="str">
        <f>HYPERLINK("http://pbs.twimg.com/media/DwuAj-_WkAcXNsl.jpg", "http://pbs.twimg.com/media/DwuAj-_WkAcXNsl.jpg")</f>
        <v>http://pbs.twimg.com/media/DwuAj-_WkAcXNsl.jpg</v>
      </c>
      <c r="N1068">
        <v>0</v>
      </c>
      <c r="O1068">
        <v>0</v>
      </c>
      <c r="P1068">
        <v>1</v>
      </c>
      <c r="Q1068">
        <v>0</v>
      </c>
    </row>
    <row r="1069" spans="1:17" x14ac:dyDescent="0.2">
      <c r="A1069" s="1" t="str">
        <f>HYPERLINK("http://www.twitter.com/Ugo_Roux/status/1083985035164876800", "1083985035164876800")</f>
        <v>1083985035164876800</v>
      </c>
      <c r="B1069" t="s">
        <v>476</v>
      </c>
      <c r="C1069" s="3">
        <v>43477.300300925926</v>
      </c>
      <c r="D1069" s="5" t="s">
        <v>28</v>
      </c>
      <c r="E1069">
        <v>2</v>
      </c>
      <c r="F1069">
        <v>0</v>
      </c>
      <c r="G1069">
        <v>0</v>
      </c>
      <c r="I1069" t="s">
        <v>1104</v>
      </c>
      <c r="J1069" t="str">
        <f>HYPERLINK("http://pbs.twimg.com/media/DwsWfH8W0AA-YFL.jpg", "http://pbs.twimg.com/media/DwsWfH8W0AA-YFL.jpg")</f>
        <v>http://pbs.twimg.com/media/DwsWfH8W0AA-YFL.jpg</v>
      </c>
      <c r="N1069">
        <v>0</v>
      </c>
      <c r="O1069">
        <v>0</v>
      </c>
      <c r="P1069">
        <v>1</v>
      </c>
      <c r="Q1069">
        <v>0</v>
      </c>
    </row>
    <row r="1070" spans="1:17" x14ac:dyDescent="0.2">
      <c r="A1070" s="1" t="str">
        <f>HYPERLINK("http://www.twitter.com/Ugo_Roux/status/1083781154912784384", "1083781154912784384")</f>
        <v>1083781154912784384</v>
      </c>
      <c r="B1070" t="s">
        <v>130</v>
      </c>
      <c r="C1070" s="3">
        <v>43476.737696759257</v>
      </c>
      <c r="D1070" s="5" t="s">
        <v>28</v>
      </c>
      <c r="E1070">
        <v>0</v>
      </c>
      <c r="F1070">
        <v>0</v>
      </c>
      <c r="G1070">
        <v>0</v>
      </c>
      <c r="I1070" t="s">
        <v>1105</v>
      </c>
      <c r="J1070" t="str">
        <f>HYPERLINK("http://pbs.twimg.com/media/DwpcNdiWkAICk3X.jpg", "http://pbs.twimg.com/media/DwpcNdiWkAICk3X.jpg")</f>
        <v>http://pbs.twimg.com/media/DwpcNdiWkAICk3X.jpg</v>
      </c>
      <c r="N1070">
        <v>0</v>
      </c>
      <c r="O1070">
        <v>0</v>
      </c>
      <c r="P1070">
        <v>1</v>
      </c>
      <c r="Q1070">
        <v>0</v>
      </c>
    </row>
    <row r="1071" spans="1:17" x14ac:dyDescent="0.2">
      <c r="A1071" s="1" t="str">
        <f>HYPERLINK("http://www.twitter.com/Ugo_Roux/status/1083751751084396545", "1083751751084396545")</f>
        <v>1083751751084396545</v>
      </c>
      <c r="B1071" t="s">
        <v>47</v>
      </c>
      <c r="C1071" s="3">
        <v>43476.6565625</v>
      </c>
      <c r="D1071" s="5" t="s">
        <v>17</v>
      </c>
      <c r="E1071">
        <v>11</v>
      </c>
      <c r="F1071">
        <v>3</v>
      </c>
      <c r="G1071">
        <v>0</v>
      </c>
      <c r="I1071" t="s">
        <v>1106</v>
      </c>
      <c r="N1071">
        <v>0</v>
      </c>
      <c r="O1071">
        <v>0</v>
      </c>
      <c r="P1071">
        <v>1</v>
      </c>
      <c r="Q1071">
        <v>0</v>
      </c>
    </row>
    <row r="1072" spans="1:17" x14ac:dyDescent="0.2">
      <c r="A1072" s="1" t="str">
        <f>HYPERLINK("http://www.twitter.com/Ugo_Roux/status/1083744250448224256", "1083744250448224256")</f>
        <v>1083744250448224256</v>
      </c>
      <c r="B1072" t="s">
        <v>206</v>
      </c>
      <c r="C1072" s="3">
        <v>43476.63585648148</v>
      </c>
      <c r="D1072" s="5" t="s">
        <v>17</v>
      </c>
      <c r="E1072">
        <v>16</v>
      </c>
      <c r="F1072">
        <v>4</v>
      </c>
      <c r="G1072">
        <v>1</v>
      </c>
      <c r="I1072" t="s">
        <v>1107</v>
      </c>
      <c r="J1072" t="str">
        <f>HYPERLINK("http://pbs.twimg.com/media/Dwo7GaBWsAMBiRA.jpg", "http://pbs.twimg.com/media/Dwo7GaBWsAMBiRA.jpg")</f>
        <v>http://pbs.twimg.com/media/Dwo7GaBWsAMBiRA.jpg</v>
      </c>
      <c r="N1072">
        <v>0</v>
      </c>
      <c r="O1072">
        <v>0</v>
      </c>
      <c r="P1072">
        <v>1</v>
      </c>
      <c r="Q1072">
        <v>0</v>
      </c>
    </row>
    <row r="1073" spans="1:17" x14ac:dyDescent="0.2">
      <c r="A1073" s="1" t="str">
        <f>HYPERLINK("http://www.twitter.com/Ugo_Roux/status/1083729600318984192", "1083729600318984192")</f>
        <v>1083729600318984192</v>
      </c>
      <c r="B1073" t="s">
        <v>47</v>
      </c>
      <c r="C1073" s="3">
        <v>43476.595439814817</v>
      </c>
      <c r="D1073" s="3" t="s">
        <v>41</v>
      </c>
      <c r="E1073">
        <v>5</v>
      </c>
      <c r="F1073">
        <v>0</v>
      </c>
      <c r="G1073">
        <v>1</v>
      </c>
      <c r="I1073" t="s">
        <v>1108</v>
      </c>
      <c r="N1073">
        <v>0</v>
      </c>
      <c r="O1073">
        <v>0</v>
      </c>
      <c r="P1073">
        <v>1</v>
      </c>
      <c r="Q1073">
        <v>0</v>
      </c>
    </row>
    <row r="1074" spans="1:17" x14ac:dyDescent="0.2">
      <c r="A1074" s="1" t="str">
        <f>HYPERLINK("http://www.twitter.com/Ugo_Roux/status/1083383378462851072", "1083383378462851072")</f>
        <v>1083383378462851072</v>
      </c>
      <c r="B1074" t="s">
        <v>206</v>
      </c>
      <c r="C1074" s="3">
        <v>43475.640046296299</v>
      </c>
      <c r="D1074" s="5" t="s">
        <v>41</v>
      </c>
      <c r="E1074">
        <v>4</v>
      </c>
      <c r="F1074">
        <v>1</v>
      </c>
      <c r="G1074">
        <v>0</v>
      </c>
      <c r="I1074" t="s">
        <v>1109</v>
      </c>
      <c r="J1074" t="str">
        <f>HYPERLINK("http://pbs.twimg.com/media/DwjzbNCX0AEfE4N.jpg", "http://pbs.twimg.com/media/DwjzbNCX0AEfE4N.jpg")</f>
        <v>http://pbs.twimg.com/media/DwjzbNCX0AEfE4N.jpg</v>
      </c>
      <c r="N1074">
        <v>0</v>
      </c>
      <c r="O1074">
        <v>0</v>
      </c>
      <c r="P1074">
        <v>1</v>
      </c>
      <c r="Q1074">
        <v>0</v>
      </c>
    </row>
    <row r="1075" spans="1:17" x14ac:dyDescent="0.2">
      <c r="A1075" s="1" t="str">
        <f>HYPERLINK("http://www.twitter.com/Ugo_Roux/status/1083263833714626560", "1083263833714626560")</f>
        <v>1083263833714626560</v>
      </c>
      <c r="B1075" t="s">
        <v>142</v>
      </c>
      <c r="C1075" s="3">
        <v>43475.310162037043</v>
      </c>
      <c r="D1075" s="5" t="s">
        <v>28</v>
      </c>
      <c r="E1075">
        <v>0</v>
      </c>
      <c r="F1075">
        <v>0</v>
      </c>
      <c r="G1075">
        <v>0</v>
      </c>
      <c r="I1075" t="s">
        <v>1110</v>
      </c>
      <c r="N1075">
        <v>0.4753</v>
      </c>
      <c r="O1075">
        <v>0</v>
      </c>
      <c r="P1075">
        <v>0.872</v>
      </c>
      <c r="Q1075">
        <v>0.128</v>
      </c>
    </row>
    <row r="1076" spans="1:17" x14ac:dyDescent="0.2">
      <c r="A1076" s="1" t="str">
        <f>HYPERLINK("http://www.twitter.com/Ugo_Roux/status/1083032075396149249", "1083032075396149249")</f>
        <v>1083032075396149249</v>
      </c>
      <c r="B1076" t="s">
        <v>425</v>
      </c>
      <c r="C1076" s="3">
        <v>43474.670636574083</v>
      </c>
      <c r="D1076" s="5" t="s">
        <v>17</v>
      </c>
      <c r="E1076">
        <v>16</v>
      </c>
      <c r="F1076">
        <v>2</v>
      </c>
      <c r="G1076">
        <v>0</v>
      </c>
      <c r="I1076" t="s">
        <v>1111</v>
      </c>
      <c r="J1076" t="str">
        <f>HYPERLINK("http://pbs.twimg.com/media/DwezbD_WsAAa9sX.jpg", "http://pbs.twimg.com/media/DwezbD_WsAAa9sX.jpg")</f>
        <v>http://pbs.twimg.com/media/DwezbD_WsAAa9sX.jpg</v>
      </c>
      <c r="N1076">
        <v>0</v>
      </c>
      <c r="O1076">
        <v>0</v>
      </c>
      <c r="P1076">
        <v>1</v>
      </c>
      <c r="Q1076">
        <v>0</v>
      </c>
    </row>
    <row r="1077" spans="1:17" x14ac:dyDescent="0.2">
      <c r="A1077" s="1" t="str">
        <f>HYPERLINK("http://www.twitter.com/Ugo_Roux/status/1082981511798931456", "1082981511798931456")</f>
        <v>1082981511798931456</v>
      </c>
      <c r="B1077" t="s">
        <v>456</v>
      </c>
      <c r="C1077" s="3">
        <v>43474.531099537038</v>
      </c>
      <c r="D1077" t="s">
        <v>28</v>
      </c>
      <c r="E1077">
        <v>2</v>
      </c>
      <c r="F1077">
        <v>2</v>
      </c>
      <c r="G1077">
        <v>0</v>
      </c>
      <c r="I1077" t="s">
        <v>1112</v>
      </c>
      <c r="J1077" t="str">
        <f>HYPERLINK("http://pbs.twimg.com/media/DweFiLZX0AAofrr.jpg", "http://pbs.twimg.com/media/DweFiLZX0AAofrr.jpg")</f>
        <v>http://pbs.twimg.com/media/DweFiLZX0AAofrr.jpg</v>
      </c>
      <c r="N1077">
        <v>0</v>
      </c>
      <c r="O1077">
        <v>0</v>
      </c>
      <c r="P1077">
        <v>1</v>
      </c>
      <c r="Q1077">
        <v>0</v>
      </c>
    </row>
    <row r="1078" spans="1:17" x14ac:dyDescent="0.2">
      <c r="A1078" s="1" t="str">
        <f>HYPERLINK("http://www.twitter.com/Ugo_Roux/status/1082953192646852609", "1082953192646852609")</f>
        <v>1082953192646852609</v>
      </c>
      <c r="B1078" t="s">
        <v>414</v>
      </c>
      <c r="C1078" s="3">
        <v>43474.452962962961</v>
      </c>
      <c r="D1078" s="5" t="s">
        <v>41</v>
      </c>
      <c r="E1078">
        <v>2</v>
      </c>
      <c r="F1078">
        <v>0</v>
      </c>
      <c r="G1078">
        <v>0</v>
      </c>
      <c r="I1078" t="s">
        <v>1113</v>
      </c>
      <c r="J1078" t="str">
        <f>HYPERLINK("http://pbs.twimg.com/media/DwdsI6vWkAAmCzS.jpg", "http://pbs.twimg.com/media/DwdsI6vWkAAmCzS.jpg")</f>
        <v>http://pbs.twimg.com/media/DwdsI6vWkAAmCzS.jpg</v>
      </c>
      <c r="K1078" t="str">
        <f>HYPERLINK("http://pbs.twimg.com/media/DwdsI6zX0AAoDmV.jpg", "http://pbs.twimg.com/media/DwdsI6zX0AAoDmV.jpg")</f>
        <v>http://pbs.twimg.com/media/DwdsI6zX0AAoDmV.jpg</v>
      </c>
      <c r="L1078" t="str">
        <f>HYPERLINK("http://pbs.twimg.com/media/DwdsI6xXgAEPVWI.jpg", "http://pbs.twimg.com/media/DwdsI6xXgAEPVWI.jpg")</f>
        <v>http://pbs.twimg.com/media/DwdsI6xXgAEPVWI.jpg</v>
      </c>
      <c r="N1078">
        <v>0</v>
      </c>
      <c r="O1078">
        <v>0</v>
      </c>
      <c r="P1078">
        <v>1</v>
      </c>
      <c r="Q1078">
        <v>0</v>
      </c>
    </row>
    <row r="1079" spans="1:17" x14ac:dyDescent="0.2">
      <c r="A1079" s="1" t="str">
        <f>HYPERLINK("http://www.twitter.com/Ugo_Roux/status/1082929847016587264", "1082929847016587264")</f>
        <v>1082929847016587264</v>
      </c>
      <c r="B1079" t="s">
        <v>471</v>
      </c>
      <c r="C1079" s="3">
        <v>43474.388541666667</v>
      </c>
      <c r="D1079" s="3" t="s">
        <v>28</v>
      </c>
      <c r="E1079">
        <v>1</v>
      </c>
      <c r="F1079">
        <v>1</v>
      </c>
      <c r="G1079">
        <v>0</v>
      </c>
      <c r="I1079" t="s">
        <v>1114</v>
      </c>
      <c r="J1079" t="str">
        <f>HYPERLINK("http://pbs.twimg.com/media/DwdW635X4AEczL1.jpg", "http://pbs.twimg.com/media/DwdW635X4AEczL1.jpg")</f>
        <v>http://pbs.twimg.com/media/DwdW635X4AEczL1.jpg</v>
      </c>
      <c r="N1079">
        <v>0</v>
      </c>
      <c r="O1079">
        <v>0</v>
      </c>
      <c r="P1079">
        <v>1</v>
      </c>
      <c r="Q1079">
        <v>0</v>
      </c>
    </row>
    <row r="1080" spans="1:17" x14ac:dyDescent="0.2">
      <c r="A1080" s="1" t="str">
        <f>HYPERLINK("http://www.twitter.com/Ugo_Roux/status/1082541332198031360", "1082541332198031360")</f>
        <v>1082541332198031360</v>
      </c>
      <c r="B1080" t="s">
        <v>285</v>
      </c>
      <c r="C1080" s="3">
        <v>43473.316435185188</v>
      </c>
      <c r="D1080" s="5" t="s">
        <v>17</v>
      </c>
      <c r="E1080">
        <v>1</v>
      </c>
      <c r="F1080">
        <v>1</v>
      </c>
      <c r="G1080">
        <v>0</v>
      </c>
      <c r="I1080" t="s">
        <v>1115</v>
      </c>
      <c r="J1080" t="str">
        <f>HYPERLINK("http://pbs.twimg.com/media/DwX1gGuWkAAsC2-.jpg", "http://pbs.twimg.com/media/DwX1gGuWkAAsC2-.jpg")</f>
        <v>http://pbs.twimg.com/media/DwX1gGuWkAAsC2-.jpg</v>
      </c>
      <c r="N1080">
        <v>0</v>
      </c>
      <c r="O1080">
        <v>0</v>
      </c>
      <c r="P1080">
        <v>1</v>
      </c>
      <c r="Q1080">
        <v>0</v>
      </c>
    </row>
    <row r="1081" spans="1:17" x14ac:dyDescent="0.2">
      <c r="A1081" s="1" t="str">
        <f>HYPERLINK("http://www.twitter.com/Ugo_Roux/status/1081578181423960065", "1081578181423960065")</f>
        <v>1081578181423960065</v>
      </c>
      <c r="B1081" t="s">
        <v>425</v>
      </c>
      <c r="C1081" s="3">
        <v>43470.658645833333</v>
      </c>
      <c r="D1081" s="5" t="s">
        <v>28</v>
      </c>
      <c r="E1081">
        <v>0</v>
      </c>
      <c r="F1081">
        <v>0</v>
      </c>
      <c r="G1081">
        <v>0</v>
      </c>
      <c r="I1081" t="s">
        <v>1116</v>
      </c>
      <c r="N1081">
        <v>0</v>
      </c>
      <c r="O1081">
        <v>0</v>
      </c>
      <c r="P1081">
        <v>1</v>
      </c>
      <c r="Q1081">
        <v>0</v>
      </c>
    </row>
    <row r="1082" spans="1:17" x14ac:dyDescent="0.2">
      <c r="A1082" s="1" t="str">
        <f>HYPERLINK("http://www.twitter.com/Ugo_Roux/status/1081576334957133829", "1081576334957133829")</f>
        <v>1081576334957133829</v>
      </c>
      <c r="B1082" t="s">
        <v>425</v>
      </c>
      <c r="C1082" s="3">
        <v>43470.653553240743</v>
      </c>
      <c r="D1082" s="5" t="s">
        <v>17</v>
      </c>
      <c r="E1082">
        <v>0</v>
      </c>
      <c r="F1082">
        <v>0</v>
      </c>
      <c r="G1082">
        <v>0</v>
      </c>
      <c r="I1082" t="s">
        <v>1117</v>
      </c>
      <c r="J1082" t="str">
        <f>HYPERLINK("http://pbs.twimg.com/media/DwKHnSDX0AYzi02.jpg", "http://pbs.twimg.com/media/DwKHnSDX0AYzi02.jpg")</f>
        <v>http://pbs.twimg.com/media/DwKHnSDX0AYzi02.jpg</v>
      </c>
      <c r="N1082">
        <v>0</v>
      </c>
      <c r="O1082">
        <v>0</v>
      </c>
      <c r="P1082">
        <v>1</v>
      </c>
      <c r="Q1082">
        <v>0</v>
      </c>
    </row>
    <row r="1083" spans="1:17" x14ac:dyDescent="0.2">
      <c r="A1083" s="1" t="str">
        <f>HYPERLINK("http://www.twitter.com/Ugo_Roux/status/1081559972742397952", "1081559972742397952")</f>
        <v>1081559972742397952</v>
      </c>
      <c r="B1083" t="s">
        <v>425</v>
      </c>
      <c r="C1083" s="3">
        <v>43470.608402777783</v>
      </c>
      <c r="D1083" s="5" t="s">
        <v>28</v>
      </c>
      <c r="E1083">
        <v>0</v>
      </c>
      <c r="F1083">
        <v>0</v>
      </c>
      <c r="G1083">
        <v>0</v>
      </c>
      <c r="I1083" t="s">
        <v>1118</v>
      </c>
      <c r="N1083">
        <v>0</v>
      </c>
      <c r="O1083">
        <v>0</v>
      </c>
      <c r="P1083">
        <v>1</v>
      </c>
      <c r="Q1083">
        <v>0</v>
      </c>
    </row>
    <row r="1084" spans="1:17" x14ac:dyDescent="0.2">
      <c r="A1084" s="1" t="str">
        <f>HYPERLINK("http://www.twitter.com/Ugo_Roux/status/1081237990058405889", "1081237990058405889")</f>
        <v>1081237990058405889</v>
      </c>
      <c r="B1084" t="s">
        <v>47</v>
      </c>
      <c r="C1084" s="3">
        <v>43469.719895833332</v>
      </c>
      <c r="D1084" s="5" t="s">
        <v>17</v>
      </c>
      <c r="E1084">
        <v>14</v>
      </c>
      <c r="F1084">
        <v>10</v>
      </c>
      <c r="G1084">
        <v>0</v>
      </c>
      <c r="I1084" t="s">
        <v>1119</v>
      </c>
      <c r="J1084" t="str">
        <f>HYPERLINK("http://pbs.twimg.com/media/DwFUMBpWwAERaXS.jpg", "http://pbs.twimg.com/media/DwFUMBpWwAERaXS.jpg")</f>
        <v>http://pbs.twimg.com/media/DwFUMBpWwAERaXS.jpg</v>
      </c>
      <c r="N1084">
        <v>0</v>
      </c>
      <c r="O1084">
        <v>0</v>
      </c>
      <c r="P1084">
        <v>1</v>
      </c>
      <c r="Q1084">
        <v>0</v>
      </c>
    </row>
    <row r="1085" spans="1:17" x14ac:dyDescent="0.2">
      <c r="A1085" s="1" t="str">
        <f>HYPERLINK("http://www.twitter.com/Ugo_Roux/status/1081214547787202568", "1081214547787202568")</f>
        <v>1081214547787202568</v>
      </c>
      <c r="B1085" t="s">
        <v>425</v>
      </c>
      <c r="C1085" s="3">
        <v>43469.65520833333</v>
      </c>
      <c r="D1085" s="5" t="s">
        <v>17</v>
      </c>
      <c r="E1085">
        <v>0</v>
      </c>
      <c r="F1085">
        <v>0</v>
      </c>
      <c r="G1085">
        <v>0</v>
      </c>
      <c r="I1085" t="s">
        <v>1120</v>
      </c>
      <c r="J1085" t="str">
        <f>HYPERLINK("http://pbs.twimg.com/media/DwE-nxKXQAEUHTF.jpg", "http://pbs.twimg.com/media/DwE-nxKXQAEUHTF.jpg")</f>
        <v>http://pbs.twimg.com/media/DwE-nxKXQAEUHTF.jpg</v>
      </c>
      <c r="N1085">
        <v>0</v>
      </c>
      <c r="O1085">
        <v>0</v>
      </c>
      <c r="P1085">
        <v>1</v>
      </c>
      <c r="Q1085">
        <v>0</v>
      </c>
    </row>
    <row r="1086" spans="1:17" x14ac:dyDescent="0.2">
      <c r="A1086" s="1" t="str">
        <f>HYPERLINK("http://www.twitter.com/Ugo_Roux/status/1081153806862295040", "1081153806862295040")</f>
        <v>1081153806862295040</v>
      </c>
      <c r="B1086" t="s">
        <v>425</v>
      </c>
      <c r="C1086" s="3">
        <v>43469.487604166658</v>
      </c>
      <c r="D1086" s="5" t="s">
        <v>28</v>
      </c>
      <c r="E1086">
        <v>0</v>
      </c>
      <c r="F1086">
        <v>0</v>
      </c>
      <c r="G1086">
        <v>0</v>
      </c>
      <c r="I1086" t="s">
        <v>1121</v>
      </c>
      <c r="J1086" t="str">
        <f>HYPERLINK("http://pbs.twimg.com/media/DwEEZ-GX0AAnzMx.jpg", "http://pbs.twimg.com/media/DwEEZ-GX0AAnzMx.jpg")</f>
        <v>http://pbs.twimg.com/media/DwEEZ-GX0AAnzMx.jpg</v>
      </c>
      <c r="N1086">
        <v>-0.69079999999999997</v>
      </c>
      <c r="O1086">
        <v>0.11799999999999999</v>
      </c>
      <c r="P1086">
        <v>0.88200000000000001</v>
      </c>
      <c r="Q1086">
        <v>0</v>
      </c>
    </row>
    <row r="1087" spans="1:17" x14ac:dyDescent="0.2">
      <c r="A1087" s="1" t="str">
        <f>HYPERLINK("http://www.twitter.com/Ugo_Roux/status/1081149596359892993", "1081149596359892993")</f>
        <v>1081149596359892993</v>
      </c>
      <c r="B1087" t="s">
        <v>425</v>
      </c>
      <c r="C1087" s="3">
        <v>43469.475983796299</v>
      </c>
      <c r="D1087" s="5" t="s">
        <v>28</v>
      </c>
      <c r="E1087">
        <v>0</v>
      </c>
      <c r="F1087">
        <v>0</v>
      </c>
      <c r="G1087">
        <v>0</v>
      </c>
      <c r="I1087" t="s">
        <v>1122</v>
      </c>
      <c r="J1087" t="str">
        <f>HYPERLINK("http://pbs.twimg.com/media/DwECsOGWsAAFW0i.jpg", "http://pbs.twimg.com/media/DwECsOGWsAAFW0i.jpg")</f>
        <v>http://pbs.twimg.com/media/DwECsOGWsAAFW0i.jpg</v>
      </c>
      <c r="N1087">
        <v>0</v>
      </c>
      <c r="O1087">
        <v>0</v>
      </c>
      <c r="P1087">
        <v>1</v>
      </c>
      <c r="Q1087">
        <v>0</v>
      </c>
    </row>
    <row r="1088" spans="1:17" x14ac:dyDescent="0.2">
      <c r="A1088" s="1" t="str">
        <f>HYPERLINK("http://www.twitter.com/Ugo_Roux/status/1081148071038406657", "1081148071038406657")</f>
        <v>1081148071038406657</v>
      </c>
      <c r="B1088" t="s">
        <v>425</v>
      </c>
      <c r="C1088" s="3">
        <v>43469.471770833326</v>
      </c>
      <c r="D1088" s="5" t="s">
        <v>41</v>
      </c>
      <c r="E1088">
        <v>0</v>
      </c>
      <c r="F1088">
        <v>0</v>
      </c>
      <c r="G1088">
        <v>0</v>
      </c>
      <c r="I1088" t="s">
        <v>1123</v>
      </c>
      <c r="N1088">
        <v>0</v>
      </c>
      <c r="O1088">
        <v>0</v>
      </c>
      <c r="P1088">
        <v>1</v>
      </c>
      <c r="Q1088">
        <v>0</v>
      </c>
    </row>
    <row r="1089" spans="1:17" x14ac:dyDescent="0.2">
      <c r="A1089" s="1" t="str">
        <f>HYPERLINK("http://www.twitter.com/Ugo_Roux/status/1081120191172481024", "1081120191172481024")</f>
        <v>1081120191172481024</v>
      </c>
      <c r="B1089" t="s">
        <v>47</v>
      </c>
      <c r="C1089" s="3">
        <v>43469.394837962973</v>
      </c>
      <c r="D1089" s="3" t="s">
        <v>41</v>
      </c>
      <c r="E1089">
        <v>8</v>
      </c>
      <c r="F1089">
        <v>0</v>
      </c>
      <c r="G1089">
        <v>0</v>
      </c>
      <c r="I1089" t="s">
        <v>1124</v>
      </c>
      <c r="N1089">
        <v>0</v>
      </c>
      <c r="O1089">
        <v>0</v>
      </c>
      <c r="P1089">
        <v>1</v>
      </c>
      <c r="Q1089">
        <v>0</v>
      </c>
    </row>
    <row r="1090" spans="1:17" x14ac:dyDescent="0.2">
      <c r="A1090" s="1" t="str">
        <f>HYPERLINK("http://www.twitter.com/Ugo_Roux/status/1080882053481226242", "1080882053481226242")</f>
        <v>1080882053481226242</v>
      </c>
      <c r="B1090" t="s">
        <v>456</v>
      </c>
      <c r="C1090" s="3">
        <v>43468.737708333327</v>
      </c>
      <c r="D1090" t="s">
        <v>41</v>
      </c>
      <c r="E1090">
        <v>8</v>
      </c>
      <c r="F1090">
        <v>2</v>
      </c>
      <c r="G1090">
        <v>0</v>
      </c>
      <c r="I1090" t="s">
        <v>1125</v>
      </c>
      <c r="J1090" t="str">
        <f>HYPERLINK("http://pbs.twimg.com/media/DwAQMQnWkAI7inO.jpg", "http://pbs.twimg.com/media/DwAQMQnWkAI7inO.jpg")</f>
        <v>http://pbs.twimg.com/media/DwAQMQnWkAI7inO.jpg</v>
      </c>
      <c r="N1090">
        <v>0</v>
      </c>
      <c r="O1090">
        <v>0</v>
      </c>
      <c r="P1090">
        <v>1</v>
      </c>
      <c r="Q1090">
        <v>0</v>
      </c>
    </row>
    <row r="1091" spans="1:17" x14ac:dyDescent="0.2">
      <c r="A1091" s="1" t="str">
        <f>HYPERLINK("http://www.twitter.com/Ugo_Roux/status/1080510811653718018", "1080510811653718018")</f>
        <v>1080510811653718018</v>
      </c>
      <c r="B1091" t="s">
        <v>142</v>
      </c>
      <c r="C1091" s="3">
        <v>43467.713275462957</v>
      </c>
      <c r="D1091" s="5" t="s">
        <v>17</v>
      </c>
      <c r="E1091">
        <v>3</v>
      </c>
      <c r="F1091">
        <v>0</v>
      </c>
      <c r="G1091">
        <v>0</v>
      </c>
      <c r="I1091" t="s">
        <v>1126</v>
      </c>
      <c r="J1091" t="str">
        <f>HYPERLINK("http://pbs.twimg.com/media/Dv6-2qsWsAEj6lC.jpg", "http://pbs.twimg.com/media/Dv6-2qsWsAEj6lC.jpg")</f>
        <v>http://pbs.twimg.com/media/Dv6-2qsWsAEj6lC.jpg</v>
      </c>
      <c r="K1091" t="str">
        <f>HYPERLINK("http://pbs.twimg.com/media/Dv6-2qqXcAQJqgX.jpg", "http://pbs.twimg.com/media/Dv6-2qqXcAQJqgX.jpg")</f>
        <v>http://pbs.twimg.com/media/Dv6-2qqXcAQJqgX.jpg</v>
      </c>
      <c r="N1091">
        <v>0</v>
      </c>
      <c r="O1091">
        <v>0</v>
      </c>
      <c r="P1091">
        <v>1</v>
      </c>
      <c r="Q1091">
        <v>0</v>
      </c>
    </row>
    <row r="1092" spans="1:17" x14ac:dyDescent="0.2">
      <c r="A1092" s="1" t="str">
        <f>HYPERLINK("http://www.twitter.com/Ugo_Roux/status/1080027306561810434", "1080027306561810434")</f>
        <v>1080027306561810434</v>
      </c>
      <c r="B1092" t="s">
        <v>142</v>
      </c>
      <c r="C1092" s="3">
        <v>43466.379050925927</v>
      </c>
      <c r="D1092" s="5" t="s">
        <v>41</v>
      </c>
      <c r="E1092">
        <v>2</v>
      </c>
      <c r="F1092">
        <v>1</v>
      </c>
      <c r="G1092">
        <v>0</v>
      </c>
      <c r="I1092" t="s">
        <v>1127</v>
      </c>
      <c r="N1092">
        <v>0</v>
      </c>
      <c r="O1092">
        <v>0</v>
      </c>
      <c r="P1092">
        <v>1</v>
      </c>
      <c r="Q1092">
        <v>0</v>
      </c>
    </row>
    <row r="1093" spans="1:17" x14ac:dyDescent="0.2">
      <c r="A1093" s="1" t="str">
        <f>HYPERLINK("http://www.twitter.com/Ugo_Roux/status/1079032229572108288", "1079032229572108288")</f>
        <v>1079032229572108288</v>
      </c>
      <c r="B1093" t="s">
        <v>142</v>
      </c>
      <c r="C1093" s="3">
        <v>43463.633159722223</v>
      </c>
      <c r="D1093" s="5" t="s">
        <v>28</v>
      </c>
      <c r="E1093">
        <v>0</v>
      </c>
      <c r="F1093">
        <v>1</v>
      </c>
      <c r="G1093">
        <v>1</v>
      </c>
      <c r="I1093" t="s">
        <v>1128</v>
      </c>
      <c r="N1093">
        <v>0</v>
      </c>
      <c r="O1093">
        <v>0</v>
      </c>
      <c r="P1093">
        <v>1</v>
      </c>
      <c r="Q1093">
        <v>0</v>
      </c>
    </row>
    <row r="1094" spans="1:17" x14ac:dyDescent="0.2">
      <c r="A1094" s="1" t="str">
        <f>HYPERLINK("http://www.twitter.com/Ugo_Roux/status/1077156768550133760", "1077156768550133760")</f>
        <v>1077156768550133760</v>
      </c>
      <c r="B1094" t="s">
        <v>142</v>
      </c>
      <c r="C1094" s="3">
        <v>43458.457870370366</v>
      </c>
      <c r="D1094" s="5" t="s">
        <v>17</v>
      </c>
      <c r="E1094">
        <v>2</v>
      </c>
      <c r="F1094">
        <v>1</v>
      </c>
      <c r="G1094">
        <v>0</v>
      </c>
      <c r="I1094" t="s">
        <v>1129</v>
      </c>
      <c r="J1094" t="str">
        <f>HYPERLINK("http://pbs.twimg.com/media/DvLUXfTW0AAkKDW.jpg", "http://pbs.twimg.com/media/DvLUXfTW0AAkKDW.jpg")</f>
        <v>http://pbs.twimg.com/media/DvLUXfTW0AAkKDW.jpg</v>
      </c>
      <c r="N1094">
        <v>0</v>
      </c>
      <c r="O1094">
        <v>0</v>
      </c>
      <c r="P1094">
        <v>1</v>
      </c>
      <c r="Q1094">
        <v>0</v>
      </c>
    </row>
    <row r="1095" spans="1:17" x14ac:dyDescent="0.2">
      <c r="A1095" s="1" t="str">
        <f>HYPERLINK("http://www.twitter.com/Ugo_Roux/status/1076513899279761408", "1076513899279761408")</f>
        <v>1076513899279761408</v>
      </c>
      <c r="B1095" t="s">
        <v>130</v>
      </c>
      <c r="C1095" s="3">
        <v>43456.683888888889</v>
      </c>
      <c r="D1095" s="5" t="s">
        <v>41</v>
      </c>
      <c r="E1095">
        <v>1</v>
      </c>
      <c r="F1095">
        <v>0</v>
      </c>
      <c r="G1095">
        <v>0</v>
      </c>
      <c r="I1095" t="s">
        <v>1130</v>
      </c>
      <c r="N1095">
        <v>0</v>
      </c>
      <c r="O1095">
        <v>0</v>
      </c>
      <c r="P1095">
        <v>1</v>
      </c>
      <c r="Q1095">
        <v>0</v>
      </c>
    </row>
    <row r="1096" spans="1:17" x14ac:dyDescent="0.2">
      <c r="A1096" s="1" t="str">
        <f>HYPERLINK("http://www.twitter.com/Ugo_Roux/status/1076509787381293056", "1076509787381293056")</f>
        <v>1076509787381293056</v>
      </c>
      <c r="B1096" t="s">
        <v>414</v>
      </c>
      <c r="C1096" s="3">
        <v>43456.672546296293</v>
      </c>
      <c r="D1096" s="5" t="s">
        <v>41</v>
      </c>
      <c r="E1096">
        <v>0</v>
      </c>
      <c r="F1096">
        <v>0</v>
      </c>
      <c r="G1096">
        <v>0</v>
      </c>
      <c r="I1096" t="s">
        <v>1131</v>
      </c>
      <c r="J1096" t="str">
        <f>HYPERLINK("http://pbs.twimg.com/media/DvCH49uX4AA_5fc.jpg", "http://pbs.twimg.com/media/DvCH49uX4AA_5fc.jpg")</f>
        <v>http://pbs.twimg.com/media/DvCH49uX4AA_5fc.jpg</v>
      </c>
      <c r="N1096">
        <v>0</v>
      </c>
      <c r="O1096">
        <v>0</v>
      </c>
      <c r="P1096">
        <v>1</v>
      </c>
      <c r="Q1096">
        <v>0</v>
      </c>
    </row>
    <row r="1097" spans="1:17" x14ac:dyDescent="0.2">
      <c r="A1097" s="1" t="str">
        <f>HYPERLINK("http://www.twitter.com/Ugo_Roux/status/1076402008649879552", "1076402008649879552")</f>
        <v>1076402008649879552</v>
      </c>
      <c r="B1097" t="s">
        <v>130</v>
      </c>
      <c r="C1097" s="3">
        <v>43456.375138888892</v>
      </c>
      <c r="D1097" s="5" t="s">
        <v>17</v>
      </c>
      <c r="E1097">
        <v>1</v>
      </c>
      <c r="F1097">
        <v>0</v>
      </c>
      <c r="G1097">
        <v>0</v>
      </c>
      <c r="I1097" t="s">
        <v>1132</v>
      </c>
      <c r="N1097">
        <v>0</v>
      </c>
      <c r="O1097">
        <v>0</v>
      </c>
      <c r="P1097">
        <v>1</v>
      </c>
      <c r="Q1097">
        <v>0</v>
      </c>
    </row>
    <row r="1098" spans="1:17" x14ac:dyDescent="0.2">
      <c r="A1098" s="1" t="str">
        <f>HYPERLINK("http://www.twitter.com/Ugo_Roux/status/1076123046329700352", "1076123046329700352")</f>
        <v>1076123046329700352</v>
      </c>
      <c r="B1098" t="s">
        <v>370</v>
      </c>
      <c r="C1098" s="3">
        <v>43455.605347222219</v>
      </c>
      <c r="D1098" s="5" t="s">
        <v>41</v>
      </c>
      <c r="E1098">
        <v>0</v>
      </c>
      <c r="F1098">
        <v>0</v>
      </c>
      <c r="G1098">
        <v>0</v>
      </c>
      <c r="I1098" t="s">
        <v>1133</v>
      </c>
      <c r="J1098" t="str">
        <f>HYPERLINK("http://pbs.twimg.com/media/Du8oNRmVsAAzpjh.jpg", "http://pbs.twimg.com/media/Du8oNRmVsAAzpjh.jpg")</f>
        <v>http://pbs.twimg.com/media/Du8oNRmVsAAzpjh.jpg</v>
      </c>
      <c r="N1098">
        <v>0</v>
      </c>
      <c r="O1098">
        <v>0</v>
      </c>
      <c r="P1098">
        <v>1</v>
      </c>
      <c r="Q1098">
        <v>0</v>
      </c>
    </row>
    <row r="1099" spans="1:17" x14ac:dyDescent="0.2">
      <c r="A1099" s="1" t="str">
        <f>HYPERLINK("http://www.twitter.com/Ugo_Roux/status/1075662119830544384", "1075662119830544384")</f>
        <v>1075662119830544384</v>
      </c>
      <c r="B1099" t="s">
        <v>130</v>
      </c>
      <c r="C1099" s="3">
        <v>43454.333425925928</v>
      </c>
      <c r="D1099" s="5" t="s">
        <v>17</v>
      </c>
      <c r="E1099">
        <v>0</v>
      </c>
      <c r="F1099">
        <v>0</v>
      </c>
      <c r="G1099">
        <v>0</v>
      </c>
      <c r="I1099" t="s">
        <v>1134</v>
      </c>
      <c r="N1099">
        <v>0</v>
      </c>
      <c r="O1099">
        <v>0</v>
      </c>
      <c r="P1099">
        <v>1</v>
      </c>
      <c r="Q1099">
        <v>0</v>
      </c>
    </row>
    <row r="1100" spans="1:17" x14ac:dyDescent="0.2">
      <c r="A1100" s="1" t="str">
        <f>HYPERLINK("http://www.twitter.com/Ugo_Roux/status/1075435126270631939", "1075435126270631939")</f>
        <v>1075435126270631939</v>
      </c>
      <c r="B1100" t="s">
        <v>130</v>
      </c>
      <c r="C1100" s="3">
        <v>43453.707048611112</v>
      </c>
      <c r="D1100" s="5" t="s">
        <v>17</v>
      </c>
      <c r="E1100">
        <v>0</v>
      </c>
      <c r="F1100">
        <v>0</v>
      </c>
      <c r="G1100">
        <v>0</v>
      </c>
      <c r="I1100" t="s">
        <v>1135</v>
      </c>
      <c r="N1100">
        <v>0</v>
      </c>
      <c r="O1100">
        <v>0</v>
      </c>
      <c r="P1100">
        <v>1</v>
      </c>
      <c r="Q1100">
        <v>0</v>
      </c>
    </row>
    <row r="1101" spans="1:17" x14ac:dyDescent="0.2">
      <c r="A1101" s="1" t="str">
        <f>HYPERLINK("http://www.twitter.com/Ugo_Roux/status/1075402321499185152", "1075402321499185152")</f>
        <v>1075402321499185152</v>
      </c>
      <c r="B1101" t="s">
        <v>456</v>
      </c>
      <c r="C1101" s="3">
        <v>43453.616527777784</v>
      </c>
      <c r="D1101" t="s">
        <v>24</v>
      </c>
      <c r="E1101">
        <v>28</v>
      </c>
      <c r="F1101">
        <v>12</v>
      </c>
      <c r="G1101">
        <v>1</v>
      </c>
      <c r="I1101" t="s">
        <v>1136</v>
      </c>
      <c r="J1101" t="str">
        <f>HYPERLINK("http://pbs.twimg.com/media/DuyYPUCWsAcAqAL.jpg", "http://pbs.twimg.com/media/DuyYPUCWsAcAqAL.jpg")</f>
        <v>http://pbs.twimg.com/media/DuyYPUCWsAcAqAL.jpg</v>
      </c>
      <c r="N1101">
        <v>0</v>
      </c>
      <c r="O1101">
        <v>0</v>
      </c>
      <c r="P1101">
        <v>1</v>
      </c>
      <c r="Q1101">
        <v>0</v>
      </c>
    </row>
    <row r="1102" spans="1:17" x14ac:dyDescent="0.2">
      <c r="A1102" s="1" t="str">
        <f>HYPERLINK("http://www.twitter.com/Ugo_Roux/status/1075310048623108096", "1075310048623108096")</f>
        <v>1075310048623108096</v>
      </c>
      <c r="B1102" t="s">
        <v>456</v>
      </c>
      <c r="C1102" s="3">
        <v>43453.361898148149</v>
      </c>
      <c r="D1102" t="s">
        <v>28</v>
      </c>
      <c r="E1102">
        <v>10</v>
      </c>
      <c r="F1102">
        <v>3</v>
      </c>
      <c r="G1102">
        <v>0</v>
      </c>
      <c r="I1102" t="s">
        <v>1137</v>
      </c>
      <c r="J1102" t="str">
        <f>HYPERLINK("http://pbs.twimg.com/media/DuxEuWRWwAAwJ4B.jpg", "http://pbs.twimg.com/media/DuxEuWRWwAAwJ4B.jpg")</f>
        <v>http://pbs.twimg.com/media/DuxEuWRWwAAwJ4B.jpg</v>
      </c>
      <c r="K1102" t="str">
        <f>HYPERLINK("http://pbs.twimg.com/media/DuxEwweXcAERjRP.jpg", "http://pbs.twimg.com/media/DuxEwweXcAERjRP.jpg")</f>
        <v>http://pbs.twimg.com/media/DuxEwweXcAERjRP.jpg</v>
      </c>
      <c r="L1102" t="str">
        <f>HYPERLINK("http://pbs.twimg.com/media/DuxEww-XQAAyBN7.jpg", "http://pbs.twimg.com/media/DuxEww-XQAAyBN7.jpg")</f>
        <v>http://pbs.twimg.com/media/DuxEww-XQAAyBN7.jpg</v>
      </c>
      <c r="M1102" t="str">
        <f>HYPERLINK("http://pbs.twimg.com/media/DuxEwxpX4AAOF5J.jpg", "http://pbs.twimg.com/media/DuxEwxpX4AAOF5J.jpg")</f>
        <v>http://pbs.twimg.com/media/DuxEwxpX4AAOF5J.jpg</v>
      </c>
      <c r="N1102">
        <v>0</v>
      </c>
      <c r="O1102">
        <v>0</v>
      </c>
      <c r="P1102">
        <v>1</v>
      </c>
      <c r="Q1102">
        <v>0</v>
      </c>
    </row>
    <row r="1103" spans="1:17" x14ac:dyDescent="0.2">
      <c r="A1103" s="1" t="str">
        <f>HYPERLINK("http://www.twitter.com/Ugo_Roux/status/1074688909341265920", "1074688909341265920")</f>
        <v>1074688909341265920</v>
      </c>
      <c r="B1103" t="s">
        <v>142</v>
      </c>
      <c r="C1103" s="3">
        <v>43451.647881944453</v>
      </c>
      <c r="D1103" s="5" t="s">
        <v>17</v>
      </c>
      <c r="E1103">
        <v>3</v>
      </c>
      <c r="F1103">
        <v>2</v>
      </c>
      <c r="G1103">
        <v>0</v>
      </c>
      <c r="I1103" t="s">
        <v>1138</v>
      </c>
      <c r="J1103" t="str">
        <f>HYPERLINK("http://pbs.twimg.com/media/DuoP3U1XcAAEVOk.jpg", "http://pbs.twimg.com/media/DuoP3U1XcAAEVOk.jpg")</f>
        <v>http://pbs.twimg.com/media/DuoP3U1XcAAEVOk.jpg</v>
      </c>
      <c r="N1103">
        <v>-0.128</v>
      </c>
      <c r="O1103">
        <v>0.04</v>
      </c>
      <c r="P1103">
        <v>0.96</v>
      </c>
      <c r="Q1103">
        <v>0</v>
      </c>
    </row>
    <row r="1104" spans="1:17" x14ac:dyDescent="0.2">
      <c r="A1104" s="1" t="str">
        <f>HYPERLINK("http://www.twitter.com/Ugo_Roux/status/1073938852933525505", "1073938852933525505")</f>
        <v>1073938852933525505</v>
      </c>
      <c r="B1104" t="s">
        <v>206</v>
      </c>
      <c r="C1104" s="3">
        <v>43449.578125</v>
      </c>
      <c r="D1104" s="5" t="s">
        <v>41</v>
      </c>
      <c r="E1104">
        <v>8</v>
      </c>
      <c r="F1104">
        <v>1</v>
      </c>
      <c r="G1104">
        <v>0</v>
      </c>
      <c r="I1104" t="s">
        <v>1139</v>
      </c>
      <c r="J1104" t="str">
        <f>HYPERLINK("http://pbs.twimg.com/media/Dudkh76X4AAM-Li.jpg", "http://pbs.twimg.com/media/Dudkh76X4AAM-Li.jpg")</f>
        <v>http://pbs.twimg.com/media/Dudkh76X4AAM-Li.jpg</v>
      </c>
      <c r="N1104">
        <v>0</v>
      </c>
      <c r="O1104">
        <v>0</v>
      </c>
      <c r="P1104">
        <v>1</v>
      </c>
      <c r="Q1104">
        <v>0</v>
      </c>
    </row>
    <row r="1105" spans="1:17" x14ac:dyDescent="0.2">
      <c r="A1105" s="1" t="str">
        <f>HYPERLINK("http://www.twitter.com/Ugo_Roux/status/1073925527914864640", "1073925527914864640")</f>
        <v>1073925527914864640</v>
      </c>
      <c r="B1105" t="s">
        <v>97</v>
      </c>
      <c r="C1105" s="3">
        <v>43449.541354166657</v>
      </c>
      <c r="D1105" s="5" t="s">
        <v>41</v>
      </c>
      <c r="E1105">
        <v>0</v>
      </c>
      <c r="F1105">
        <v>0</v>
      </c>
      <c r="G1105">
        <v>0</v>
      </c>
      <c r="I1105" t="s">
        <v>1140</v>
      </c>
      <c r="J1105" t="str">
        <f>HYPERLINK("http://pbs.twimg.com/media/DudZk3SV4AA4n-X.jpg", "http://pbs.twimg.com/media/DudZk3SV4AA4n-X.jpg")</f>
        <v>http://pbs.twimg.com/media/DudZk3SV4AA4n-X.jpg</v>
      </c>
      <c r="N1105">
        <v>0</v>
      </c>
      <c r="O1105">
        <v>0</v>
      </c>
      <c r="P1105">
        <v>1</v>
      </c>
      <c r="Q1105">
        <v>0</v>
      </c>
    </row>
    <row r="1106" spans="1:17" x14ac:dyDescent="0.2">
      <c r="A1106" s="1" t="str">
        <f>HYPERLINK("http://www.twitter.com/Ugo_Roux/status/1073917414780354566", "1073917414780354566")</f>
        <v>1073917414780354566</v>
      </c>
      <c r="B1106" t="s">
        <v>142</v>
      </c>
      <c r="C1106" s="3">
        <v>43449.518958333327</v>
      </c>
      <c r="D1106" s="5" t="s">
        <v>41</v>
      </c>
      <c r="E1106">
        <v>1</v>
      </c>
      <c r="F1106">
        <v>1</v>
      </c>
      <c r="G1106">
        <v>0</v>
      </c>
      <c r="I1106" t="s">
        <v>1141</v>
      </c>
      <c r="J1106" t="str">
        <f>HYPERLINK("http://pbs.twimg.com/media/DudSMPCXcAAJvZc.jpg", "http://pbs.twimg.com/media/DudSMPCXcAAJvZc.jpg")</f>
        <v>http://pbs.twimg.com/media/DudSMPCXcAAJvZc.jpg</v>
      </c>
      <c r="K1106" t="str">
        <f>HYPERLINK("http://pbs.twimg.com/media/DudSMPBXQAEvqo9.jpg", "http://pbs.twimg.com/media/DudSMPBXQAEvqo9.jpg")</f>
        <v>http://pbs.twimg.com/media/DudSMPBXQAEvqo9.jpg</v>
      </c>
      <c r="N1106">
        <v>0</v>
      </c>
      <c r="O1106">
        <v>0</v>
      </c>
      <c r="P1106">
        <v>1</v>
      </c>
      <c r="Q1106">
        <v>0</v>
      </c>
    </row>
    <row r="1107" spans="1:17" x14ac:dyDescent="0.2">
      <c r="A1107" s="1" t="str">
        <f>HYPERLINK("http://www.twitter.com/Ugo_Roux/status/1073876722980974594", "1073876722980974594")</f>
        <v>1073876722980974594</v>
      </c>
      <c r="B1107" t="s">
        <v>414</v>
      </c>
      <c r="C1107" s="3">
        <v>43449.406678240739</v>
      </c>
      <c r="D1107" s="5" t="s">
        <v>17</v>
      </c>
      <c r="E1107">
        <v>0</v>
      </c>
      <c r="F1107">
        <v>0</v>
      </c>
      <c r="G1107">
        <v>0</v>
      </c>
      <c r="I1107" t="s">
        <v>1142</v>
      </c>
      <c r="J1107" t="str">
        <f>HYPERLINK("http://pbs.twimg.com/media/DuctLHyW4AEZ4hQ.jpg", "http://pbs.twimg.com/media/DuctLHyW4AEZ4hQ.jpg")</f>
        <v>http://pbs.twimg.com/media/DuctLHyW4AEZ4hQ.jpg</v>
      </c>
      <c r="K1107" t="str">
        <f>HYPERLINK("http://pbs.twimg.com/media/DuctLHyXcAA_VYk.jpg", "http://pbs.twimg.com/media/DuctLHyXcAA_VYk.jpg")</f>
        <v>http://pbs.twimg.com/media/DuctLHyXcAA_VYk.jpg</v>
      </c>
      <c r="N1107">
        <v>0</v>
      </c>
      <c r="O1107">
        <v>0</v>
      </c>
      <c r="P1107">
        <v>1</v>
      </c>
      <c r="Q1107">
        <v>0</v>
      </c>
    </row>
    <row r="1108" spans="1:17" x14ac:dyDescent="0.2">
      <c r="A1108" s="1" t="str">
        <f>HYPERLINK("http://www.twitter.com/Ugo_Roux/status/1073862619633717248", "1073862619633717248")</f>
        <v>1073862619633717248</v>
      </c>
      <c r="B1108" t="s">
        <v>476</v>
      </c>
      <c r="C1108" s="3">
        <v>43449.367754629631</v>
      </c>
      <c r="D1108" s="5" t="s">
        <v>28</v>
      </c>
      <c r="E1108">
        <v>1</v>
      </c>
      <c r="F1108">
        <v>0</v>
      </c>
      <c r="G1108">
        <v>0</v>
      </c>
      <c r="I1108" t="s">
        <v>1143</v>
      </c>
      <c r="J1108" t="str">
        <f>HYPERLINK("http://pbs.twimg.com/media/DucgMz4WsAE3WVW.jpg", "http://pbs.twimg.com/media/DucgMz4WsAE3WVW.jpg")</f>
        <v>http://pbs.twimg.com/media/DucgMz4WsAE3WVW.jpg</v>
      </c>
      <c r="N1108">
        <v>0</v>
      </c>
      <c r="O1108">
        <v>0</v>
      </c>
      <c r="P1108">
        <v>1</v>
      </c>
      <c r="Q1108">
        <v>0</v>
      </c>
    </row>
    <row r="1109" spans="1:17" x14ac:dyDescent="0.2">
      <c r="A1109" s="1" t="str">
        <f>HYPERLINK("http://www.twitter.com/Ugo_Roux/status/1073656819573248006", "1073656819573248006")</f>
        <v>1073656819573248006</v>
      </c>
      <c r="B1109" t="s">
        <v>130</v>
      </c>
      <c r="C1109" s="3">
        <v>43448.799861111111</v>
      </c>
      <c r="D1109" s="5" t="s">
        <v>17</v>
      </c>
      <c r="E1109">
        <v>0</v>
      </c>
      <c r="F1109">
        <v>0</v>
      </c>
      <c r="G1109">
        <v>0</v>
      </c>
      <c r="I1109" t="s">
        <v>1144</v>
      </c>
      <c r="N1109">
        <v>0</v>
      </c>
      <c r="O1109">
        <v>0</v>
      </c>
      <c r="P1109">
        <v>1</v>
      </c>
      <c r="Q1109">
        <v>0</v>
      </c>
    </row>
    <row r="1110" spans="1:17" x14ac:dyDescent="0.2">
      <c r="A1110" s="1" t="str">
        <f>HYPERLINK("http://www.twitter.com/Ugo_Roux/status/1073652987468353536", "1073652987468353536")</f>
        <v>1073652987468353536</v>
      </c>
      <c r="B1110" t="s">
        <v>130</v>
      </c>
      <c r="C1110" s="3">
        <v>43448.789282407408</v>
      </c>
      <c r="D1110" s="5" t="s">
        <v>28</v>
      </c>
      <c r="E1110">
        <v>0</v>
      </c>
      <c r="F1110">
        <v>0</v>
      </c>
      <c r="G1110">
        <v>0</v>
      </c>
      <c r="I1110" t="s">
        <v>1145</v>
      </c>
      <c r="N1110">
        <v>0</v>
      </c>
      <c r="O1110">
        <v>0</v>
      </c>
      <c r="P1110">
        <v>1</v>
      </c>
      <c r="Q1110">
        <v>0</v>
      </c>
    </row>
    <row r="1111" spans="1:17" x14ac:dyDescent="0.2">
      <c r="A1111" s="1" t="str">
        <f>HYPERLINK("http://www.twitter.com/Ugo_Roux/status/1073589537551630336", "1073589537551630336")</f>
        <v>1073589537551630336</v>
      </c>
      <c r="B1111" t="s">
        <v>142</v>
      </c>
      <c r="C1111" s="3">
        <v>43448.614189814813</v>
      </c>
      <c r="D1111" s="5" t="s">
        <v>17</v>
      </c>
      <c r="E1111">
        <v>0</v>
      </c>
      <c r="F1111">
        <v>0</v>
      </c>
      <c r="G1111">
        <v>0</v>
      </c>
      <c r="I1111" t="s">
        <v>1146</v>
      </c>
      <c r="J1111" t="str">
        <f>HYPERLINK("http://pbs.twimg.com/media/DuYn_epW4AAWQoj.jpg", "http://pbs.twimg.com/media/DuYn_epW4AAWQoj.jpg")</f>
        <v>http://pbs.twimg.com/media/DuYn_epW4AAWQoj.jpg</v>
      </c>
      <c r="N1111">
        <v>0</v>
      </c>
      <c r="O1111">
        <v>0</v>
      </c>
      <c r="P1111">
        <v>1</v>
      </c>
      <c r="Q1111">
        <v>0</v>
      </c>
    </row>
    <row r="1112" spans="1:17" x14ac:dyDescent="0.2">
      <c r="A1112" s="1" t="str">
        <f>HYPERLINK("http://www.twitter.com/Ugo_Roux/status/1073113750113304577", "1073113750113304577")</f>
        <v>1073113750113304577</v>
      </c>
      <c r="B1112" t="s">
        <v>285</v>
      </c>
      <c r="C1112" s="3">
        <v>43447.30127314815</v>
      </c>
      <c r="D1112" s="5" t="s">
        <v>17</v>
      </c>
      <c r="E1112">
        <v>0</v>
      </c>
      <c r="F1112">
        <v>0</v>
      </c>
      <c r="G1112">
        <v>0</v>
      </c>
      <c r="I1112" t="s">
        <v>1147</v>
      </c>
      <c r="J1112" t="str">
        <f>HYPERLINK("http://pbs.twimg.com/media/DuR3OzhWwAAoOJY.jpg", "http://pbs.twimg.com/media/DuR3OzhWwAAoOJY.jpg")</f>
        <v>http://pbs.twimg.com/media/DuR3OzhWwAAoOJY.jpg</v>
      </c>
      <c r="N1112">
        <v>0.45879999999999999</v>
      </c>
      <c r="O1112">
        <v>0</v>
      </c>
      <c r="P1112">
        <v>0.8</v>
      </c>
      <c r="Q1112">
        <v>0.2</v>
      </c>
    </row>
    <row r="1113" spans="1:17" x14ac:dyDescent="0.2">
      <c r="A1113" s="1" t="str">
        <f>HYPERLINK("http://www.twitter.com/Ugo_Roux/status/1072753140099899392", "1072753140099899392")</f>
        <v>1072753140099899392</v>
      </c>
      <c r="B1113" t="s">
        <v>285</v>
      </c>
      <c r="C1113" s="3">
        <v>43446.306180555563</v>
      </c>
      <c r="D1113" s="5" t="s">
        <v>17</v>
      </c>
      <c r="E1113">
        <v>0</v>
      </c>
      <c r="F1113">
        <v>0</v>
      </c>
      <c r="G1113">
        <v>0</v>
      </c>
      <c r="I1113" t="s">
        <v>1148</v>
      </c>
      <c r="J1113" t="str">
        <f>HYPERLINK("http://pbs.twimg.com/media/DuMvR59XcAEx_pd.jpg", "http://pbs.twimg.com/media/DuMvR59XcAEx_pd.jpg")</f>
        <v>http://pbs.twimg.com/media/DuMvR59XcAEx_pd.jpg</v>
      </c>
      <c r="N1113">
        <v>0</v>
      </c>
      <c r="O1113">
        <v>0</v>
      </c>
      <c r="P1113">
        <v>1</v>
      </c>
      <c r="Q1113">
        <v>0</v>
      </c>
    </row>
    <row r="1114" spans="1:17" x14ac:dyDescent="0.2">
      <c r="A1114" s="1" t="str">
        <f>HYPERLINK("http://www.twitter.com/Ugo_Roux/status/1072559689156751360", "1072559689156751360")</f>
        <v>1072559689156751360</v>
      </c>
      <c r="B1114" t="s">
        <v>130</v>
      </c>
      <c r="C1114" s="3">
        <v>43445.772349537037</v>
      </c>
      <c r="D1114" s="5" t="s">
        <v>17</v>
      </c>
      <c r="E1114">
        <v>0</v>
      </c>
      <c r="F1114">
        <v>0</v>
      </c>
      <c r="G1114">
        <v>0</v>
      </c>
      <c r="I1114" t="s">
        <v>1149</v>
      </c>
      <c r="N1114">
        <v>0</v>
      </c>
      <c r="O1114">
        <v>0</v>
      </c>
      <c r="P1114">
        <v>1</v>
      </c>
      <c r="Q1114">
        <v>0</v>
      </c>
    </row>
    <row r="1115" spans="1:17" x14ac:dyDescent="0.2">
      <c r="A1115" s="1" t="str">
        <f>HYPERLINK("http://www.twitter.com/Ugo_Roux/status/1072446097786892289", "1072446097786892289")</f>
        <v>1072446097786892289</v>
      </c>
      <c r="B1115" t="s">
        <v>97</v>
      </c>
      <c r="C1115" s="3">
        <v>43445.45890046296</v>
      </c>
      <c r="D1115" s="5" t="s">
        <v>41</v>
      </c>
      <c r="E1115">
        <v>0</v>
      </c>
      <c r="F1115">
        <v>0</v>
      </c>
      <c r="G1115">
        <v>0</v>
      </c>
      <c r="I1115" t="s">
        <v>1150</v>
      </c>
      <c r="J1115" t="str">
        <f>HYPERLINK("http://pbs.twimg.com/media/DuIYCZCWsAACBUh.jpg", "http://pbs.twimg.com/media/DuIYCZCWsAACBUh.jpg")</f>
        <v>http://pbs.twimg.com/media/DuIYCZCWsAACBUh.jpg</v>
      </c>
      <c r="N1115">
        <v>0</v>
      </c>
      <c r="O1115">
        <v>0</v>
      </c>
      <c r="P1115">
        <v>1</v>
      </c>
      <c r="Q1115">
        <v>0</v>
      </c>
    </row>
    <row r="1116" spans="1:17" x14ac:dyDescent="0.2">
      <c r="A1116" s="1" t="str">
        <f>HYPERLINK("http://www.twitter.com/Ugo_Roux/status/1072388410264956928", "1072388410264956928")</f>
        <v>1072388410264956928</v>
      </c>
      <c r="B1116" t="s">
        <v>285</v>
      </c>
      <c r="C1116" s="3">
        <v>43445.299710648149</v>
      </c>
      <c r="D1116" s="5" t="s">
        <v>17</v>
      </c>
      <c r="E1116">
        <v>3</v>
      </c>
      <c r="F1116">
        <v>1</v>
      </c>
      <c r="G1116">
        <v>0</v>
      </c>
      <c r="I1116" t="s">
        <v>1151</v>
      </c>
      <c r="J1116" t="str">
        <f>HYPERLINK("http://pbs.twimg.com/media/DuHjjSxXQAAu813.jpg", "http://pbs.twimg.com/media/DuHjjSxXQAAu813.jpg")</f>
        <v>http://pbs.twimg.com/media/DuHjjSxXQAAu813.jpg</v>
      </c>
      <c r="N1116">
        <v>0</v>
      </c>
      <c r="O1116">
        <v>0</v>
      </c>
      <c r="P1116">
        <v>1</v>
      </c>
      <c r="Q1116">
        <v>0</v>
      </c>
    </row>
    <row r="1117" spans="1:17" x14ac:dyDescent="0.2">
      <c r="A1117" s="1" t="str">
        <f>HYPERLINK("http://www.twitter.com/Ugo_Roux/status/1072122042126884865", "1072122042126884865")</f>
        <v>1072122042126884865</v>
      </c>
      <c r="B1117" t="s">
        <v>142</v>
      </c>
      <c r="C1117" s="3">
        <v>43444.564675925933</v>
      </c>
      <c r="D1117" s="5" t="s">
        <v>17</v>
      </c>
      <c r="E1117">
        <v>0</v>
      </c>
      <c r="F1117">
        <v>0</v>
      </c>
      <c r="G1117">
        <v>0</v>
      </c>
      <c r="I1117" t="s">
        <v>1152</v>
      </c>
      <c r="J1117" t="str">
        <f>HYPERLINK("http://pbs.twimg.com/media/DuDxT5KW4AEmiU3.jpg", "http://pbs.twimg.com/media/DuDxT5KW4AEmiU3.jpg")</f>
        <v>http://pbs.twimg.com/media/DuDxT5KW4AEmiU3.jpg</v>
      </c>
      <c r="N1117">
        <v>0</v>
      </c>
      <c r="O1117">
        <v>0</v>
      </c>
      <c r="P1117">
        <v>1</v>
      </c>
      <c r="Q1117">
        <v>0</v>
      </c>
    </row>
    <row r="1118" spans="1:17" x14ac:dyDescent="0.2">
      <c r="A1118" s="1" t="str">
        <f>HYPERLINK("http://www.twitter.com/Ugo_Roux/status/1071810510717419521", "1071810510717419521")</f>
        <v>1071810510717419521</v>
      </c>
      <c r="B1118" t="s">
        <v>142</v>
      </c>
      <c r="C1118" s="3">
        <v>43443.705011574071</v>
      </c>
      <c r="D1118" s="5" t="s">
        <v>28</v>
      </c>
      <c r="E1118">
        <v>1</v>
      </c>
      <c r="F1118">
        <v>2</v>
      </c>
      <c r="G1118">
        <v>0</v>
      </c>
      <c r="I1118" t="s">
        <v>1153</v>
      </c>
      <c r="N1118">
        <v>0</v>
      </c>
      <c r="O1118">
        <v>0</v>
      </c>
      <c r="P1118">
        <v>1</v>
      </c>
      <c r="Q1118">
        <v>0</v>
      </c>
    </row>
    <row r="1119" spans="1:17" x14ac:dyDescent="0.2">
      <c r="A1119" s="1" t="str">
        <f>HYPERLINK("http://www.twitter.com/Ugo_Roux/status/1071349540203171846", "1071349540203171846")</f>
        <v>1071349540203171846</v>
      </c>
      <c r="B1119" t="s">
        <v>142</v>
      </c>
      <c r="C1119" s="3">
        <v>43442.432974537027</v>
      </c>
      <c r="D1119" s="5" t="s">
        <v>41</v>
      </c>
      <c r="E1119">
        <v>1</v>
      </c>
      <c r="F1119">
        <v>0</v>
      </c>
      <c r="G1119">
        <v>0</v>
      </c>
      <c r="I1119" t="s">
        <v>1154</v>
      </c>
      <c r="N1119">
        <v>0</v>
      </c>
      <c r="O1119">
        <v>0</v>
      </c>
      <c r="P1119">
        <v>1</v>
      </c>
      <c r="Q1119">
        <v>0</v>
      </c>
    </row>
    <row r="1120" spans="1:17" x14ac:dyDescent="0.2">
      <c r="A1120" s="1" t="str">
        <f>HYPERLINK("http://www.twitter.com/Ugo_Roux/status/1071317796884230144", "1071317796884230144")</f>
        <v>1071317796884230144</v>
      </c>
      <c r="B1120" t="s">
        <v>476</v>
      </c>
      <c r="C1120" s="3">
        <v>43442.345381944448</v>
      </c>
      <c r="D1120" s="5" t="s">
        <v>17</v>
      </c>
      <c r="E1120">
        <v>0</v>
      </c>
      <c r="F1120">
        <v>0</v>
      </c>
      <c r="G1120">
        <v>0</v>
      </c>
      <c r="I1120" t="s">
        <v>1155</v>
      </c>
      <c r="J1120" t="str">
        <f>HYPERLINK("http://pbs.twimg.com/media/Dt4VSgmWkAA7HNT.jpg", "http://pbs.twimg.com/media/Dt4VSgmWkAA7HNT.jpg")</f>
        <v>http://pbs.twimg.com/media/Dt4VSgmWkAA7HNT.jpg</v>
      </c>
      <c r="N1120">
        <v>0</v>
      </c>
      <c r="O1120">
        <v>0</v>
      </c>
      <c r="P1120">
        <v>1</v>
      </c>
      <c r="Q1120">
        <v>0</v>
      </c>
    </row>
    <row r="1121" spans="1:17" x14ac:dyDescent="0.2">
      <c r="A1121" s="1" t="str">
        <f>HYPERLINK("http://www.twitter.com/Ugo_Roux/status/1071304823763537920", "1071304823763537920")</f>
        <v>1071304823763537920</v>
      </c>
      <c r="B1121" t="s">
        <v>142</v>
      </c>
      <c r="C1121" s="3">
        <v>43442.309583333343</v>
      </c>
      <c r="D1121" s="5" t="s">
        <v>28</v>
      </c>
      <c r="E1121">
        <v>0</v>
      </c>
      <c r="F1121">
        <v>0</v>
      </c>
      <c r="G1121">
        <v>0</v>
      </c>
      <c r="I1121" t="s">
        <v>1156</v>
      </c>
      <c r="N1121">
        <v>0</v>
      </c>
      <c r="O1121">
        <v>0</v>
      </c>
      <c r="P1121">
        <v>1</v>
      </c>
      <c r="Q1121">
        <v>0</v>
      </c>
    </row>
    <row r="1122" spans="1:17" x14ac:dyDescent="0.2">
      <c r="A1122" s="1" t="str">
        <f>HYPERLINK("http://www.twitter.com/Ugo_Roux/status/1071110555438596096", "1071110555438596096")</f>
        <v>1071110555438596096</v>
      </c>
      <c r="B1122" t="s">
        <v>142</v>
      </c>
      <c r="C1122" s="3">
        <v>43441.773506944453</v>
      </c>
      <c r="D1122" s="5" t="s">
        <v>28</v>
      </c>
      <c r="E1122">
        <v>0</v>
      </c>
      <c r="F1122">
        <v>2</v>
      </c>
      <c r="G1122">
        <v>0</v>
      </c>
      <c r="I1122" t="s">
        <v>1157</v>
      </c>
      <c r="N1122">
        <v>0</v>
      </c>
      <c r="O1122">
        <v>0</v>
      </c>
      <c r="P1122">
        <v>1</v>
      </c>
      <c r="Q1122">
        <v>0</v>
      </c>
    </row>
    <row r="1123" spans="1:17" x14ac:dyDescent="0.2">
      <c r="A1123" s="1" t="str">
        <f>HYPERLINK("http://www.twitter.com/Ugo_Roux/status/1070985262816202752", "1070985262816202752")</f>
        <v>1070985262816202752</v>
      </c>
      <c r="B1123" t="s">
        <v>414</v>
      </c>
      <c r="C1123" s="3">
        <v>43441.427766203713</v>
      </c>
      <c r="D1123" s="5" t="s">
        <v>24</v>
      </c>
      <c r="E1123">
        <v>0</v>
      </c>
      <c r="F1123">
        <v>1</v>
      </c>
      <c r="G1123">
        <v>0</v>
      </c>
      <c r="I1123" t="s">
        <v>1158</v>
      </c>
      <c r="J1123" t="str">
        <f>HYPERLINK("http://pbs.twimg.com/media/DtznN0lWsAAxpxI.jpg", "http://pbs.twimg.com/media/DtznN0lWsAAxpxI.jpg")</f>
        <v>http://pbs.twimg.com/media/DtznN0lWsAAxpxI.jpg</v>
      </c>
      <c r="N1123">
        <v>0</v>
      </c>
      <c r="O1123">
        <v>0</v>
      </c>
      <c r="P1123">
        <v>1</v>
      </c>
      <c r="Q1123">
        <v>0</v>
      </c>
    </row>
    <row r="1124" spans="1:17" x14ac:dyDescent="0.2">
      <c r="A1124" s="1" t="str">
        <f>HYPERLINK("http://www.twitter.com/Ugo_Roux/status/1070618468410626048", "1070618468410626048")</f>
        <v>1070618468410626048</v>
      </c>
      <c r="B1124" t="s">
        <v>142</v>
      </c>
      <c r="C1124" s="3">
        <v>43440.415601851862</v>
      </c>
      <c r="D1124" s="5" t="s">
        <v>17</v>
      </c>
      <c r="E1124">
        <v>2</v>
      </c>
      <c r="F1124">
        <v>2</v>
      </c>
      <c r="G1124">
        <v>0</v>
      </c>
      <c r="I1124" t="s">
        <v>1159</v>
      </c>
      <c r="J1124" t="str">
        <f>HYPERLINK("http://pbs.twimg.com/media/DtuZzPZXQAMpI1w.jpg", "http://pbs.twimg.com/media/DtuZzPZXQAMpI1w.jpg")</f>
        <v>http://pbs.twimg.com/media/DtuZzPZXQAMpI1w.jpg</v>
      </c>
      <c r="N1124">
        <v>0</v>
      </c>
      <c r="O1124">
        <v>0</v>
      </c>
      <c r="P1124">
        <v>1</v>
      </c>
      <c r="Q1124">
        <v>0</v>
      </c>
    </row>
    <row r="1125" spans="1:17" x14ac:dyDescent="0.2">
      <c r="A1125" s="1" t="str">
        <f>HYPERLINK("http://www.twitter.com/Ugo_Roux/status/1070357928555802625", "1070357928555802625")</f>
        <v>1070357928555802625</v>
      </c>
      <c r="B1125" t="s">
        <v>142</v>
      </c>
      <c r="C1125" s="3">
        <v>43439.696655092594</v>
      </c>
      <c r="D1125" s="5" t="s">
        <v>17</v>
      </c>
      <c r="E1125">
        <v>3</v>
      </c>
      <c r="F1125">
        <v>0</v>
      </c>
      <c r="G1125">
        <v>0</v>
      </c>
      <c r="I1125" t="s">
        <v>1160</v>
      </c>
      <c r="J1125" t="str">
        <f>HYPERLINK("http://pbs.twimg.com/media/Dtqs299W4AI4x46.jpg", "http://pbs.twimg.com/media/Dtqs299W4AI4x46.jpg")</f>
        <v>http://pbs.twimg.com/media/Dtqs299W4AI4x46.jpg</v>
      </c>
      <c r="N1125">
        <v>0</v>
      </c>
      <c r="O1125">
        <v>0</v>
      </c>
      <c r="P1125">
        <v>1</v>
      </c>
      <c r="Q1125">
        <v>0</v>
      </c>
    </row>
    <row r="1126" spans="1:17" x14ac:dyDescent="0.2">
      <c r="A1126" s="1" t="str">
        <f>HYPERLINK("http://www.twitter.com/Ugo_Roux/status/1070336695135059968", "1070336695135059968")</f>
        <v>1070336695135059968</v>
      </c>
      <c r="B1126" t="s">
        <v>414</v>
      </c>
      <c r="C1126" s="3">
        <v>43439.638055555559</v>
      </c>
      <c r="D1126" s="5" t="s">
        <v>41</v>
      </c>
      <c r="E1126">
        <v>0</v>
      </c>
      <c r="F1126">
        <v>0</v>
      </c>
      <c r="G1126">
        <v>0</v>
      </c>
      <c r="I1126" t="s">
        <v>1161</v>
      </c>
      <c r="J1126" t="str">
        <f>HYPERLINK("http://pbs.twimg.com/media/DtqZhxiWkAARSxm.jpg", "http://pbs.twimg.com/media/DtqZhxiWkAARSxm.jpg")</f>
        <v>http://pbs.twimg.com/media/DtqZhxiWkAARSxm.jpg</v>
      </c>
      <c r="N1126">
        <v>0</v>
      </c>
      <c r="O1126">
        <v>0</v>
      </c>
      <c r="P1126">
        <v>1</v>
      </c>
      <c r="Q1126">
        <v>0</v>
      </c>
    </row>
    <row r="1127" spans="1:17" x14ac:dyDescent="0.2">
      <c r="A1127" s="1" t="str">
        <f>HYPERLINK("http://www.twitter.com/Ugo_Roux/status/1070219975007395840", "1070219975007395840")</f>
        <v>1070219975007395840</v>
      </c>
      <c r="B1127" t="s">
        <v>285</v>
      </c>
      <c r="C1127" s="3">
        <v>43439.315972222219</v>
      </c>
      <c r="D1127" s="5" t="s">
        <v>17</v>
      </c>
      <c r="E1127">
        <v>1</v>
      </c>
      <c r="F1127">
        <v>1</v>
      </c>
      <c r="G1127">
        <v>0</v>
      </c>
      <c r="I1127" t="s">
        <v>1162</v>
      </c>
      <c r="J1127" t="str">
        <f>HYPERLINK("http://pbs.twimg.com/media/DtovX-LWsAA-59J.jpg", "http://pbs.twimg.com/media/DtovX-LWsAA-59J.jpg")</f>
        <v>http://pbs.twimg.com/media/DtovX-LWsAA-59J.jpg</v>
      </c>
      <c r="N1127">
        <v>0</v>
      </c>
      <c r="O1127">
        <v>0</v>
      </c>
      <c r="P1127">
        <v>1</v>
      </c>
      <c r="Q1127">
        <v>0</v>
      </c>
    </row>
    <row r="1128" spans="1:17" x14ac:dyDescent="0.2">
      <c r="A1128" s="1" t="str">
        <f>HYPERLINK("http://www.twitter.com/Ugo_Roux/status/1069944235007315969", "1069944235007315969")</f>
        <v>1069944235007315969</v>
      </c>
      <c r="B1128" t="s">
        <v>16</v>
      </c>
      <c r="C1128" s="3">
        <v>43438.555069444446</v>
      </c>
      <c r="D1128" s="3" t="s">
        <v>28</v>
      </c>
      <c r="E1128">
        <v>3</v>
      </c>
      <c r="F1128">
        <v>0</v>
      </c>
      <c r="G1128">
        <v>0</v>
      </c>
      <c r="I1128" t="s">
        <v>1163</v>
      </c>
      <c r="J1128" t="str">
        <f>HYPERLINK("http://pbs.twimg.com/media/Dtk0ZuCWsAAygDW.jpg", "http://pbs.twimg.com/media/Dtk0ZuCWsAAygDW.jpg")</f>
        <v>http://pbs.twimg.com/media/Dtk0ZuCWsAAygDW.jpg</v>
      </c>
      <c r="K1128" t="str">
        <f>HYPERLINK("http://pbs.twimg.com/media/Dtk0ZtuX4AE3ZuO.jpg", "http://pbs.twimg.com/media/Dtk0ZtuX4AE3ZuO.jpg")</f>
        <v>http://pbs.twimg.com/media/Dtk0ZtuX4AE3ZuO.jpg</v>
      </c>
      <c r="L1128" t="str">
        <f>HYPERLINK("http://pbs.twimg.com/media/Dtk0ZuBX4AAH3Ow.jpg", "http://pbs.twimg.com/media/Dtk0ZuBX4AAH3Ow.jpg")</f>
        <v>http://pbs.twimg.com/media/Dtk0ZuBX4AAH3Ow.jpg</v>
      </c>
      <c r="N1128">
        <v>0</v>
      </c>
      <c r="O1128">
        <v>0</v>
      </c>
      <c r="P1128">
        <v>1</v>
      </c>
      <c r="Q1128">
        <v>0</v>
      </c>
    </row>
    <row r="1129" spans="1:17" x14ac:dyDescent="0.2">
      <c r="A1129" s="1" t="str">
        <f>HYPERLINK("http://www.twitter.com/Ugo_Roux/status/1069512568757256194", "1069512568757256194")</f>
        <v>1069512568757256194</v>
      </c>
      <c r="B1129" t="s">
        <v>142</v>
      </c>
      <c r="C1129" s="3">
        <v>43437.363900462973</v>
      </c>
      <c r="D1129" s="5" t="s">
        <v>28</v>
      </c>
      <c r="E1129">
        <v>1</v>
      </c>
      <c r="F1129">
        <v>2</v>
      </c>
      <c r="G1129">
        <v>0</v>
      </c>
      <c r="I1129" t="s">
        <v>1164</v>
      </c>
      <c r="N1129">
        <v>0.63990000000000002</v>
      </c>
      <c r="O1129">
        <v>0</v>
      </c>
      <c r="P1129">
        <v>0.90200000000000002</v>
      </c>
      <c r="Q1129">
        <v>9.8000000000000004E-2</v>
      </c>
    </row>
    <row r="1130" spans="1:17" x14ac:dyDescent="0.2">
      <c r="A1130" s="1" t="str">
        <f>HYPERLINK("http://www.twitter.com/Ugo_Roux/status/1069511712582393856", "1069511712582393856")</f>
        <v>1069511712582393856</v>
      </c>
      <c r="B1130" t="s">
        <v>142</v>
      </c>
      <c r="C1130" s="3">
        <v>43437.361539351848</v>
      </c>
      <c r="D1130" s="5" t="s">
        <v>28</v>
      </c>
      <c r="E1130">
        <v>0</v>
      </c>
      <c r="F1130">
        <v>0</v>
      </c>
      <c r="G1130">
        <v>0</v>
      </c>
      <c r="I1130" t="s">
        <v>1165</v>
      </c>
      <c r="N1130">
        <v>0</v>
      </c>
      <c r="O1130">
        <v>0</v>
      </c>
      <c r="P1130">
        <v>1</v>
      </c>
      <c r="Q1130">
        <v>0</v>
      </c>
    </row>
    <row r="1131" spans="1:17" x14ac:dyDescent="0.2">
      <c r="A1131" s="1" t="str">
        <f>HYPERLINK("http://www.twitter.com/Ugo_Roux/status/1068833154616696833", "1068833154616696833")</f>
        <v>1068833154616696833</v>
      </c>
      <c r="B1131" t="s">
        <v>130</v>
      </c>
      <c r="C1131" s="3">
        <v>43435.489074074067</v>
      </c>
      <c r="D1131" s="5" t="s">
        <v>28</v>
      </c>
      <c r="E1131">
        <v>5</v>
      </c>
      <c r="F1131">
        <v>2</v>
      </c>
      <c r="G1131">
        <v>0</v>
      </c>
      <c r="I1131" t="s">
        <v>1166</v>
      </c>
      <c r="J1131" t="str">
        <f>HYPERLINK("http://pbs.twimg.com/media/DtVB7-mX4AAvLtY.jpg", "http://pbs.twimg.com/media/DtVB7-mX4AAvLtY.jpg")</f>
        <v>http://pbs.twimg.com/media/DtVB7-mX4AAvLtY.jpg</v>
      </c>
      <c r="N1131">
        <v>0</v>
      </c>
      <c r="O1131">
        <v>0</v>
      </c>
      <c r="P1131">
        <v>1</v>
      </c>
      <c r="Q1131">
        <v>0</v>
      </c>
    </row>
    <row r="1132" spans="1:17" x14ac:dyDescent="0.2">
      <c r="A1132" s="1" t="str">
        <f>HYPERLINK("http://www.twitter.com/Ugo_Roux/status/1068458751764639744", "1068458751764639744")</f>
        <v>1068458751764639744</v>
      </c>
      <c r="B1132" t="s">
        <v>414</v>
      </c>
      <c r="C1132" s="3">
        <v>43434.455925925933</v>
      </c>
      <c r="D1132" s="5" t="s">
        <v>28</v>
      </c>
      <c r="E1132">
        <v>0</v>
      </c>
      <c r="F1132">
        <v>0</v>
      </c>
      <c r="G1132">
        <v>0</v>
      </c>
      <c r="I1132" t="s">
        <v>1167</v>
      </c>
      <c r="N1132">
        <v>0.50929999999999997</v>
      </c>
      <c r="O1132">
        <v>0</v>
      </c>
      <c r="P1132">
        <v>0.47699999999999998</v>
      </c>
      <c r="Q1132">
        <v>0.52300000000000002</v>
      </c>
    </row>
    <row r="1133" spans="1:17" x14ac:dyDescent="0.2">
      <c r="A1133" s="1" t="str">
        <f>HYPERLINK("http://www.twitter.com/Ugo_Roux/status/1068409675148861441", "1068409675148861441")</f>
        <v>1068409675148861441</v>
      </c>
      <c r="B1133" t="s">
        <v>285</v>
      </c>
      <c r="C1133" s="3">
        <v>43434.320497685178</v>
      </c>
      <c r="D1133" s="5" t="s">
        <v>17</v>
      </c>
      <c r="E1133">
        <v>2</v>
      </c>
      <c r="F1133">
        <v>1</v>
      </c>
      <c r="G1133">
        <v>0</v>
      </c>
      <c r="I1133" t="s">
        <v>1168</v>
      </c>
      <c r="J1133" t="str">
        <f>HYPERLINK("http://pbs.twimg.com/media/DtO_1rpX4AAayF2.jpg", "http://pbs.twimg.com/media/DtO_1rpX4AAayF2.jpg")</f>
        <v>http://pbs.twimg.com/media/DtO_1rpX4AAayF2.jpg</v>
      </c>
      <c r="K1133" t="str">
        <f>HYPERLINK("http://pbs.twimg.com/media/DtO_23HWsAAg3qK.jpg", "http://pbs.twimg.com/media/DtO_23HWsAAg3qK.jpg")</f>
        <v>http://pbs.twimg.com/media/DtO_23HWsAAg3qK.jpg</v>
      </c>
      <c r="L1133" t="str">
        <f>HYPERLINK("http://pbs.twimg.com/media/DtO_206XoAAGgRJ.jpg", "http://pbs.twimg.com/media/DtO_206XoAAGgRJ.jpg")</f>
        <v>http://pbs.twimg.com/media/DtO_206XoAAGgRJ.jpg</v>
      </c>
      <c r="M1133" t="str">
        <f>HYPERLINK("http://pbs.twimg.com/media/DtO_23EWwAAYYKB.jpg", "http://pbs.twimg.com/media/DtO_23EWwAAYYKB.jpg")</f>
        <v>http://pbs.twimg.com/media/DtO_23EWwAAYYKB.jpg</v>
      </c>
      <c r="N1133">
        <v>0</v>
      </c>
      <c r="O1133">
        <v>0</v>
      </c>
      <c r="P1133">
        <v>1</v>
      </c>
      <c r="Q1133">
        <v>0</v>
      </c>
    </row>
    <row r="1134" spans="1:17" x14ac:dyDescent="0.2">
      <c r="A1134" s="1" t="str">
        <f>HYPERLINK("http://www.twitter.com/Ugo_Roux/status/1067854990650281985", "1067854990650281985")</f>
        <v>1067854990650281985</v>
      </c>
      <c r="B1134" t="s">
        <v>142</v>
      </c>
      <c r="C1134" s="3">
        <v>43432.789861111109</v>
      </c>
      <c r="D1134" s="5" t="s">
        <v>17</v>
      </c>
      <c r="E1134">
        <v>1</v>
      </c>
      <c r="F1134">
        <v>0</v>
      </c>
      <c r="G1134">
        <v>0</v>
      </c>
      <c r="I1134" t="s">
        <v>1169</v>
      </c>
      <c r="J1134" t="str">
        <f>HYPERLINK("http://pbs.twimg.com/media/DtHIcgmW0AABxBR.jpg", "http://pbs.twimg.com/media/DtHIcgmW0AABxBR.jpg")</f>
        <v>http://pbs.twimg.com/media/DtHIcgmW0AABxBR.jpg</v>
      </c>
      <c r="N1134">
        <v>0</v>
      </c>
      <c r="O1134">
        <v>0</v>
      </c>
      <c r="P1134">
        <v>1</v>
      </c>
      <c r="Q1134">
        <v>0</v>
      </c>
    </row>
    <row r="1135" spans="1:17" x14ac:dyDescent="0.2">
      <c r="A1135" s="1" t="str">
        <f>HYPERLINK("http://www.twitter.com/Ugo_Roux/status/1067432971576070144", "1067432971576070144")</f>
        <v>1067432971576070144</v>
      </c>
      <c r="B1135" t="s">
        <v>47</v>
      </c>
      <c r="C1135" s="3">
        <v>43431.6253125</v>
      </c>
      <c r="D1135" s="5" t="s">
        <v>17</v>
      </c>
      <c r="E1135">
        <v>2</v>
      </c>
      <c r="F1135">
        <v>0</v>
      </c>
      <c r="G1135">
        <v>0</v>
      </c>
      <c r="I1135" t="s">
        <v>1170</v>
      </c>
      <c r="J1135" t="str">
        <f>HYPERLINK("http://pbs.twimg.com/media/DtBImwuUcAIAnO7.jpg", "http://pbs.twimg.com/media/DtBImwuUcAIAnO7.jpg")</f>
        <v>http://pbs.twimg.com/media/DtBImwuUcAIAnO7.jpg</v>
      </c>
      <c r="N1135">
        <v>0</v>
      </c>
      <c r="O1135">
        <v>0</v>
      </c>
      <c r="P1135">
        <v>1</v>
      </c>
      <c r="Q1135">
        <v>0</v>
      </c>
    </row>
    <row r="1136" spans="1:17" x14ac:dyDescent="0.2">
      <c r="A1136" s="1" t="str">
        <f>HYPERLINK("http://www.twitter.com/Ugo_Roux/status/1067370916248780800", "1067370916248780800")</f>
        <v>1067370916248780800</v>
      </c>
      <c r="B1136" t="s">
        <v>476</v>
      </c>
      <c r="C1136" s="3">
        <v>43431.454062500001</v>
      </c>
      <c r="D1136" s="5" t="s">
        <v>41</v>
      </c>
      <c r="E1136">
        <v>4</v>
      </c>
      <c r="F1136">
        <v>1</v>
      </c>
      <c r="G1136">
        <v>0</v>
      </c>
      <c r="I1136" t="s">
        <v>1171</v>
      </c>
      <c r="J1136" t="str">
        <f>HYPERLINK("http://pbs.twimg.com/media/DtAQIG3WwAEB6YM.jpg", "http://pbs.twimg.com/media/DtAQIG3WwAEB6YM.jpg")</f>
        <v>http://pbs.twimg.com/media/DtAQIG3WwAEB6YM.jpg</v>
      </c>
      <c r="N1136">
        <v>0</v>
      </c>
      <c r="O1136">
        <v>0</v>
      </c>
      <c r="P1136">
        <v>1</v>
      </c>
      <c r="Q1136">
        <v>0</v>
      </c>
    </row>
    <row r="1137" spans="1:17" x14ac:dyDescent="0.2">
      <c r="A1137" s="1" t="str">
        <f>HYPERLINK("http://www.twitter.com/Ugo_Roux/status/1067362833690763265", "1067362833690763265")</f>
        <v>1067362833690763265</v>
      </c>
      <c r="B1137" t="s">
        <v>414</v>
      </c>
      <c r="C1137" s="3">
        <v>43431.431759259263</v>
      </c>
      <c r="D1137" s="5" t="s">
        <v>28</v>
      </c>
      <c r="E1137">
        <v>0</v>
      </c>
      <c r="F1137">
        <v>0</v>
      </c>
      <c r="G1137">
        <v>0</v>
      </c>
      <c r="I1137" t="s">
        <v>1172</v>
      </c>
      <c r="J1137" t="str">
        <f>HYPERLINK("http://pbs.twimg.com/media/DtAI1WtX4AA-rfB.jpg", "http://pbs.twimg.com/media/DtAI1WtX4AA-rfB.jpg")</f>
        <v>http://pbs.twimg.com/media/DtAI1WtX4AA-rfB.jpg</v>
      </c>
      <c r="N1137">
        <v>0</v>
      </c>
      <c r="O1137">
        <v>0</v>
      </c>
      <c r="P1137">
        <v>1</v>
      </c>
      <c r="Q1137">
        <v>0</v>
      </c>
    </row>
    <row r="1138" spans="1:17" x14ac:dyDescent="0.2">
      <c r="A1138" s="1" t="str">
        <f>HYPERLINK("http://www.twitter.com/Ugo_Roux/status/1067359686524092417", "1067359686524092417")</f>
        <v>1067359686524092417</v>
      </c>
      <c r="B1138" t="s">
        <v>456</v>
      </c>
      <c r="C1138" s="3">
        <v>43431.423078703701</v>
      </c>
      <c r="D1138" t="s">
        <v>28</v>
      </c>
      <c r="E1138">
        <v>3</v>
      </c>
      <c r="F1138">
        <v>0</v>
      </c>
      <c r="G1138">
        <v>0</v>
      </c>
      <c r="I1138" t="s">
        <v>1173</v>
      </c>
      <c r="J1138" t="str">
        <f>HYPERLINK("http://pbs.twimg.com/media/DtAF-U4XgAApYW9.jpg", "http://pbs.twimg.com/media/DtAF-U4XgAApYW9.jpg")</f>
        <v>http://pbs.twimg.com/media/DtAF-U4XgAApYW9.jpg</v>
      </c>
      <c r="N1138">
        <v>0.49390000000000001</v>
      </c>
      <c r="O1138">
        <v>0</v>
      </c>
      <c r="P1138">
        <v>0.90400000000000003</v>
      </c>
      <c r="Q1138">
        <v>9.6000000000000002E-2</v>
      </c>
    </row>
    <row r="1139" spans="1:17" x14ac:dyDescent="0.2">
      <c r="A1139" s="1" t="str">
        <f>HYPERLINK("http://www.twitter.com/Ugo_Roux/status/1067347777288658944", "1067347777288658944")</f>
        <v>1067347777288658944</v>
      </c>
      <c r="B1139" t="s">
        <v>16</v>
      </c>
      <c r="C1139" s="3">
        <v>43431.390219907407</v>
      </c>
      <c r="D1139" s="3" t="s">
        <v>28</v>
      </c>
      <c r="E1139">
        <v>0</v>
      </c>
      <c r="F1139">
        <v>0</v>
      </c>
      <c r="G1139">
        <v>0</v>
      </c>
      <c r="I1139" t="s">
        <v>1174</v>
      </c>
      <c r="N1139">
        <v>-0.20030000000000001</v>
      </c>
      <c r="O1139">
        <v>9.0999999999999998E-2</v>
      </c>
      <c r="P1139">
        <v>0.90900000000000003</v>
      </c>
      <c r="Q1139">
        <v>0</v>
      </c>
    </row>
    <row r="1140" spans="1:17" x14ac:dyDescent="0.2">
      <c r="A1140" s="1" t="str">
        <f>HYPERLINK("http://www.twitter.com/Ugo_Roux/status/1066339687906926592", "1066339687906926592")</f>
        <v>1066339687906926592</v>
      </c>
      <c r="B1140" t="s">
        <v>142</v>
      </c>
      <c r="C1140" s="3">
        <v>43428.608414351853</v>
      </c>
      <c r="D1140" s="5" t="s">
        <v>28</v>
      </c>
      <c r="E1140">
        <v>0</v>
      </c>
      <c r="F1140">
        <v>1</v>
      </c>
      <c r="G1140">
        <v>0</v>
      </c>
      <c r="I1140" t="s">
        <v>1175</v>
      </c>
      <c r="J1140" t="str">
        <f>HYPERLINK("http://pbs.twimg.com/media/DsxmSUKXcAENqhJ.jpg", "http://pbs.twimg.com/media/DsxmSUKXcAENqhJ.jpg")</f>
        <v>http://pbs.twimg.com/media/DsxmSUKXcAENqhJ.jpg</v>
      </c>
      <c r="K1140" t="str">
        <f>HYPERLINK("http://pbs.twimg.com/media/DsxmSUJXoAA7pt3.jpg", "http://pbs.twimg.com/media/DsxmSUJXoAA7pt3.jpg")</f>
        <v>http://pbs.twimg.com/media/DsxmSUJXoAA7pt3.jpg</v>
      </c>
      <c r="N1140">
        <v>0</v>
      </c>
      <c r="O1140">
        <v>0</v>
      </c>
      <c r="P1140">
        <v>1</v>
      </c>
      <c r="Q1140">
        <v>0</v>
      </c>
    </row>
    <row r="1141" spans="1:17" x14ac:dyDescent="0.2">
      <c r="A1141" s="1" t="str">
        <f>HYPERLINK("http://www.twitter.com/Ugo_Roux/status/1066320220434903040", "1066320220434903040")</f>
        <v>1066320220434903040</v>
      </c>
      <c r="B1141" t="s">
        <v>130</v>
      </c>
      <c r="C1141" s="3">
        <v>43428.554699074077</v>
      </c>
      <c r="D1141" s="5" t="s">
        <v>17</v>
      </c>
      <c r="E1141">
        <v>0</v>
      </c>
      <c r="F1141">
        <v>0</v>
      </c>
      <c r="G1141">
        <v>0</v>
      </c>
      <c r="I1141" t="s">
        <v>1176</v>
      </c>
      <c r="N1141">
        <v>0.49390000000000001</v>
      </c>
      <c r="O1141">
        <v>0</v>
      </c>
      <c r="P1141">
        <v>0.75800000000000001</v>
      </c>
      <c r="Q1141">
        <v>0.24199999999999999</v>
      </c>
    </row>
    <row r="1142" spans="1:17" x14ac:dyDescent="0.2">
      <c r="A1142" s="1" t="str">
        <f>HYPERLINK("http://www.twitter.com/Ugo_Roux/status/1066248995931136000", "1066248995931136000")</f>
        <v>1066248995931136000</v>
      </c>
      <c r="B1142" t="s">
        <v>285</v>
      </c>
      <c r="C1142" s="3">
        <v>43428.358159722222</v>
      </c>
      <c r="D1142" s="5" t="s">
        <v>28</v>
      </c>
      <c r="E1142">
        <v>0</v>
      </c>
      <c r="F1142">
        <v>0</v>
      </c>
      <c r="G1142">
        <v>0</v>
      </c>
      <c r="I1142" t="s">
        <v>1177</v>
      </c>
      <c r="J1142" t="str">
        <f>HYPERLINK("http://pbs.twimg.com/media/DswTMIyXgAESGXW.jpg", "http://pbs.twimg.com/media/DswTMIyXgAESGXW.jpg")</f>
        <v>http://pbs.twimg.com/media/DswTMIyXgAESGXW.jpg</v>
      </c>
      <c r="N1142">
        <v>0</v>
      </c>
      <c r="O1142">
        <v>0</v>
      </c>
      <c r="P1142">
        <v>1</v>
      </c>
      <c r="Q1142">
        <v>0</v>
      </c>
    </row>
    <row r="1143" spans="1:17" x14ac:dyDescent="0.2">
      <c r="A1143" s="1" t="str">
        <f>HYPERLINK("http://www.twitter.com/Ugo_Roux/status/1065992263023636482", "1065992263023636482")</f>
        <v>1065992263023636482</v>
      </c>
      <c r="B1143" t="s">
        <v>142</v>
      </c>
      <c r="C1143" s="3">
        <v>43427.649710648147</v>
      </c>
      <c r="D1143" s="5" t="s">
        <v>17</v>
      </c>
      <c r="E1143">
        <v>0</v>
      </c>
      <c r="F1143">
        <v>1</v>
      </c>
      <c r="G1143">
        <v>0</v>
      </c>
      <c r="I1143" t="s">
        <v>1178</v>
      </c>
      <c r="J1143" t="str">
        <f>HYPERLINK("http://pbs.twimg.com/media/DssqT2UWoAIbz-4.jpg", "http://pbs.twimg.com/media/DssqT2UWoAIbz-4.jpg")</f>
        <v>http://pbs.twimg.com/media/DssqT2UWoAIbz-4.jpg</v>
      </c>
      <c r="N1143">
        <v>0</v>
      </c>
      <c r="O1143">
        <v>0</v>
      </c>
      <c r="P1143">
        <v>1</v>
      </c>
      <c r="Q1143">
        <v>0</v>
      </c>
    </row>
    <row r="1144" spans="1:17" x14ac:dyDescent="0.2">
      <c r="A1144" s="1" t="str">
        <f>HYPERLINK("http://www.twitter.com/Ugo_Roux/status/1065980023134437377", "1065980023134437377")</f>
        <v>1065980023134437377</v>
      </c>
      <c r="B1144" t="s">
        <v>370</v>
      </c>
      <c r="C1144" s="3">
        <v>43427.615937499999</v>
      </c>
      <c r="D1144" s="3" t="s">
        <v>28</v>
      </c>
      <c r="E1144">
        <v>0</v>
      </c>
      <c r="F1144">
        <v>0</v>
      </c>
      <c r="G1144">
        <v>0</v>
      </c>
      <c r="I1144" t="s">
        <v>1179</v>
      </c>
      <c r="J1144" t="str">
        <f>HYPERLINK("http://pbs.twimg.com/media/DssfLn5UUAA7HWI.jpg", "http://pbs.twimg.com/media/DssfLn5UUAA7HWI.jpg")</f>
        <v>http://pbs.twimg.com/media/DssfLn5UUAA7HWI.jpg</v>
      </c>
      <c r="N1144">
        <v>0.49390000000000001</v>
      </c>
      <c r="O1144">
        <v>0</v>
      </c>
      <c r="P1144">
        <v>0.55600000000000005</v>
      </c>
      <c r="Q1144">
        <v>0.44400000000000001</v>
      </c>
    </row>
    <row r="1145" spans="1:17" x14ac:dyDescent="0.2">
      <c r="A1145" s="1" t="str">
        <f>HYPERLINK("http://www.twitter.com/Ugo_Roux/status/1065890993239715840", "1065890993239715840")</f>
        <v>1065890993239715840</v>
      </c>
      <c r="B1145" t="s">
        <v>130</v>
      </c>
      <c r="C1145" s="3">
        <v>43427.370254629634</v>
      </c>
      <c r="D1145" s="5" t="s">
        <v>28</v>
      </c>
      <c r="E1145">
        <v>0</v>
      </c>
      <c r="F1145">
        <v>0</v>
      </c>
      <c r="G1145">
        <v>0</v>
      </c>
      <c r="I1145" t="s">
        <v>1180</v>
      </c>
      <c r="N1145">
        <v>0</v>
      </c>
      <c r="O1145">
        <v>0</v>
      </c>
      <c r="P1145">
        <v>1</v>
      </c>
      <c r="Q1145">
        <v>0</v>
      </c>
    </row>
    <row r="1146" spans="1:17" x14ac:dyDescent="0.2">
      <c r="A1146" s="1" t="str">
        <f>HYPERLINK("http://www.twitter.com/Ugo_Roux/status/1065655472961830912", "1065655472961830912")</f>
        <v>1065655472961830912</v>
      </c>
      <c r="B1146" t="s">
        <v>142</v>
      </c>
      <c r="C1146" s="3">
        <v>43426.720347222217</v>
      </c>
      <c r="D1146" s="5" t="s">
        <v>28</v>
      </c>
      <c r="E1146">
        <v>0</v>
      </c>
      <c r="F1146">
        <v>0</v>
      </c>
      <c r="G1146">
        <v>0</v>
      </c>
      <c r="I1146" t="s">
        <v>1181</v>
      </c>
      <c r="N1146">
        <v>0</v>
      </c>
      <c r="O1146">
        <v>0</v>
      </c>
      <c r="P1146">
        <v>1</v>
      </c>
      <c r="Q1146">
        <v>0</v>
      </c>
    </row>
    <row r="1147" spans="1:17" x14ac:dyDescent="0.2">
      <c r="A1147" s="1" t="str">
        <f>HYPERLINK("http://www.twitter.com/Ugo_Roux/status/1065505066726146048", "1065505066726146048")</f>
        <v>1065505066726146048</v>
      </c>
      <c r="B1147" t="s">
        <v>285</v>
      </c>
      <c r="C1147" s="3">
        <v>43426.305300925917</v>
      </c>
      <c r="D1147" s="5" t="s">
        <v>17</v>
      </c>
      <c r="E1147">
        <v>1</v>
      </c>
      <c r="F1147">
        <v>0</v>
      </c>
      <c r="G1147">
        <v>0</v>
      </c>
      <c r="I1147" t="s">
        <v>1182</v>
      </c>
      <c r="J1147" t="str">
        <f>HYPERLINK("http://pbs.twimg.com/media/Dslu7fTXgAAGmB7.jpg", "http://pbs.twimg.com/media/Dslu7fTXgAAGmB7.jpg")</f>
        <v>http://pbs.twimg.com/media/Dslu7fTXgAAGmB7.jpg</v>
      </c>
      <c r="N1147">
        <v>0.45879999999999999</v>
      </c>
      <c r="O1147">
        <v>0</v>
      </c>
      <c r="P1147">
        <v>0.81200000000000006</v>
      </c>
      <c r="Q1147">
        <v>0.188</v>
      </c>
    </row>
    <row r="1148" spans="1:17" x14ac:dyDescent="0.2">
      <c r="A1148" s="1" t="str">
        <f>HYPERLINK("http://www.twitter.com/Ugo_Roux/status/1065258005418123264", "1065258005418123264")</f>
        <v>1065258005418123264</v>
      </c>
      <c r="B1148" t="s">
        <v>414</v>
      </c>
      <c r="C1148" s="3">
        <v>43425.623541666668</v>
      </c>
      <c r="D1148" s="5" t="s">
        <v>460</v>
      </c>
      <c r="E1148">
        <v>0</v>
      </c>
      <c r="F1148">
        <v>0</v>
      </c>
      <c r="G1148">
        <v>0</v>
      </c>
      <c r="I1148" t="s">
        <v>1183</v>
      </c>
      <c r="J1148" t="str">
        <f>HYPERLINK("http://pbs.twimg.com/media/DsiOcyfXQAE0bNf.jpg", "http://pbs.twimg.com/media/DsiOcyfXQAE0bNf.jpg")</f>
        <v>http://pbs.twimg.com/media/DsiOcyfXQAE0bNf.jpg</v>
      </c>
      <c r="K1148" t="str">
        <f>HYPERLINK("http://pbs.twimg.com/media/DsiOcyfXQAAQ0xW.jpg", "http://pbs.twimg.com/media/DsiOcyfXQAAQ0xW.jpg")</f>
        <v>http://pbs.twimg.com/media/DsiOcyfXQAAQ0xW.jpg</v>
      </c>
      <c r="N1148">
        <v>0</v>
      </c>
      <c r="O1148">
        <v>0</v>
      </c>
      <c r="P1148">
        <v>1</v>
      </c>
      <c r="Q1148">
        <v>0</v>
      </c>
    </row>
    <row r="1149" spans="1:17" x14ac:dyDescent="0.2">
      <c r="A1149" s="1" t="str">
        <f>HYPERLINK("http://www.twitter.com/Ugo_Roux/status/1065255350415368192", "1065255350415368192")</f>
        <v>1065255350415368192</v>
      </c>
      <c r="B1149" t="s">
        <v>456</v>
      </c>
      <c r="C1149" s="3">
        <v>43425.616215277783</v>
      </c>
      <c r="D1149" t="s">
        <v>41</v>
      </c>
      <c r="E1149">
        <v>1</v>
      </c>
      <c r="F1149">
        <v>0</v>
      </c>
      <c r="G1149">
        <v>0</v>
      </c>
      <c r="I1149" t="s">
        <v>1184</v>
      </c>
      <c r="N1149">
        <v>0</v>
      </c>
      <c r="O1149">
        <v>0</v>
      </c>
      <c r="P1149">
        <v>1</v>
      </c>
      <c r="Q1149">
        <v>0</v>
      </c>
    </row>
    <row r="1150" spans="1:17" x14ac:dyDescent="0.2">
      <c r="A1150" s="1" t="str">
        <f>HYPERLINK("http://www.twitter.com/Ugo_Roux/status/1065196848015659009", "1065196848015659009")</f>
        <v>1065196848015659009</v>
      </c>
      <c r="B1150" t="s">
        <v>130</v>
      </c>
      <c r="C1150" s="3">
        <v>43425.454780092587</v>
      </c>
      <c r="D1150" s="5" t="s">
        <v>28</v>
      </c>
      <c r="E1150">
        <v>0</v>
      </c>
      <c r="F1150">
        <v>0</v>
      </c>
      <c r="G1150">
        <v>0</v>
      </c>
      <c r="I1150" t="s">
        <v>1185</v>
      </c>
      <c r="N1150">
        <v>0</v>
      </c>
      <c r="O1150">
        <v>0</v>
      </c>
      <c r="P1150">
        <v>1</v>
      </c>
      <c r="Q1150">
        <v>0</v>
      </c>
    </row>
    <row r="1151" spans="1:17" x14ac:dyDescent="0.2">
      <c r="A1151" s="1" t="str">
        <f>HYPERLINK("http://www.twitter.com/Ugo_Roux/status/1064151360894103553", "1064151360894103553")</f>
        <v>1064151360894103553</v>
      </c>
      <c r="B1151" t="s">
        <v>142</v>
      </c>
      <c r="C1151" s="3">
        <v>43422.569791666669</v>
      </c>
      <c r="D1151" s="5" t="s">
        <v>17</v>
      </c>
      <c r="E1151">
        <v>1</v>
      </c>
      <c r="F1151">
        <v>0</v>
      </c>
      <c r="G1151">
        <v>0</v>
      </c>
      <c r="I1151" t="s">
        <v>1186</v>
      </c>
      <c r="N1151">
        <v>0</v>
      </c>
      <c r="O1151">
        <v>0</v>
      </c>
      <c r="P1151">
        <v>1</v>
      </c>
      <c r="Q1151">
        <v>0</v>
      </c>
    </row>
    <row r="1152" spans="1:17" x14ac:dyDescent="0.2">
      <c r="A1152" s="1" t="str">
        <f>HYPERLINK("http://www.twitter.com/Ugo_Roux/status/1063787224926511104", "1063787224926511104")</f>
        <v>1063787224926511104</v>
      </c>
      <c r="B1152" t="s">
        <v>97</v>
      </c>
      <c r="C1152" s="3">
        <v>43421.564965277779</v>
      </c>
      <c r="D1152" s="5" t="s">
        <v>1187</v>
      </c>
      <c r="E1152">
        <v>0</v>
      </c>
      <c r="F1152">
        <v>0</v>
      </c>
      <c r="G1152">
        <v>0</v>
      </c>
      <c r="I1152" t="s">
        <v>1188</v>
      </c>
      <c r="J1152" t="str">
        <f>HYPERLINK("http://pbs.twimg.com/media/DsNU18AU4AAWtS_.jpg", "http://pbs.twimg.com/media/DsNU18AU4AAWtS_.jpg")</f>
        <v>http://pbs.twimg.com/media/DsNU18AU4AAWtS_.jpg</v>
      </c>
      <c r="N1152">
        <v>0</v>
      </c>
      <c r="O1152">
        <v>0</v>
      </c>
      <c r="P1152">
        <v>1</v>
      </c>
      <c r="Q1152">
        <v>0</v>
      </c>
    </row>
    <row r="1153" spans="1:17" x14ac:dyDescent="0.2">
      <c r="A1153" s="1" t="str">
        <f>HYPERLINK("http://www.twitter.com/Ugo_Roux/status/1063703786236125189", "1063703786236125189")</f>
        <v>1063703786236125189</v>
      </c>
      <c r="B1153" t="s">
        <v>130</v>
      </c>
      <c r="C1153" s="3">
        <v>43421.334710648152</v>
      </c>
      <c r="D1153" s="5" t="s">
        <v>28</v>
      </c>
      <c r="E1153">
        <v>2</v>
      </c>
      <c r="F1153">
        <v>1</v>
      </c>
      <c r="G1153">
        <v>0</v>
      </c>
      <c r="I1153" t="s">
        <v>1189</v>
      </c>
      <c r="N1153">
        <v>0.49390000000000001</v>
      </c>
      <c r="O1153">
        <v>0</v>
      </c>
      <c r="P1153">
        <v>0.86799999999999999</v>
      </c>
      <c r="Q1153">
        <v>0.13200000000000001</v>
      </c>
    </row>
    <row r="1154" spans="1:17" x14ac:dyDescent="0.2">
      <c r="A1154" s="1" t="str">
        <f>HYPERLINK("http://www.twitter.com/Ugo_Roux/status/1063391271736262662", "1063391271736262662")</f>
        <v>1063391271736262662</v>
      </c>
      <c r="B1154" t="s">
        <v>97</v>
      </c>
      <c r="C1154" s="3">
        <v>43420.472337962958</v>
      </c>
      <c r="D1154" s="5" t="s">
        <v>28</v>
      </c>
      <c r="E1154">
        <v>0</v>
      </c>
      <c r="F1154">
        <v>0</v>
      </c>
      <c r="G1154">
        <v>0</v>
      </c>
      <c r="I1154" t="s">
        <v>1190</v>
      </c>
      <c r="J1154" t="str">
        <f>HYPERLINK("http://pbs.twimg.com/media/DsHsucwVsAEgZMv.jpg", "http://pbs.twimg.com/media/DsHsucwVsAEgZMv.jpg")</f>
        <v>http://pbs.twimg.com/media/DsHsucwVsAEgZMv.jpg</v>
      </c>
      <c r="N1154">
        <v>0</v>
      </c>
      <c r="O1154">
        <v>0</v>
      </c>
      <c r="P1154">
        <v>1</v>
      </c>
      <c r="Q1154">
        <v>0</v>
      </c>
    </row>
    <row r="1155" spans="1:17" x14ac:dyDescent="0.2">
      <c r="A1155" s="1" t="str">
        <f>HYPERLINK("http://www.twitter.com/Ugo_Roux/status/1062993248396984320", "1062993248396984320")</f>
        <v>1062993248396984320</v>
      </c>
      <c r="B1155" t="s">
        <v>476</v>
      </c>
      <c r="C1155" s="3">
        <v>43419.37400462963</v>
      </c>
      <c r="D1155" s="5" t="s">
        <v>17</v>
      </c>
      <c r="E1155">
        <v>0</v>
      </c>
      <c r="F1155">
        <v>0</v>
      </c>
      <c r="G1155">
        <v>0</v>
      </c>
      <c r="I1155" t="s">
        <v>1191</v>
      </c>
      <c r="N1155">
        <v>0</v>
      </c>
      <c r="O1155">
        <v>0</v>
      </c>
      <c r="P1155">
        <v>1</v>
      </c>
      <c r="Q1155">
        <v>0</v>
      </c>
    </row>
    <row r="1156" spans="1:17" x14ac:dyDescent="0.2">
      <c r="A1156" s="1" t="str">
        <f>HYPERLINK("http://www.twitter.com/Ugo_Roux/status/1062992288366899200", "1062992288366899200")</f>
        <v>1062992288366899200</v>
      </c>
      <c r="B1156" t="s">
        <v>476</v>
      </c>
      <c r="C1156" s="3">
        <v>43419.371354166673</v>
      </c>
      <c r="D1156" s="5" t="s">
        <v>41</v>
      </c>
      <c r="E1156">
        <v>0</v>
      </c>
      <c r="F1156">
        <v>0</v>
      </c>
      <c r="G1156">
        <v>0</v>
      </c>
      <c r="I1156" t="s">
        <v>1192</v>
      </c>
      <c r="J1156" t="str">
        <f>HYPERLINK("http://pbs.twimg.com/media/DsCBtb-W4AA2hWQ.jpg", "http://pbs.twimg.com/media/DsCBtb-W4AA2hWQ.jpg")</f>
        <v>http://pbs.twimg.com/media/DsCBtb-W4AA2hWQ.jpg</v>
      </c>
      <c r="N1156">
        <v>0</v>
      </c>
      <c r="O1156">
        <v>0</v>
      </c>
      <c r="P1156">
        <v>1</v>
      </c>
      <c r="Q1156">
        <v>0</v>
      </c>
    </row>
    <row r="1157" spans="1:17" x14ac:dyDescent="0.2">
      <c r="A1157" s="1" t="str">
        <f>HYPERLINK("http://www.twitter.com/Ugo_Roux/status/1062653386070417408", "1062653386070417408")</f>
        <v>1062653386070417408</v>
      </c>
      <c r="B1157" t="s">
        <v>414</v>
      </c>
      <c r="C1157" s="3">
        <v>43418.436168981483</v>
      </c>
      <c r="D1157" s="5" t="s">
        <v>28</v>
      </c>
      <c r="E1157">
        <v>0</v>
      </c>
      <c r="F1157">
        <v>1</v>
      </c>
      <c r="G1157">
        <v>0</v>
      </c>
      <c r="I1157" t="s">
        <v>1193</v>
      </c>
      <c r="J1157" t="str">
        <f>HYPERLINK("http://pbs.twimg.com/media/Dr9NnEpXQAELvZF.jpg", "http://pbs.twimg.com/media/Dr9NnEpXQAELvZF.jpg")</f>
        <v>http://pbs.twimg.com/media/Dr9NnEpXQAELvZF.jpg</v>
      </c>
      <c r="N1157">
        <v>0</v>
      </c>
      <c r="O1157">
        <v>0</v>
      </c>
      <c r="P1157">
        <v>1</v>
      </c>
      <c r="Q1157">
        <v>0</v>
      </c>
    </row>
    <row r="1158" spans="1:17" x14ac:dyDescent="0.2">
      <c r="A1158" s="1" t="str">
        <f>HYPERLINK("http://www.twitter.com/Ugo_Roux/status/1062623007947083776", "1062623007947083776")</f>
        <v>1062623007947083776</v>
      </c>
      <c r="B1158" t="s">
        <v>456</v>
      </c>
      <c r="C1158" s="3">
        <v>43418.352337962962</v>
      </c>
      <c r="D1158" t="s">
        <v>28</v>
      </c>
      <c r="E1158">
        <v>8</v>
      </c>
      <c r="F1158">
        <v>2</v>
      </c>
      <c r="G1158">
        <v>0</v>
      </c>
      <c r="I1158" t="s">
        <v>1194</v>
      </c>
      <c r="J1158" t="str">
        <f>HYPERLINK("http://pbs.twimg.com/media/Dr8x_cBX0AERTJX.jpg", "http://pbs.twimg.com/media/Dr8x_cBX0AERTJX.jpg")</f>
        <v>http://pbs.twimg.com/media/Dr8x_cBX0AERTJX.jpg</v>
      </c>
      <c r="N1158">
        <v>0</v>
      </c>
      <c r="O1158">
        <v>0</v>
      </c>
      <c r="P1158">
        <v>1</v>
      </c>
      <c r="Q1158">
        <v>0</v>
      </c>
    </row>
    <row r="1159" spans="1:17" x14ac:dyDescent="0.2">
      <c r="A1159" s="1" t="str">
        <f>HYPERLINK("http://www.twitter.com/Ugo_Roux/status/1062606352491708416", "1062606352491708416")</f>
        <v>1062606352491708416</v>
      </c>
      <c r="B1159" t="s">
        <v>285</v>
      </c>
      <c r="C1159" s="3">
        <v>43418.306377314817</v>
      </c>
      <c r="D1159" s="5" t="s">
        <v>17</v>
      </c>
      <c r="E1159">
        <v>0</v>
      </c>
      <c r="F1159">
        <v>0</v>
      </c>
      <c r="G1159">
        <v>0</v>
      </c>
      <c r="I1159" t="s">
        <v>1195</v>
      </c>
      <c r="J1159" t="str">
        <f>HYPERLINK("http://pbs.twimg.com/media/Dr8i0eBW4AAu8gW.jpg", "http://pbs.twimg.com/media/Dr8i0eBW4AAu8gW.jpg")</f>
        <v>http://pbs.twimg.com/media/Dr8i0eBW4AAu8gW.jpg</v>
      </c>
      <c r="N1159">
        <v>0</v>
      </c>
      <c r="O1159">
        <v>0</v>
      </c>
      <c r="P1159">
        <v>1</v>
      </c>
      <c r="Q1159">
        <v>0</v>
      </c>
    </row>
    <row r="1160" spans="1:17" x14ac:dyDescent="0.2">
      <c r="A1160" s="1" t="str">
        <f>HYPERLINK("http://www.twitter.com/Ugo_Roux/status/1062383922363928576", "1062383922363928576")</f>
        <v>1062383922363928576</v>
      </c>
      <c r="B1160" t="s">
        <v>206</v>
      </c>
      <c r="C1160" s="3">
        <v>43417.69258101852</v>
      </c>
      <c r="D1160" s="5" t="s">
        <v>28</v>
      </c>
      <c r="E1160">
        <v>5</v>
      </c>
      <c r="F1160">
        <v>4</v>
      </c>
      <c r="G1160">
        <v>0</v>
      </c>
      <c r="I1160" t="s">
        <v>1196</v>
      </c>
      <c r="N1160">
        <v>0.50929999999999997</v>
      </c>
      <c r="O1160">
        <v>0</v>
      </c>
      <c r="P1160">
        <v>0.92400000000000004</v>
      </c>
      <c r="Q1160">
        <v>7.5999999999999998E-2</v>
      </c>
    </row>
    <row r="1161" spans="1:17" x14ac:dyDescent="0.2">
      <c r="A1161" s="1" t="str">
        <f>HYPERLINK("http://www.twitter.com/Ugo_Roux/status/1062333905536253953", "1062333905536253953")</f>
        <v>1062333905536253953</v>
      </c>
      <c r="B1161" t="s">
        <v>476</v>
      </c>
      <c r="C1161" s="3">
        <v>43417.554560185177</v>
      </c>
      <c r="D1161" s="5" t="s">
        <v>28</v>
      </c>
      <c r="E1161">
        <v>0</v>
      </c>
      <c r="F1161">
        <v>0</v>
      </c>
      <c r="G1161">
        <v>0</v>
      </c>
      <c r="I1161" t="s">
        <v>1197</v>
      </c>
      <c r="N1161">
        <v>0</v>
      </c>
      <c r="O1161">
        <v>0</v>
      </c>
      <c r="P1161">
        <v>1</v>
      </c>
      <c r="Q1161">
        <v>0</v>
      </c>
    </row>
    <row r="1162" spans="1:17" x14ac:dyDescent="0.2">
      <c r="A1162" s="1" t="str">
        <f>HYPERLINK("http://www.twitter.com/Ugo_Roux/status/1062287688877965313", "1062287688877965313")</f>
        <v>1062287688877965313</v>
      </c>
      <c r="B1162" t="s">
        <v>16</v>
      </c>
      <c r="C1162" s="3">
        <v>43417.427037037043</v>
      </c>
      <c r="D1162" s="3" t="s">
        <v>28</v>
      </c>
      <c r="E1162">
        <v>2</v>
      </c>
      <c r="F1162">
        <v>1</v>
      </c>
      <c r="G1162">
        <v>1</v>
      </c>
      <c r="I1162" t="s">
        <v>1198</v>
      </c>
      <c r="J1162" t="str">
        <f>HYPERLINK("https://video.twimg.com/ext_tw_video/1062287206763634689/pu/vid/1280x720/sgUOkSZQplm7L0uo.mp4?tag=5", "https://video.twimg.com/ext_tw_video/1062287206763634689/pu/vid/1280x720/sgUOkSZQplm7L0uo.mp4?tag=5")</f>
        <v>https://video.twimg.com/ext_tw_video/1062287206763634689/pu/vid/1280x720/sgUOkSZQplm7L0uo.mp4?tag=5</v>
      </c>
      <c r="N1162">
        <v>0</v>
      </c>
      <c r="O1162">
        <v>0</v>
      </c>
      <c r="P1162">
        <v>1</v>
      </c>
      <c r="Q1162">
        <v>0</v>
      </c>
    </row>
    <row r="1163" spans="1:17" x14ac:dyDescent="0.2">
      <c r="A1163" s="1" t="str">
        <f>HYPERLINK("http://www.twitter.com/Ugo_Roux/status/1062238905171394560", "1062238905171394560")</f>
        <v>1062238905171394560</v>
      </c>
      <c r="B1163" t="s">
        <v>285</v>
      </c>
      <c r="C1163" s="3">
        <v>43417.29241898148</v>
      </c>
      <c r="D1163" s="5" t="s">
        <v>41</v>
      </c>
      <c r="E1163">
        <v>0</v>
      </c>
      <c r="F1163">
        <v>0</v>
      </c>
      <c r="G1163">
        <v>0</v>
      </c>
      <c r="I1163" t="s">
        <v>1199</v>
      </c>
      <c r="N1163">
        <v>0</v>
      </c>
      <c r="O1163">
        <v>0</v>
      </c>
      <c r="P1163">
        <v>1</v>
      </c>
      <c r="Q1163">
        <v>0</v>
      </c>
    </row>
    <row r="1164" spans="1:17" x14ac:dyDescent="0.2">
      <c r="A1164" s="1" t="str">
        <f>HYPERLINK("http://www.twitter.com/Ugo_Roux/status/1061922724044517376", "1061922724044517376")</f>
        <v>1061922724044517376</v>
      </c>
      <c r="B1164" t="s">
        <v>142</v>
      </c>
      <c r="C1164" s="3">
        <v>43416.419918981483</v>
      </c>
      <c r="D1164" s="5" t="s">
        <v>17</v>
      </c>
      <c r="E1164">
        <v>2</v>
      </c>
      <c r="F1164">
        <v>0</v>
      </c>
      <c r="G1164">
        <v>0</v>
      </c>
      <c r="I1164" t="s">
        <v>1200</v>
      </c>
      <c r="J1164" t="str">
        <f>HYPERLINK("http://pbs.twimg.com/media/Dry1EKyWsAAtkRt.jpg", "http://pbs.twimg.com/media/Dry1EKyWsAAtkRt.jpg")</f>
        <v>http://pbs.twimg.com/media/Dry1EKyWsAAtkRt.jpg</v>
      </c>
      <c r="N1164">
        <v>0</v>
      </c>
      <c r="O1164">
        <v>0</v>
      </c>
      <c r="P1164">
        <v>1</v>
      </c>
      <c r="Q1164">
        <v>0</v>
      </c>
    </row>
    <row r="1165" spans="1:17" x14ac:dyDescent="0.2">
      <c r="A1165" s="1" t="str">
        <f>HYPERLINK("http://www.twitter.com/Ugo_Roux/status/1061610372380221440", "1061610372380221440")</f>
        <v>1061610372380221440</v>
      </c>
      <c r="B1165" t="s">
        <v>142</v>
      </c>
      <c r="C1165" s="3">
        <v>43415.557997685188</v>
      </c>
      <c r="D1165" s="5" t="s">
        <v>28</v>
      </c>
      <c r="E1165">
        <v>2</v>
      </c>
      <c r="F1165">
        <v>3</v>
      </c>
      <c r="G1165">
        <v>0</v>
      </c>
      <c r="I1165" t="s">
        <v>1201</v>
      </c>
      <c r="J1165" t="str">
        <f>HYPERLINK("http://pbs.twimg.com/media/DruY_zwXQAEbUSj.jpg", "http://pbs.twimg.com/media/DruY_zwXQAEbUSj.jpg")</f>
        <v>http://pbs.twimg.com/media/DruY_zwXQAEbUSj.jpg</v>
      </c>
      <c r="N1165">
        <v>0.54110000000000003</v>
      </c>
      <c r="O1165">
        <v>0</v>
      </c>
      <c r="P1165">
        <v>0.90200000000000002</v>
      </c>
      <c r="Q1165">
        <v>9.8000000000000004E-2</v>
      </c>
    </row>
    <row r="1166" spans="1:17" x14ac:dyDescent="0.2">
      <c r="A1166" s="1" t="str">
        <f>HYPERLINK("http://www.twitter.com/Ugo_Roux/status/1061604978727571456", "1061604978727571456")</f>
        <v>1061604978727571456</v>
      </c>
      <c r="B1166" t="s">
        <v>142</v>
      </c>
      <c r="C1166" s="3">
        <v>43415.543113425927</v>
      </c>
      <c r="D1166" s="5" t="s">
        <v>17</v>
      </c>
      <c r="E1166">
        <v>1</v>
      </c>
      <c r="F1166">
        <v>0</v>
      </c>
      <c r="G1166">
        <v>0</v>
      </c>
      <c r="I1166" t="s">
        <v>1202</v>
      </c>
      <c r="J1166" t="str">
        <f>HYPERLINK("http://pbs.twimg.com/media/DruUFBqXgAA9wKi.jpg", "http://pbs.twimg.com/media/DruUFBqXgAA9wKi.jpg")</f>
        <v>http://pbs.twimg.com/media/DruUFBqXgAA9wKi.jpg</v>
      </c>
      <c r="N1166">
        <v>0</v>
      </c>
      <c r="O1166">
        <v>0</v>
      </c>
      <c r="P1166">
        <v>1</v>
      </c>
      <c r="Q1166">
        <v>0</v>
      </c>
    </row>
    <row r="1167" spans="1:17" x14ac:dyDescent="0.2">
      <c r="A1167" s="1" t="str">
        <f>HYPERLINK("http://www.twitter.com/Ugo_Roux/status/1061268318307471361", "1061268318307471361")</f>
        <v>1061268318307471361</v>
      </c>
      <c r="B1167" t="s">
        <v>130</v>
      </c>
      <c r="C1167" s="3">
        <v>43414.614108796297</v>
      </c>
      <c r="D1167" s="5" t="s">
        <v>28</v>
      </c>
      <c r="E1167">
        <v>1</v>
      </c>
      <c r="F1167">
        <v>0</v>
      </c>
      <c r="G1167">
        <v>0</v>
      </c>
      <c r="I1167" t="s">
        <v>1203</v>
      </c>
      <c r="N1167">
        <v>0</v>
      </c>
      <c r="O1167">
        <v>0</v>
      </c>
      <c r="P1167">
        <v>1</v>
      </c>
      <c r="Q1167">
        <v>0</v>
      </c>
    </row>
    <row r="1168" spans="1:17" x14ac:dyDescent="0.2">
      <c r="A1168" s="1" t="str">
        <f>HYPERLINK("http://www.twitter.com/Ugo_Roux/status/1060479211704647680", "1060479211704647680")</f>
        <v>1060479211704647680</v>
      </c>
      <c r="B1168" t="s">
        <v>16</v>
      </c>
      <c r="C1168" s="3">
        <v>43412.436585648153</v>
      </c>
      <c r="D1168" s="3" t="s">
        <v>28</v>
      </c>
      <c r="E1168">
        <v>0</v>
      </c>
      <c r="F1168">
        <v>0</v>
      </c>
      <c r="G1168">
        <v>0</v>
      </c>
      <c r="I1168" t="s">
        <v>1204</v>
      </c>
      <c r="J1168" t="str">
        <f>HYPERLINK("https://video.twimg.com/ext_tw_video/1060477760416681985/pu/vid/1280x720/qXl-coEp7AyZAvig.mp4?tag=5", "https://video.twimg.com/ext_tw_video/1060477760416681985/pu/vid/1280x720/qXl-coEp7AyZAvig.mp4?tag=5")</f>
        <v>https://video.twimg.com/ext_tw_video/1060477760416681985/pu/vid/1280x720/qXl-coEp7AyZAvig.mp4?tag=5</v>
      </c>
      <c r="N1168">
        <v>0</v>
      </c>
      <c r="O1168">
        <v>0</v>
      </c>
      <c r="P1168">
        <v>1</v>
      </c>
      <c r="Q1168">
        <v>0</v>
      </c>
    </row>
    <row r="1169" spans="1:17" x14ac:dyDescent="0.2">
      <c r="A1169" s="1" t="str">
        <f>HYPERLINK("http://www.twitter.com/Ugo_Roux/status/1060268140909727744", "1060268140909727744")</f>
        <v>1060268140909727744</v>
      </c>
      <c r="B1169" t="s">
        <v>130</v>
      </c>
      <c r="C1169" s="3">
        <v>43411.854143518518</v>
      </c>
      <c r="D1169" s="5" t="s">
        <v>28</v>
      </c>
      <c r="E1169">
        <v>0</v>
      </c>
      <c r="F1169">
        <v>1</v>
      </c>
      <c r="G1169">
        <v>0</v>
      </c>
      <c r="I1169" t="s">
        <v>1205</v>
      </c>
      <c r="N1169">
        <v>0</v>
      </c>
      <c r="O1169">
        <v>0</v>
      </c>
      <c r="P1169">
        <v>1</v>
      </c>
      <c r="Q1169">
        <v>0</v>
      </c>
    </row>
    <row r="1170" spans="1:17" x14ac:dyDescent="0.2">
      <c r="A1170" s="1" t="str">
        <f>HYPERLINK("http://www.twitter.com/Ugo_Roux/status/1060213331603218432", "1060213331603218432")</f>
        <v>1060213331603218432</v>
      </c>
      <c r="B1170" t="s">
        <v>456</v>
      </c>
      <c r="C1170" s="3">
        <v>43411.702893518523</v>
      </c>
      <c r="D1170" t="s">
        <v>28</v>
      </c>
      <c r="E1170">
        <v>4</v>
      </c>
      <c r="F1170">
        <v>2</v>
      </c>
      <c r="G1170">
        <v>0</v>
      </c>
      <c r="I1170" t="s">
        <v>1206</v>
      </c>
      <c r="J1170" t="str">
        <f>HYPERLINK("http://pbs.twimg.com/media/DraiZz5X4AEQhA7.jpg", "http://pbs.twimg.com/media/DraiZz5X4AEQhA7.jpg")</f>
        <v>http://pbs.twimg.com/media/DraiZz5X4AEQhA7.jpg</v>
      </c>
      <c r="N1170">
        <v>0</v>
      </c>
      <c r="O1170">
        <v>0</v>
      </c>
      <c r="P1170">
        <v>1</v>
      </c>
      <c r="Q1170">
        <v>0</v>
      </c>
    </row>
    <row r="1171" spans="1:17" x14ac:dyDescent="0.2">
      <c r="A1171" s="1" t="str">
        <f>HYPERLINK("http://www.twitter.com/Ugo_Roux/status/1060083723604017152", "1060083723604017152")</f>
        <v>1060083723604017152</v>
      </c>
      <c r="B1171" t="s">
        <v>476</v>
      </c>
      <c r="C1171" s="3">
        <v>43411.345243055563</v>
      </c>
      <c r="D1171" s="5" t="s">
        <v>28</v>
      </c>
      <c r="E1171">
        <v>0</v>
      </c>
      <c r="F1171">
        <v>0</v>
      </c>
      <c r="G1171">
        <v>0</v>
      </c>
      <c r="I1171" t="s">
        <v>1207</v>
      </c>
      <c r="N1171">
        <v>0</v>
      </c>
      <c r="O1171">
        <v>0</v>
      </c>
      <c r="P1171">
        <v>1</v>
      </c>
      <c r="Q1171">
        <v>0</v>
      </c>
    </row>
    <row r="1172" spans="1:17" x14ac:dyDescent="0.2">
      <c r="A1172" s="1" t="str">
        <f>HYPERLINK("http://www.twitter.com/Ugo_Roux/status/1059739763513663489", "1059739763513663489")</f>
        <v>1059739763513663489</v>
      </c>
      <c r="B1172" t="s">
        <v>130</v>
      </c>
      <c r="C1172" s="3">
        <v>43410.396099537043</v>
      </c>
      <c r="D1172" s="5" t="s">
        <v>17</v>
      </c>
      <c r="E1172">
        <v>0</v>
      </c>
      <c r="F1172">
        <v>0</v>
      </c>
      <c r="G1172">
        <v>0</v>
      </c>
      <c r="I1172" t="s">
        <v>1208</v>
      </c>
      <c r="N1172">
        <v>0</v>
      </c>
      <c r="O1172">
        <v>0</v>
      </c>
      <c r="P1172">
        <v>1</v>
      </c>
      <c r="Q1172">
        <v>0</v>
      </c>
    </row>
    <row r="1173" spans="1:17" x14ac:dyDescent="0.2">
      <c r="A1173" s="1" t="str">
        <f>HYPERLINK("http://www.twitter.com/Ugo_Roux/status/1059736128817950721", "1059736128817950721")</f>
        <v>1059736128817950721</v>
      </c>
      <c r="B1173" t="s">
        <v>471</v>
      </c>
      <c r="C1173" s="3">
        <v>43410.386064814818</v>
      </c>
      <c r="D1173" s="3" t="s">
        <v>28</v>
      </c>
      <c r="E1173">
        <v>1</v>
      </c>
      <c r="F1173">
        <v>1</v>
      </c>
      <c r="G1173">
        <v>0</v>
      </c>
      <c r="I1173" t="s">
        <v>1209</v>
      </c>
      <c r="J1173" t="str">
        <f>HYPERLINK("http://pbs.twimg.com/media/DrTwV_iX4AAOXlU.jpg", "http://pbs.twimg.com/media/DrTwV_iX4AAOXlU.jpg")</f>
        <v>http://pbs.twimg.com/media/DrTwV_iX4AAOXlU.jpg</v>
      </c>
      <c r="N1173">
        <v>0</v>
      </c>
      <c r="O1173">
        <v>0</v>
      </c>
      <c r="P1173">
        <v>1</v>
      </c>
      <c r="Q1173">
        <v>0</v>
      </c>
    </row>
    <row r="1174" spans="1:17" x14ac:dyDescent="0.2">
      <c r="A1174" s="1" t="str">
        <f>HYPERLINK("http://www.twitter.com/Ugo_Roux/status/1059437273937334273", "1059437273937334273")</f>
        <v>1059437273937334273</v>
      </c>
      <c r="B1174" t="s">
        <v>142</v>
      </c>
      <c r="C1174" s="3">
        <v>43409.561388888891</v>
      </c>
      <c r="D1174" s="5" t="s">
        <v>41</v>
      </c>
      <c r="E1174">
        <v>4</v>
      </c>
      <c r="F1174">
        <v>6</v>
      </c>
      <c r="G1174">
        <v>0</v>
      </c>
      <c r="I1174" t="s">
        <v>1210</v>
      </c>
      <c r="J1174" t="str">
        <f>HYPERLINK("http://pbs.twimg.com/media/DrPgkGvX0AEtLp_.jpg", "http://pbs.twimg.com/media/DrPgkGvX0AEtLp_.jpg")</f>
        <v>http://pbs.twimg.com/media/DrPgkGvX0AEtLp_.jpg</v>
      </c>
      <c r="N1174">
        <v>0</v>
      </c>
      <c r="O1174">
        <v>0</v>
      </c>
      <c r="P1174">
        <v>1</v>
      </c>
      <c r="Q1174">
        <v>0</v>
      </c>
    </row>
    <row r="1175" spans="1:17" x14ac:dyDescent="0.2">
      <c r="A1175" s="1" t="str">
        <f>HYPERLINK("http://www.twitter.com/Ugo_Roux/status/1059358707505479681", "1059358707505479681")</f>
        <v>1059358707505479681</v>
      </c>
      <c r="B1175" t="s">
        <v>285</v>
      </c>
      <c r="C1175" s="3">
        <v>43409.344583333332</v>
      </c>
      <c r="D1175" s="5" t="s">
        <v>28</v>
      </c>
      <c r="E1175">
        <v>0</v>
      </c>
      <c r="F1175">
        <v>0</v>
      </c>
      <c r="G1175">
        <v>0</v>
      </c>
      <c r="I1175" t="s">
        <v>1211</v>
      </c>
      <c r="J1175" t="str">
        <f>HYPERLINK("http://pbs.twimg.com/media/DrOZGeKWsAA6N0H.jpg", "http://pbs.twimg.com/media/DrOZGeKWsAA6N0H.jpg")</f>
        <v>http://pbs.twimg.com/media/DrOZGeKWsAA6N0H.jpg</v>
      </c>
      <c r="N1175">
        <v>0</v>
      </c>
      <c r="O1175">
        <v>0</v>
      </c>
      <c r="P1175">
        <v>1</v>
      </c>
      <c r="Q1175">
        <v>0</v>
      </c>
    </row>
    <row r="1176" spans="1:17" x14ac:dyDescent="0.2">
      <c r="A1176" s="1" t="str">
        <f>HYPERLINK("http://www.twitter.com/Ugo_Roux/status/1059185527814004743", "1059185527814004743")</f>
        <v>1059185527814004743</v>
      </c>
      <c r="B1176" t="s">
        <v>142</v>
      </c>
      <c r="C1176" s="3">
        <v>43408.866701388892</v>
      </c>
      <c r="D1176" s="5" t="s">
        <v>460</v>
      </c>
      <c r="E1176">
        <v>2</v>
      </c>
      <c r="F1176">
        <v>4</v>
      </c>
      <c r="G1176">
        <v>0</v>
      </c>
      <c r="I1176" t="s">
        <v>1212</v>
      </c>
      <c r="J1176" t="str">
        <f>HYPERLINK("http://pbs.twimg.com/media/DrL7nd5X0AE8PH8.jpg", "http://pbs.twimg.com/media/DrL7nd5X0AE8PH8.jpg")</f>
        <v>http://pbs.twimg.com/media/DrL7nd5X0AE8PH8.jpg</v>
      </c>
      <c r="N1176">
        <v>0</v>
      </c>
      <c r="O1176">
        <v>0</v>
      </c>
      <c r="P1176">
        <v>1</v>
      </c>
      <c r="Q1176">
        <v>0</v>
      </c>
    </row>
    <row r="1177" spans="1:17" x14ac:dyDescent="0.2">
      <c r="A1177" s="1" t="str">
        <f>HYPERLINK("http://www.twitter.com/Ugo_Roux/status/1058661928028065793", "1058661928028065793")</f>
        <v>1058661928028065793</v>
      </c>
      <c r="B1177" t="s">
        <v>206</v>
      </c>
      <c r="C1177" s="3">
        <v>43407.421840277777</v>
      </c>
      <c r="D1177" s="5" t="s">
        <v>28</v>
      </c>
      <c r="E1177">
        <v>7</v>
      </c>
      <c r="F1177">
        <v>2</v>
      </c>
      <c r="G1177">
        <v>0</v>
      </c>
      <c r="I1177" t="s">
        <v>1213</v>
      </c>
      <c r="J1177" t="str">
        <f>HYPERLINK("http://pbs.twimg.com/media/DrEevN9XcAAEbbe.jpg", "http://pbs.twimg.com/media/DrEevN9XcAAEbbe.jpg")</f>
        <v>http://pbs.twimg.com/media/DrEevN9XcAAEbbe.jpg</v>
      </c>
      <c r="N1177">
        <v>0</v>
      </c>
      <c r="O1177">
        <v>0</v>
      </c>
      <c r="P1177">
        <v>1</v>
      </c>
      <c r="Q1177">
        <v>0</v>
      </c>
    </row>
    <row r="1178" spans="1:17" x14ac:dyDescent="0.2">
      <c r="A1178" s="1" t="str">
        <f>HYPERLINK("http://www.twitter.com/Ugo_Roux/status/1058656570500886529", "1058656570500886529")</f>
        <v>1058656570500886529</v>
      </c>
      <c r="B1178" t="s">
        <v>414</v>
      </c>
      <c r="C1178" s="3">
        <v>43407.407048611109</v>
      </c>
      <c r="D1178" s="5" t="s">
        <v>28</v>
      </c>
      <c r="E1178">
        <v>0</v>
      </c>
      <c r="F1178">
        <v>0</v>
      </c>
      <c r="G1178">
        <v>0</v>
      </c>
      <c r="I1178" t="s">
        <v>1214</v>
      </c>
      <c r="J1178" t="str">
        <f>HYPERLINK("http://pbs.twimg.com/media/DrEaeznXcAAHSsu.jpg", "http://pbs.twimg.com/media/DrEaeznXcAAHSsu.jpg")</f>
        <v>http://pbs.twimg.com/media/DrEaeznXcAAHSsu.jpg</v>
      </c>
      <c r="K1178" t="str">
        <f>HYPERLINK("http://pbs.twimg.com/media/DrEaezqWkAUxD4C.jpg", "http://pbs.twimg.com/media/DrEaezqWkAUxD4C.jpg")</f>
        <v>http://pbs.twimg.com/media/DrEaezqWkAUxD4C.jpg</v>
      </c>
      <c r="N1178">
        <v>0</v>
      </c>
      <c r="O1178">
        <v>0</v>
      </c>
      <c r="P1178">
        <v>1</v>
      </c>
      <c r="Q1178">
        <v>0</v>
      </c>
    </row>
    <row r="1179" spans="1:17" x14ac:dyDescent="0.2">
      <c r="A1179" s="1" t="str">
        <f>HYPERLINK("http://www.twitter.com/Ugo_Roux/status/1058648706289991680", "1058648706289991680")</f>
        <v>1058648706289991680</v>
      </c>
      <c r="B1179" t="s">
        <v>16</v>
      </c>
      <c r="C1179" s="3">
        <v>43407.385347222233</v>
      </c>
      <c r="D1179" s="3" t="s">
        <v>28</v>
      </c>
      <c r="E1179">
        <v>2</v>
      </c>
      <c r="F1179">
        <v>0</v>
      </c>
      <c r="G1179">
        <v>0</v>
      </c>
      <c r="I1179" t="s">
        <v>1215</v>
      </c>
      <c r="J1179" t="str">
        <f>HYPERLINK("http://pbs.twimg.com/media/DrETBYIWoAIlwNX.jpg", "http://pbs.twimg.com/media/DrETBYIWoAIlwNX.jpg")</f>
        <v>http://pbs.twimg.com/media/DrETBYIWoAIlwNX.jpg</v>
      </c>
      <c r="N1179">
        <v>0</v>
      </c>
      <c r="O1179">
        <v>0</v>
      </c>
      <c r="P1179">
        <v>1</v>
      </c>
      <c r="Q1179">
        <v>0</v>
      </c>
    </row>
    <row r="1180" spans="1:17" x14ac:dyDescent="0.2">
      <c r="A1180" s="1" t="str">
        <f>HYPERLINK("http://www.twitter.com/Ugo_Roux/status/1058636626157600768", "1058636626157600768")</f>
        <v>1058636626157600768</v>
      </c>
      <c r="B1180" t="s">
        <v>476</v>
      </c>
      <c r="C1180" s="3">
        <v>43407.352013888893</v>
      </c>
      <c r="D1180" s="5" t="s">
        <v>28</v>
      </c>
      <c r="E1180">
        <v>0</v>
      </c>
      <c r="F1180">
        <v>0</v>
      </c>
      <c r="G1180">
        <v>0</v>
      </c>
      <c r="I1180" t="s">
        <v>1216</v>
      </c>
      <c r="N1180">
        <v>0</v>
      </c>
      <c r="O1180">
        <v>0</v>
      </c>
      <c r="P1180">
        <v>1</v>
      </c>
      <c r="Q1180">
        <v>0</v>
      </c>
    </row>
    <row r="1181" spans="1:17" x14ac:dyDescent="0.2">
      <c r="A1181" s="1" t="str">
        <f>HYPERLINK("http://www.twitter.com/Ugo_Roux/status/1058368723587919877", "1058368723587919877")</f>
        <v>1058368723587919877</v>
      </c>
      <c r="B1181" t="s">
        <v>206</v>
      </c>
      <c r="C1181" s="3">
        <v>43406.612743055557</v>
      </c>
      <c r="D1181" s="5" t="s">
        <v>17</v>
      </c>
      <c r="E1181">
        <v>26</v>
      </c>
      <c r="F1181">
        <v>14</v>
      </c>
      <c r="G1181">
        <v>2</v>
      </c>
      <c r="I1181" t="s">
        <v>1217</v>
      </c>
      <c r="J1181" t="str">
        <f>HYPERLINK("http://pbs.twimg.com/media/DrAUrCqXQAMW3I9.jpg", "http://pbs.twimg.com/media/DrAUrCqXQAMW3I9.jpg")</f>
        <v>http://pbs.twimg.com/media/DrAUrCqXQAMW3I9.jpg</v>
      </c>
      <c r="N1181">
        <v>0.56499999999999995</v>
      </c>
      <c r="O1181">
        <v>0</v>
      </c>
      <c r="P1181">
        <v>0.92800000000000005</v>
      </c>
      <c r="Q1181">
        <v>7.1999999999999995E-2</v>
      </c>
    </row>
    <row r="1182" spans="1:17" x14ac:dyDescent="0.2">
      <c r="A1182" s="1" t="str">
        <f>HYPERLINK("http://www.twitter.com/Ugo_Roux/status/1058341191664746497", "1058341191664746497")</f>
        <v>1058341191664746497</v>
      </c>
      <c r="B1182" t="s">
        <v>414</v>
      </c>
      <c r="C1182" s="3">
        <v>43406.536770833343</v>
      </c>
      <c r="D1182" s="5" t="s">
        <v>28</v>
      </c>
      <c r="E1182">
        <v>0</v>
      </c>
      <c r="F1182">
        <v>1</v>
      </c>
      <c r="G1182">
        <v>0</v>
      </c>
      <c r="I1182" t="s">
        <v>1218</v>
      </c>
      <c r="J1182" t="str">
        <f>HYPERLINK("http://pbs.twimg.com/media/Dq_7XBGX4AAXxS6.jpg", "http://pbs.twimg.com/media/Dq_7XBGX4AAXxS6.jpg")</f>
        <v>http://pbs.twimg.com/media/Dq_7XBGX4AAXxS6.jpg</v>
      </c>
      <c r="N1182">
        <v>0</v>
      </c>
      <c r="O1182">
        <v>0</v>
      </c>
      <c r="P1182">
        <v>1</v>
      </c>
      <c r="Q1182">
        <v>0</v>
      </c>
    </row>
    <row r="1183" spans="1:17" x14ac:dyDescent="0.2">
      <c r="A1183" s="1" t="str">
        <f>HYPERLINK("http://www.twitter.com/Ugo_Roux/status/1058276048037728256", "1058276048037728256")</f>
        <v>1058276048037728256</v>
      </c>
      <c r="B1183" t="s">
        <v>16</v>
      </c>
      <c r="C1183" s="3">
        <v>43406.35701388889</v>
      </c>
      <c r="D1183" s="3" t="s">
        <v>28</v>
      </c>
      <c r="E1183">
        <v>0</v>
      </c>
      <c r="F1183">
        <v>1</v>
      </c>
      <c r="G1183">
        <v>0</v>
      </c>
      <c r="I1183" t="s">
        <v>1219</v>
      </c>
      <c r="N1183">
        <v>0</v>
      </c>
      <c r="O1183">
        <v>0</v>
      </c>
      <c r="P1183">
        <v>1</v>
      </c>
      <c r="Q1183">
        <v>0</v>
      </c>
    </row>
    <row r="1184" spans="1:17" x14ac:dyDescent="0.2">
      <c r="A1184" s="1" t="str">
        <f>HYPERLINK("http://www.twitter.com/Ugo_Roux/status/1057999593458335744", "1057999593458335744")</f>
        <v>1057999593458335744</v>
      </c>
      <c r="B1184" t="s">
        <v>142</v>
      </c>
      <c r="C1184" s="3">
        <v>43405.594143518523</v>
      </c>
      <c r="D1184" s="5" t="s">
        <v>24</v>
      </c>
      <c r="E1184">
        <v>2</v>
      </c>
      <c r="F1184">
        <v>2</v>
      </c>
      <c r="G1184">
        <v>0</v>
      </c>
      <c r="I1184" t="s">
        <v>1220</v>
      </c>
      <c r="J1184" t="str">
        <f>HYPERLINK("http://pbs.twimg.com/media/Dq7E-xDXQAA2qE1.jpg", "http://pbs.twimg.com/media/Dq7E-xDXQAA2qE1.jpg")</f>
        <v>http://pbs.twimg.com/media/Dq7E-xDXQAA2qE1.jpg</v>
      </c>
      <c r="N1184">
        <v>0</v>
      </c>
      <c r="O1184">
        <v>0</v>
      </c>
      <c r="P1184">
        <v>1</v>
      </c>
      <c r="Q1184">
        <v>0</v>
      </c>
    </row>
    <row r="1185" spans="1:17" x14ac:dyDescent="0.2">
      <c r="A1185" s="1" t="str">
        <f>HYPERLINK("http://www.twitter.com/Ugo_Roux/status/1057662362415779840", "1057662362415779840")</f>
        <v>1057662362415779840</v>
      </c>
      <c r="B1185" t="s">
        <v>16</v>
      </c>
      <c r="C1185" s="3">
        <v>43404.663564814808</v>
      </c>
      <c r="D1185" s="3" t="s">
        <v>41</v>
      </c>
      <c r="E1185">
        <v>2</v>
      </c>
      <c r="F1185">
        <v>0</v>
      </c>
      <c r="G1185">
        <v>0</v>
      </c>
      <c r="I1185" t="s">
        <v>1221</v>
      </c>
      <c r="J1185" t="str">
        <f>HYPERLINK("http://pbs.twimg.com/media/Dq2STV-XgAEK-Hy.jpg", "http://pbs.twimg.com/media/Dq2STV-XgAEK-Hy.jpg")</f>
        <v>http://pbs.twimg.com/media/Dq2STV-XgAEK-Hy.jpg</v>
      </c>
      <c r="N1185">
        <v>0</v>
      </c>
      <c r="O1185">
        <v>0</v>
      </c>
      <c r="P1185">
        <v>1</v>
      </c>
      <c r="Q1185">
        <v>0</v>
      </c>
    </row>
    <row r="1186" spans="1:17" x14ac:dyDescent="0.2">
      <c r="A1186" s="1" t="str">
        <f>HYPERLINK("http://www.twitter.com/Ugo_Roux/status/1057587281396150272", "1057587281396150272")</f>
        <v>1057587281396150272</v>
      </c>
      <c r="B1186" t="s">
        <v>456</v>
      </c>
      <c r="C1186" s="3">
        <v>43404.456377314818</v>
      </c>
      <c r="D1186" t="s">
        <v>28</v>
      </c>
      <c r="E1186">
        <v>3</v>
      </c>
      <c r="F1186">
        <v>0</v>
      </c>
      <c r="G1186">
        <v>0</v>
      </c>
      <c r="I1186" t="s">
        <v>1222</v>
      </c>
      <c r="J1186" t="str">
        <f>HYPERLINK("http://pbs.twimg.com/media/Dq1OBSBX0AEe8EM.jpg", "http://pbs.twimg.com/media/Dq1OBSBX0AEe8EM.jpg")</f>
        <v>http://pbs.twimg.com/media/Dq1OBSBX0AEe8EM.jpg</v>
      </c>
      <c r="N1186">
        <v>0</v>
      </c>
      <c r="O1186">
        <v>0</v>
      </c>
      <c r="P1186">
        <v>1</v>
      </c>
      <c r="Q1186">
        <v>0</v>
      </c>
    </row>
    <row r="1187" spans="1:17" x14ac:dyDescent="0.2">
      <c r="A1187" s="1" t="str">
        <f>HYPERLINK("http://www.twitter.com/Ugo_Roux/status/1057259203377684481", "1057259203377684481")</f>
        <v>1057259203377684481</v>
      </c>
      <c r="B1187" t="s">
        <v>476</v>
      </c>
      <c r="C1187" s="3">
        <v>43403.551053240742</v>
      </c>
      <c r="D1187" s="5" t="s">
        <v>28</v>
      </c>
      <c r="E1187">
        <v>1</v>
      </c>
      <c r="F1187">
        <v>0</v>
      </c>
      <c r="G1187">
        <v>0</v>
      </c>
      <c r="I1187" t="s">
        <v>1223</v>
      </c>
      <c r="N1187">
        <v>0</v>
      </c>
      <c r="O1187">
        <v>0</v>
      </c>
      <c r="P1187">
        <v>1</v>
      </c>
      <c r="Q1187">
        <v>0</v>
      </c>
    </row>
    <row r="1188" spans="1:17" x14ac:dyDescent="0.2">
      <c r="A1188" s="1" t="str">
        <f>HYPERLINK("http://www.twitter.com/Ugo_Roux/status/1056146375652585472", "1056146375652585472")</f>
        <v>1056146375652585472</v>
      </c>
      <c r="B1188" t="s">
        <v>47</v>
      </c>
      <c r="C1188" s="3">
        <v>43400.480231481481</v>
      </c>
      <c r="D1188" s="3" t="s">
        <v>17</v>
      </c>
      <c r="E1188">
        <v>3</v>
      </c>
      <c r="F1188">
        <v>1</v>
      </c>
      <c r="G1188">
        <v>0</v>
      </c>
      <c r="I1188" t="s">
        <v>1224</v>
      </c>
      <c r="J1188" t="str">
        <f>HYPERLINK("http://pbs.twimg.com/media/Dqgvhn6WkAEvsZu.jpg", "http://pbs.twimg.com/media/Dqgvhn6WkAEvsZu.jpg")</f>
        <v>http://pbs.twimg.com/media/Dqgvhn6WkAEvsZu.jpg</v>
      </c>
      <c r="N1188">
        <v>0</v>
      </c>
      <c r="O1188">
        <v>0</v>
      </c>
      <c r="P1188">
        <v>1</v>
      </c>
      <c r="Q1188">
        <v>0</v>
      </c>
    </row>
    <row r="1189" spans="1:17" x14ac:dyDescent="0.2">
      <c r="A1189" s="1" t="str">
        <f>HYPERLINK("http://www.twitter.com/Ugo_Roux/status/1055821466514718721", "1055821466514718721")</f>
        <v>1055821466514718721</v>
      </c>
      <c r="B1189" t="s">
        <v>47</v>
      </c>
      <c r="C1189" s="3">
        <v>43399.583657407413</v>
      </c>
      <c r="D1189" s="5" t="s">
        <v>41</v>
      </c>
      <c r="E1189">
        <v>5</v>
      </c>
      <c r="F1189">
        <v>0</v>
      </c>
      <c r="G1189">
        <v>1</v>
      </c>
      <c r="I1189" t="s">
        <v>1225</v>
      </c>
      <c r="N1189">
        <v>0</v>
      </c>
      <c r="O1189">
        <v>0</v>
      </c>
      <c r="P1189">
        <v>1</v>
      </c>
      <c r="Q1189">
        <v>0</v>
      </c>
    </row>
    <row r="1190" spans="1:17" x14ac:dyDescent="0.2">
      <c r="A1190" s="1" t="str">
        <f>HYPERLINK("http://www.twitter.com/Ugo_Roux/status/1055794802514710529", "1055794802514710529")</f>
        <v>1055794802514710529</v>
      </c>
      <c r="B1190" t="s">
        <v>142</v>
      </c>
      <c r="C1190" s="3">
        <v>43399.510081018518</v>
      </c>
      <c r="D1190" s="5" t="s">
        <v>17</v>
      </c>
      <c r="E1190">
        <v>1</v>
      </c>
      <c r="F1190">
        <v>0</v>
      </c>
      <c r="G1190">
        <v>0</v>
      </c>
      <c r="I1190" t="s">
        <v>1226</v>
      </c>
      <c r="J1190" t="str">
        <f>HYPERLINK("http://pbs.twimg.com/media/DqbvxhbXcAA3BdH.jpg", "http://pbs.twimg.com/media/DqbvxhbXcAA3BdH.jpg")</f>
        <v>http://pbs.twimg.com/media/DqbvxhbXcAA3BdH.jpg</v>
      </c>
      <c r="N1190">
        <v>0</v>
      </c>
      <c r="O1190">
        <v>0</v>
      </c>
      <c r="P1190">
        <v>1</v>
      </c>
      <c r="Q1190">
        <v>0</v>
      </c>
    </row>
    <row r="1191" spans="1:17" x14ac:dyDescent="0.2">
      <c r="A1191" s="1" t="str">
        <f>HYPERLINK("http://www.twitter.com/Ugo_Roux/status/1055793438979973121", "1055793438979973121")</f>
        <v>1055793438979973121</v>
      </c>
      <c r="B1191" t="s">
        <v>476</v>
      </c>
      <c r="C1191" s="3">
        <v>43399.506319444437</v>
      </c>
      <c r="D1191" s="5" t="s">
        <v>28</v>
      </c>
      <c r="E1191">
        <v>2</v>
      </c>
      <c r="F1191">
        <v>0</v>
      </c>
      <c r="G1191">
        <v>0</v>
      </c>
      <c r="I1191" t="s">
        <v>1227</v>
      </c>
      <c r="J1191" t="str">
        <f>HYPERLINK("http://pbs.twimg.com/media/DqbuZ8pWoAAEB94.jpg", "http://pbs.twimg.com/media/DqbuZ8pWoAAEB94.jpg")</f>
        <v>http://pbs.twimg.com/media/DqbuZ8pWoAAEB94.jpg</v>
      </c>
      <c r="N1191">
        <v>0</v>
      </c>
      <c r="O1191">
        <v>0</v>
      </c>
      <c r="P1191">
        <v>1</v>
      </c>
      <c r="Q1191">
        <v>0</v>
      </c>
    </row>
    <row r="1192" spans="1:17" x14ac:dyDescent="0.2">
      <c r="A1192" s="1" t="str">
        <f>HYPERLINK("http://www.twitter.com/Ugo_Roux/status/1055453203490332675", "1055453203490332675")</f>
        <v>1055453203490332675</v>
      </c>
      <c r="B1192" t="s">
        <v>142</v>
      </c>
      <c r="C1192" s="3">
        <v>43398.567442129628</v>
      </c>
      <c r="D1192" s="5" t="s">
        <v>28</v>
      </c>
      <c r="E1192">
        <v>1</v>
      </c>
      <c r="F1192">
        <v>1</v>
      </c>
      <c r="G1192">
        <v>0</v>
      </c>
      <c r="I1192" t="s">
        <v>1228</v>
      </c>
      <c r="N1192">
        <v>0</v>
      </c>
      <c r="O1192">
        <v>0</v>
      </c>
      <c r="P1192">
        <v>1</v>
      </c>
      <c r="Q1192">
        <v>0</v>
      </c>
    </row>
    <row r="1193" spans="1:17" x14ac:dyDescent="0.2">
      <c r="A1193" s="1" t="str">
        <f>HYPERLINK("http://www.twitter.com/Ugo_Roux/status/1055434557149900801", "1055434557149900801")</f>
        <v>1055434557149900801</v>
      </c>
      <c r="B1193" t="s">
        <v>456</v>
      </c>
      <c r="C1193" s="3">
        <v>43398.51599537037</v>
      </c>
      <c r="D1193" t="s">
        <v>28</v>
      </c>
      <c r="E1193">
        <v>1</v>
      </c>
      <c r="F1193">
        <v>1</v>
      </c>
      <c r="G1193">
        <v>0</v>
      </c>
      <c r="I1193" t="s">
        <v>1229</v>
      </c>
      <c r="N1193">
        <v>0</v>
      </c>
      <c r="O1193">
        <v>0</v>
      </c>
      <c r="P1193">
        <v>1</v>
      </c>
      <c r="Q1193">
        <v>0</v>
      </c>
    </row>
    <row r="1194" spans="1:17" x14ac:dyDescent="0.2">
      <c r="A1194" s="1" t="str">
        <f>HYPERLINK("http://www.twitter.com/Ugo_Roux/status/1055344043931156480", "1055344043931156480")</f>
        <v>1055344043931156480</v>
      </c>
      <c r="B1194" t="s">
        <v>285</v>
      </c>
      <c r="C1194" s="3">
        <v>43398.266226851847</v>
      </c>
      <c r="D1194" s="5" t="s">
        <v>17</v>
      </c>
      <c r="E1194">
        <v>0</v>
      </c>
      <c r="F1194">
        <v>0</v>
      </c>
      <c r="G1194">
        <v>0</v>
      </c>
      <c r="I1194" t="s">
        <v>1230</v>
      </c>
      <c r="J1194" t="str">
        <f>HYPERLINK("http://pbs.twimg.com/media/DqVVyuTX4AEixwA.jpg", "http://pbs.twimg.com/media/DqVVyuTX4AEixwA.jpg")</f>
        <v>http://pbs.twimg.com/media/DqVVyuTX4AEixwA.jpg</v>
      </c>
      <c r="N1194">
        <v>0.36120000000000002</v>
      </c>
      <c r="O1194">
        <v>6.4000000000000001E-2</v>
      </c>
      <c r="P1194">
        <v>0.80900000000000005</v>
      </c>
      <c r="Q1194">
        <v>0.128</v>
      </c>
    </row>
    <row r="1195" spans="1:17" x14ac:dyDescent="0.2">
      <c r="A1195" s="1" t="str">
        <f>HYPERLINK("http://www.twitter.com/Ugo_Roux/status/1055130145395236864", "1055130145395236864")</f>
        <v>1055130145395236864</v>
      </c>
      <c r="B1195" t="s">
        <v>130</v>
      </c>
      <c r="C1195" s="3">
        <v>43397.67597222222</v>
      </c>
      <c r="D1195" s="5" t="s">
        <v>28</v>
      </c>
      <c r="E1195">
        <v>0</v>
      </c>
      <c r="F1195">
        <v>0</v>
      </c>
      <c r="G1195">
        <v>0</v>
      </c>
      <c r="I1195" t="s">
        <v>1231</v>
      </c>
      <c r="N1195">
        <v>0</v>
      </c>
      <c r="O1195">
        <v>0</v>
      </c>
      <c r="P1195">
        <v>1</v>
      </c>
      <c r="Q1195">
        <v>0</v>
      </c>
    </row>
    <row r="1196" spans="1:17" x14ac:dyDescent="0.2">
      <c r="A1196" s="1" t="str">
        <f>HYPERLINK("http://www.twitter.com/Ugo_Roux/status/1055126907325501440", "1055126907325501440")</f>
        <v>1055126907325501440</v>
      </c>
      <c r="B1196" t="s">
        <v>456</v>
      </c>
      <c r="C1196" s="3">
        <v>43397.667037037027</v>
      </c>
      <c r="D1196" t="s">
        <v>24</v>
      </c>
      <c r="E1196">
        <v>4</v>
      </c>
      <c r="F1196">
        <v>1</v>
      </c>
      <c r="G1196">
        <v>0</v>
      </c>
      <c r="I1196" t="s">
        <v>1232</v>
      </c>
      <c r="J1196" t="str">
        <f>HYPERLINK("http://pbs.twimg.com/media/DqSQLDPWsAErhY9.jpg", "http://pbs.twimg.com/media/DqSQLDPWsAErhY9.jpg")</f>
        <v>http://pbs.twimg.com/media/DqSQLDPWsAErhY9.jpg</v>
      </c>
      <c r="N1196">
        <v>0</v>
      </c>
      <c r="O1196">
        <v>0</v>
      </c>
      <c r="P1196">
        <v>1</v>
      </c>
      <c r="Q1196">
        <v>0</v>
      </c>
    </row>
    <row r="1197" spans="1:17" x14ac:dyDescent="0.2">
      <c r="A1197" s="1" t="str">
        <f>HYPERLINK("http://www.twitter.com/Ugo_Roux/status/1055102949729492993", "1055102949729492993")</f>
        <v>1055102949729492993</v>
      </c>
      <c r="B1197" t="s">
        <v>206</v>
      </c>
      <c r="C1197" s="3">
        <v>43397.600925925923</v>
      </c>
      <c r="D1197" s="5" t="s">
        <v>41</v>
      </c>
      <c r="E1197">
        <v>1</v>
      </c>
      <c r="F1197">
        <v>0</v>
      </c>
      <c r="G1197">
        <v>0</v>
      </c>
      <c r="I1197" t="s">
        <v>1233</v>
      </c>
      <c r="J1197" t="str">
        <f>HYPERLINK("http://pbs.twimg.com/media/DqR59XdWkAAmUmi.jpg", "http://pbs.twimg.com/media/DqR59XdWkAAmUmi.jpg")</f>
        <v>http://pbs.twimg.com/media/DqR59XdWkAAmUmi.jpg</v>
      </c>
      <c r="K1197" t="str">
        <f>HYPERLINK("http://pbs.twimg.com/media/DqR59XuWsAE63yx.jpg", "http://pbs.twimg.com/media/DqR59XuWsAE63yx.jpg")</f>
        <v>http://pbs.twimg.com/media/DqR59XuWsAE63yx.jpg</v>
      </c>
      <c r="L1197" t="str">
        <f>HYPERLINK("http://pbs.twimg.com/media/DqR59XaWoAEXpGy.jpg", "http://pbs.twimg.com/media/DqR59XaWoAEXpGy.jpg")</f>
        <v>http://pbs.twimg.com/media/DqR59XaWoAEXpGy.jpg</v>
      </c>
      <c r="N1197">
        <v>0</v>
      </c>
      <c r="O1197">
        <v>0</v>
      </c>
      <c r="P1197">
        <v>1</v>
      </c>
      <c r="Q1197">
        <v>0</v>
      </c>
    </row>
    <row r="1198" spans="1:17" x14ac:dyDescent="0.2">
      <c r="A1198" s="1" t="str">
        <f>HYPERLINK("http://www.twitter.com/Ugo_Roux/status/1054811756047056898", "1054811756047056898")</f>
        <v>1054811756047056898</v>
      </c>
      <c r="B1198" t="s">
        <v>142</v>
      </c>
      <c r="C1198" s="3">
        <v>43396.797384259262</v>
      </c>
      <c r="D1198" s="5" t="s">
        <v>24</v>
      </c>
      <c r="E1198">
        <v>2</v>
      </c>
      <c r="F1198">
        <v>2</v>
      </c>
      <c r="G1198">
        <v>0</v>
      </c>
      <c r="I1198" t="s">
        <v>1234</v>
      </c>
      <c r="N1198">
        <v>0</v>
      </c>
      <c r="O1198">
        <v>0</v>
      </c>
      <c r="P1198">
        <v>1</v>
      </c>
      <c r="Q1198">
        <v>0</v>
      </c>
    </row>
    <row r="1199" spans="1:17" x14ac:dyDescent="0.2">
      <c r="A1199" s="1" t="str">
        <f>HYPERLINK("http://www.twitter.com/Ugo_Roux/status/1054757876000993280", "1054757876000993280")</f>
        <v>1054757876000993280</v>
      </c>
      <c r="B1199" t="s">
        <v>370</v>
      </c>
      <c r="C1199" s="3">
        <v>43396.6487037037</v>
      </c>
      <c r="D1199" s="5" t="s">
        <v>28</v>
      </c>
      <c r="E1199">
        <v>0</v>
      </c>
      <c r="F1199">
        <v>0</v>
      </c>
      <c r="G1199">
        <v>0</v>
      </c>
      <c r="I1199" t="s">
        <v>1235</v>
      </c>
      <c r="J1199" t="str">
        <f>HYPERLINK("http://pbs.twimg.com/media/DqNAsoUUUAAjaIZ.jpg", "http://pbs.twimg.com/media/DqNAsoUUUAAjaIZ.jpg")</f>
        <v>http://pbs.twimg.com/media/DqNAsoUUUAAjaIZ.jpg</v>
      </c>
      <c r="N1199">
        <v>0</v>
      </c>
      <c r="O1199">
        <v>0</v>
      </c>
      <c r="P1199">
        <v>1</v>
      </c>
      <c r="Q1199">
        <v>0</v>
      </c>
    </row>
    <row r="1200" spans="1:17" x14ac:dyDescent="0.2">
      <c r="A1200" s="1" t="str">
        <f>HYPERLINK("http://www.twitter.com/Ugo_Roux/status/1054757359799549952", "1054757359799549952")</f>
        <v>1054757359799549952</v>
      </c>
      <c r="B1200" t="s">
        <v>370</v>
      </c>
      <c r="C1200" s="3">
        <v>43396.647280092591</v>
      </c>
      <c r="D1200" s="5" t="s">
        <v>28</v>
      </c>
      <c r="E1200">
        <v>1</v>
      </c>
      <c r="F1200">
        <v>1</v>
      </c>
      <c r="G1200">
        <v>0</v>
      </c>
      <c r="I1200" t="s">
        <v>1236</v>
      </c>
      <c r="J1200" t="str">
        <f>HYPERLINK("http://pbs.twimg.com/media/DqNAOnRUUAAOT_Q.jpg", "http://pbs.twimg.com/media/DqNAOnRUUAAOT_Q.jpg")</f>
        <v>http://pbs.twimg.com/media/DqNAOnRUUAAOT_Q.jpg</v>
      </c>
      <c r="N1200">
        <v>0</v>
      </c>
      <c r="O1200">
        <v>0</v>
      </c>
      <c r="P1200">
        <v>1</v>
      </c>
      <c r="Q1200">
        <v>0</v>
      </c>
    </row>
    <row r="1201" spans="1:17" x14ac:dyDescent="0.2">
      <c r="A1201" s="1" t="str">
        <f>HYPERLINK("http://www.twitter.com/Ugo_Roux/status/1054750343635001347", "1054750343635001347")</f>
        <v>1054750343635001347</v>
      </c>
      <c r="B1201" t="s">
        <v>370</v>
      </c>
      <c r="C1201" s="3">
        <v>43396.627916666657</v>
      </c>
      <c r="D1201" s="5" t="s">
        <v>28</v>
      </c>
      <c r="E1201">
        <v>0</v>
      </c>
      <c r="F1201">
        <v>0</v>
      </c>
      <c r="G1201">
        <v>0</v>
      </c>
      <c r="I1201" t="s">
        <v>1237</v>
      </c>
      <c r="J1201" t="str">
        <f>HYPERLINK("http://pbs.twimg.com/media/DqM52JhUUAAOH5j.jpg", "http://pbs.twimg.com/media/DqM52JhUUAAOH5j.jpg")</f>
        <v>http://pbs.twimg.com/media/DqM52JhUUAAOH5j.jpg</v>
      </c>
      <c r="N1201">
        <v>0</v>
      </c>
      <c r="O1201">
        <v>0</v>
      </c>
      <c r="P1201">
        <v>1</v>
      </c>
      <c r="Q1201">
        <v>0</v>
      </c>
    </row>
    <row r="1202" spans="1:17" x14ac:dyDescent="0.2">
      <c r="A1202" s="1" t="str">
        <f>HYPERLINK("http://www.twitter.com/Ugo_Roux/status/1054750164823400448", "1054750164823400448")</f>
        <v>1054750164823400448</v>
      </c>
      <c r="B1202" t="s">
        <v>370</v>
      </c>
      <c r="C1202" s="3">
        <v>43396.627430555563</v>
      </c>
      <c r="D1202" s="5" t="s">
        <v>28</v>
      </c>
      <c r="E1202">
        <v>0</v>
      </c>
      <c r="F1202">
        <v>0</v>
      </c>
      <c r="G1202">
        <v>0</v>
      </c>
      <c r="I1202" t="s">
        <v>1238</v>
      </c>
      <c r="J1202" t="str">
        <f>HYPERLINK("http://pbs.twimg.com/media/DqM5rzpUcAAgFz4.jpg", "http://pbs.twimg.com/media/DqM5rzpUcAAgFz4.jpg")</f>
        <v>http://pbs.twimg.com/media/DqM5rzpUcAAgFz4.jpg</v>
      </c>
      <c r="N1202">
        <v>0</v>
      </c>
      <c r="O1202">
        <v>0</v>
      </c>
      <c r="P1202">
        <v>1</v>
      </c>
      <c r="Q1202">
        <v>0</v>
      </c>
    </row>
    <row r="1203" spans="1:17" x14ac:dyDescent="0.2">
      <c r="A1203" s="1" t="str">
        <f>HYPERLINK("http://www.twitter.com/Ugo_Roux/status/1054670236199215105", "1054670236199215105")</f>
        <v>1054670236199215105</v>
      </c>
      <c r="B1203" t="s">
        <v>97</v>
      </c>
      <c r="C1203" s="3">
        <v>43396.406863425917</v>
      </c>
      <c r="D1203" s="5" t="s">
        <v>28</v>
      </c>
      <c r="E1203">
        <v>0</v>
      </c>
      <c r="F1203">
        <v>0</v>
      </c>
      <c r="G1203">
        <v>0</v>
      </c>
      <c r="I1203" t="s">
        <v>1239</v>
      </c>
      <c r="J1203" t="str">
        <f>HYPERLINK("http://pbs.twimg.com/media/DqLw_VxVYAAE2QQ.png", "http://pbs.twimg.com/media/DqLw_VxVYAAE2QQ.png")</f>
        <v>http://pbs.twimg.com/media/DqLw_VxVYAAE2QQ.png</v>
      </c>
      <c r="N1203">
        <v>0</v>
      </c>
      <c r="O1203">
        <v>0</v>
      </c>
      <c r="P1203">
        <v>1</v>
      </c>
      <c r="Q1203">
        <v>0</v>
      </c>
    </row>
    <row r="1204" spans="1:17" x14ac:dyDescent="0.2">
      <c r="A1204" s="1" t="str">
        <f>HYPERLINK("http://www.twitter.com/Ugo_Roux/status/1054668711964094464", "1054668711964094464")</f>
        <v>1054668711964094464</v>
      </c>
      <c r="B1204" t="s">
        <v>476</v>
      </c>
      <c r="C1204" s="3">
        <v>43396.402662037042</v>
      </c>
      <c r="D1204" s="5" t="s">
        <v>28</v>
      </c>
      <c r="E1204">
        <v>1</v>
      </c>
      <c r="F1204">
        <v>1</v>
      </c>
      <c r="G1204">
        <v>0</v>
      </c>
      <c r="I1204" t="s">
        <v>1240</v>
      </c>
      <c r="J1204" t="str">
        <f>HYPERLINK("http://pbs.twimg.com/media/DqLvk7ZWkAAHMIN.jpg", "http://pbs.twimg.com/media/DqLvk7ZWkAAHMIN.jpg")</f>
        <v>http://pbs.twimg.com/media/DqLvk7ZWkAAHMIN.jpg</v>
      </c>
      <c r="N1204">
        <v>0</v>
      </c>
      <c r="O1204">
        <v>0</v>
      </c>
      <c r="P1204">
        <v>1</v>
      </c>
      <c r="Q1204">
        <v>0</v>
      </c>
    </row>
    <row r="1205" spans="1:17" x14ac:dyDescent="0.2">
      <c r="A1205" s="1" t="str">
        <f>HYPERLINK("http://www.twitter.com/Ugo_Roux/status/1054618858475188225", "1054618858475188225")</f>
        <v>1054618858475188225</v>
      </c>
      <c r="B1205" t="s">
        <v>285</v>
      </c>
      <c r="C1205" s="3">
        <v>43396.265092592592</v>
      </c>
      <c r="D1205" s="5" t="s">
        <v>17</v>
      </c>
      <c r="E1205">
        <v>1</v>
      </c>
      <c r="F1205">
        <v>1</v>
      </c>
      <c r="G1205">
        <v>0</v>
      </c>
      <c r="I1205" t="s">
        <v>1241</v>
      </c>
      <c r="J1205" t="str">
        <f>HYPERLINK("http://pbs.twimg.com/media/DqLB9LeWsAAN88-.jpg", "http://pbs.twimg.com/media/DqLB9LeWsAAN88-.jpg")</f>
        <v>http://pbs.twimg.com/media/DqLB9LeWsAAN88-.jpg</v>
      </c>
      <c r="N1205">
        <v>0</v>
      </c>
      <c r="O1205">
        <v>0</v>
      </c>
      <c r="P1205">
        <v>1</v>
      </c>
      <c r="Q1205">
        <v>0</v>
      </c>
    </row>
    <row r="1206" spans="1:17" x14ac:dyDescent="0.2">
      <c r="A1206" s="1" t="str">
        <f>HYPERLINK("http://www.twitter.com/Ugo_Roux/status/1053653813024964608", "1053653813024964608")</f>
        <v>1053653813024964608</v>
      </c>
      <c r="B1206" t="s">
        <v>47</v>
      </c>
      <c r="C1206" s="3">
        <v>43393.602071759262</v>
      </c>
      <c r="D1206" s="5" t="s">
        <v>41</v>
      </c>
      <c r="E1206">
        <v>7</v>
      </c>
      <c r="F1206">
        <v>3</v>
      </c>
      <c r="G1206">
        <v>0</v>
      </c>
      <c r="I1206" t="s">
        <v>1242</v>
      </c>
      <c r="J1206" t="str">
        <f>HYPERLINK("http://pbs.twimg.com/media/Dp9UdbbW4AAds5U.jpg", "http://pbs.twimg.com/media/Dp9UdbbW4AAds5U.jpg")</f>
        <v>http://pbs.twimg.com/media/Dp9UdbbW4AAds5U.jpg</v>
      </c>
      <c r="K1206" t="str">
        <f>HYPERLINK("http://pbs.twimg.com/media/Dp9Ufs5XgAMLYDe.jpg", "http://pbs.twimg.com/media/Dp9Ufs5XgAMLYDe.jpg")</f>
        <v>http://pbs.twimg.com/media/Dp9Ufs5XgAMLYDe.jpg</v>
      </c>
      <c r="N1206">
        <v>0</v>
      </c>
      <c r="O1206">
        <v>0</v>
      </c>
      <c r="P1206">
        <v>1</v>
      </c>
      <c r="Q1206">
        <v>0</v>
      </c>
    </row>
    <row r="1207" spans="1:17" x14ac:dyDescent="0.2">
      <c r="A1207" s="1" t="str">
        <f>HYPERLINK("http://www.twitter.com/Ugo_Roux/status/1053645134720630785", "1053645134720630785")</f>
        <v>1053645134720630785</v>
      </c>
      <c r="B1207" t="s">
        <v>97</v>
      </c>
      <c r="C1207" s="3">
        <v>43393.578125</v>
      </c>
      <c r="D1207" s="5" t="s">
        <v>41</v>
      </c>
      <c r="E1207">
        <v>0</v>
      </c>
      <c r="F1207">
        <v>0</v>
      </c>
      <c r="G1207">
        <v>0</v>
      </c>
      <c r="I1207" t="s">
        <v>1243</v>
      </c>
      <c r="J1207" t="str">
        <f>HYPERLINK("http://pbs.twimg.com/media/Dp9MqleU0AARLVU.jpg", "http://pbs.twimg.com/media/Dp9MqleU0AARLVU.jpg")</f>
        <v>http://pbs.twimg.com/media/Dp9MqleU0AARLVU.jpg</v>
      </c>
      <c r="N1207">
        <v>0</v>
      </c>
      <c r="O1207">
        <v>0</v>
      </c>
      <c r="P1207">
        <v>1</v>
      </c>
      <c r="Q1207">
        <v>0</v>
      </c>
    </row>
    <row r="1208" spans="1:17" x14ac:dyDescent="0.2">
      <c r="A1208" s="1" t="str">
        <f>HYPERLINK("http://www.twitter.com/Ugo_Roux/status/1053175172931444737", "1053175172931444737")</f>
        <v>1053175172931444737</v>
      </c>
      <c r="B1208" t="s">
        <v>285</v>
      </c>
      <c r="C1208" s="3">
        <v>43392.281273148154</v>
      </c>
      <c r="D1208" s="5" t="s">
        <v>17</v>
      </c>
      <c r="E1208">
        <v>4</v>
      </c>
      <c r="F1208">
        <v>2</v>
      </c>
      <c r="G1208">
        <v>0</v>
      </c>
      <c r="I1208" t="s">
        <v>1244</v>
      </c>
      <c r="J1208" t="str">
        <f>HYPERLINK("http://pbs.twimg.com/media/Dp2g_6XX0AAPk5K.jpg", "http://pbs.twimg.com/media/Dp2g_6XX0AAPk5K.jpg")</f>
        <v>http://pbs.twimg.com/media/Dp2g_6XX0AAPk5K.jpg</v>
      </c>
      <c r="K1208" t="str">
        <f>HYPERLINK("http://pbs.twimg.com/media/Dp2hA-oWsAAGjNZ.jpg", "http://pbs.twimg.com/media/Dp2hA-oWsAAGjNZ.jpg")</f>
        <v>http://pbs.twimg.com/media/Dp2hA-oWsAAGjNZ.jpg</v>
      </c>
      <c r="L1208" t="str">
        <f>HYPERLINK("http://pbs.twimg.com/media/Dp2hA9qX4AAb2Tc.jpg", "http://pbs.twimg.com/media/Dp2hA9qX4AAb2Tc.jpg")</f>
        <v>http://pbs.twimg.com/media/Dp2hA9qX4AAb2Tc.jpg</v>
      </c>
      <c r="N1208">
        <v>0</v>
      </c>
      <c r="O1208">
        <v>0</v>
      </c>
      <c r="P1208">
        <v>1</v>
      </c>
      <c r="Q1208">
        <v>0</v>
      </c>
    </row>
    <row r="1209" spans="1:17" x14ac:dyDescent="0.2">
      <c r="A1209" s="1" t="str">
        <f>HYPERLINK("http://www.twitter.com/Ugo_Roux/status/1052853029509173250", "1052853029509173250")</f>
        <v>1052853029509173250</v>
      </c>
      <c r="B1209" t="s">
        <v>142</v>
      </c>
      <c r="C1209" s="3">
        <v>43391.392326388886</v>
      </c>
      <c r="D1209" s="5" t="s">
        <v>28</v>
      </c>
      <c r="E1209">
        <v>1</v>
      </c>
      <c r="F1209">
        <v>1</v>
      </c>
      <c r="G1209">
        <v>0</v>
      </c>
      <c r="I1209" t="s">
        <v>1245</v>
      </c>
      <c r="J1209" t="str">
        <f>HYPERLINK("http://pbs.twimg.com/media/Dpx8PxSV4AI8NJJ.jpg", "http://pbs.twimg.com/media/Dpx8PxSV4AI8NJJ.jpg")</f>
        <v>http://pbs.twimg.com/media/Dpx8PxSV4AI8NJJ.jpg</v>
      </c>
      <c r="N1209">
        <v>0</v>
      </c>
      <c r="O1209">
        <v>0</v>
      </c>
      <c r="P1209">
        <v>1</v>
      </c>
      <c r="Q1209">
        <v>0</v>
      </c>
    </row>
    <row r="1210" spans="1:17" x14ac:dyDescent="0.2">
      <c r="A1210" s="1" t="str">
        <f>HYPERLINK("http://www.twitter.com/Ugo_Roux/status/1052600262936940545", "1052600262936940545")</f>
        <v>1052600262936940545</v>
      </c>
      <c r="B1210" t="s">
        <v>142</v>
      </c>
      <c r="C1210" s="3">
        <v>43390.694826388892</v>
      </c>
      <c r="D1210" s="5" t="s">
        <v>28</v>
      </c>
      <c r="E1210">
        <v>2</v>
      </c>
      <c r="F1210">
        <v>7</v>
      </c>
      <c r="G1210">
        <v>1</v>
      </c>
      <c r="I1210" t="s">
        <v>1246</v>
      </c>
      <c r="J1210" t="str">
        <f>HYPERLINK("http://pbs.twimg.com/media/DpuWWnzU8AECCvi.jpg", "http://pbs.twimg.com/media/DpuWWnzU8AECCvi.jpg")</f>
        <v>http://pbs.twimg.com/media/DpuWWnzU8AECCvi.jpg</v>
      </c>
      <c r="N1210">
        <v>0</v>
      </c>
      <c r="O1210">
        <v>0</v>
      </c>
      <c r="P1210">
        <v>1</v>
      </c>
      <c r="Q1210">
        <v>0</v>
      </c>
    </row>
    <row r="1211" spans="1:17" x14ac:dyDescent="0.2">
      <c r="A1211" s="1" t="str">
        <f>HYPERLINK("http://www.twitter.com/Ugo_Roux/status/1052599767824510976", "1052599767824510976")</f>
        <v>1052599767824510976</v>
      </c>
      <c r="B1211" t="s">
        <v>47</v>
      </c>
      <c r="C1211" s="3">
        <v>43390.693460648137</v>
      </c>
      <c r="D1211" s="5" t="s">
        <v>41</v>
      </c>
      <c r="E1211">
        <v>0</v>
      </c>
      <c r="F1211">
        <v>0</v>
      </c>
      <c r="G1211">
        <v>1</v>
      </c>
      <c r="I1211" t="s">
        <v>1247</v>
      </c>
      <c r="N1211">
        <v>0</v>
      </c>
      <c r="O1211">
        <v>0</v>
      </c>
      <c r="P1211">
        <v>1</v>
      </c>
      <c r="Q1211">
        <v>0</v>
      </c>
    </row>
    <row r="1212" spans="1:17" x14ac:dyDescent="0.2">
      <c r="A1212" s="1" t="str">
        <f>HYPERLINK("http://www.twitter.com/Ugo_Roux/status/1052441610984796160", "1052441610984796160")</f>
        <v>1052441610984796160</v>
      </c>
      <c r="B1212" t="s">
        <v>285</v>
      </c>
      <c r="C1212" s="3">
        <v>43390.257037037038</v>
      </c>
      <c r="D1212" s="5" t="s">
        <v>28</v>
      </c>
      <c r="E1212">
        <v>1</v>
      </c>
      <c r="F1212">
        <v>0</v>
      </c>
      <c r="G1212">
        <v>0</v>
      </c>
      <c r="I1212" t="s">
        <v>1248</v>
      </c>
      <c r="J1212" t="str">
        <f>HYPERLINK("http://pbs.twimg.com/media/DpsGCOoW0AM15Ve.jpg", "http://pbs.twimg.com/media/DpsGCOoW0AM15Ve.jpg")</f>
        <v>http://pbs.twimg.com/media/DpsGCOoW0AM15Ve.jpg</v>
      </c>
      <c r="N1212">
        <v>0</v>
      </c>
      <c r="O1212">
        <v>0</v>
      </c>
      <c r="P1212">
        <v>1</v>
      </c>
      <c r="Q1212">
        <v>0</v>
      </c>
    </row>
    <row r="1213" spans="1:17" x14ac:dyDescent="0.2">
      <c r="A1213" s="1" t="str">
        <f>HYPERLINK("http://www.twitter.com/Ugo_Roux/status/1052170246516367360", "1052170246516367360")</f>
        <v>1052170246516367360</v>
      </c>
      <c r="B1213" t="s">
        <v>206</v>
      </c>
      <c r="C1213" s="3">
        <v>43389.508206018523</v>
      </c>
      <c r="D1213" s="5" t="s">
        <v>28</v>
      </c>
      <c r="E1213">
        <v>1</v>
      </c>
      <c r="F1213">
        <v>0</v>
      </c>
      <c r="G1213">
        <v>0</v>
      </c>
      <c r="I1213" t="s">
        <v>1249</v>
      </c>
      <c r="N1213">
        <v>0</v>
      </c>
      <c r="O1213">
        <v>0</v>
      </c>
      <c r="P1213">
        <v>1</v>
      </c>
      <c r="Q1213">
        <v>0</v>
      </c>
    </row>
    <row r="1214" spans="1:17" x14ac:dyDescent="0.2">
      <c r="A1214" s="1" t="str">
        <f>HYPERLINK("http://www.twitter.com/Ugo_Roux/status/1052120251368964096", "1052120251368964096")</f>
        <v>1052120251368964096</v>
      </c>
      <c r="B1214" t="s">
        <v>97</v>
      </c>
      <c r="C1214" s="3">
        <v>43389.370254629634</v>
      </c>
      <c r="D1214" s="5" t="s">
        <v>17</v>
      </c>
      <c r="E1214">
        <v>0</v>
      </c>
      <c r="F1214">
        <v>0</v>
      </c>
      <c r="G1214">
        <v>0</v>
      </c>
      <c r="I1214" t="s">
        <v>1250</v>
      </c>
      <c r="J1214" t="str">
        <f>HYPERLINK("http://pbs.twimg.com/media/DpnhyufUwAYwBRZ.jpg", "http://pbs.twimg.com/media/DpnhyufUwAYwBRZ.jpg")</f>
        <v>http://pbs.twimg.com/media/DpnhyufUwAYwBRZ.jpg</v>
      </c>
      <c r="N1214">
        <v>0</v>
      </c>
      <c r="O1214">
        <v>0</v>
      </c>
      <c r="P1214">
        <v>1</v>
      </c>
      <c r="Q1214">
        <v>0</v>
      </c>
    </row>
    <row r="1215" spans="1:17" x14ac:dyDescent="0.2">
      <c r="A1215" s="1" t="str">
        <f>HYPERLINK("http://www.twitter.com/Ugo_Roux/status/1051108912320184320", "1051108912320184320")</f>
        <v>1051108912320184320</v>
      </c>
      <c r="B1215" t="s">
        <v>47</v>
      </c>
      <c r="C1215" s="3">
        <v>43386.57949074074</v>
      </c>
      <c r="D1215" s="3" t="s">
        <v>41</v>
      </c>
      <c r="E1215">
        <v>8</v>
      </c>
      <c r="F1215">
        <v>0</v>
      </c>
      <c r="G1215">
        <v>1</v>
      </c>
      <c r="I1215" t="s">
        <v>1251</v>
      </c>
      <c r="J1215" t="str">
        <f>HYPERLINK("http://pbs.twimg.com/media/DpZJFN2WsAAK0v2.jpg", "http://pbs.twimg.com/media/DpZJFN2WsAAK0v2.jpg")</f>
        <v>http://pbs.twimg.com/media/DpZJFN2WsAAK0v2.jpg</v>
      </c>
      <c r="N1215">
        <v>0</v>
      </c>
      <c r="O1215">
        <v>0</v>
      </c>
      <c r="P1215">
        <v>1</v>
      </c>
      <c r="Q1215">
        <v>0</v>
      </c>
    </row>
    <row r="1216" spans="1:17" x14ac:dyDescent="0.2">
      <c r="A1216" s="1" t="str">
        <f>HYPERLINK("http://www.twitter.com/Ugo_Roux/status/1051105674669756417", "1051105674669756417")</f>
        <v>1051105674669756417</v>
      </c>
      <c r="B1216" t="s">
        <v>206</v>
      </c>
      <c r="C1216" s="3">
        <v>43386.570555555547</v>
      </c>
      <c r="D1216" s="5" t="s">
        <v>41</v>
      </c>
      <c r="E1216">
        <v>0</v>
      </c>
      <c r="F1216">
        <v>1</v>
      </c>
      <c r="G1216">
        <v>0</v>
      </c>
      <c r="I1216" t="s">
        <v>1252</v>
      </c>
      <c r="J1216" t="str">
        <f>HYPERLINK("http://pbs.twimg.com/media/DpZHCGVWkAE_cWO.jpg", "http://pbs.twimg.com/media/DpZHCGVWkAE_cWO.jpg")</f>
        <v>http://pbs.twimg.com/media/DpZHCGVWkAE_cWO.jpg</v>
      </c>
      <c r="K1216" t="str">
        <f>HYPERLINK("http://pbs.twimg.com/media/DpZHCFKWwAAtc-k.jpg", "http://pbs.twimg.com/media/DpZHCFKWwAAtc-k.jpg")</f>
        <v>http://pbs.twimg.com/media/DpZHCFKWwAAtc-k.jpg</v>
      </c>
      <c r="L1216" t="str">
        <f>HYPERLINK("http://pbs.twimg.com/media/DpZHCFMXgAE4zB6.jpg", "http://pbs.twimg.com/media/DpZHCFMXgAE4zB6.jpg")</f>
        <v>http://pbs.twimg.com/media/DpZHCFMXgAE4zB6.jpg</v>
      </c>
      <c r="N1216">
        <v>0</v>
      </c>
      <c r="O1216">
        <v>0</v>
      </c>
      <c r="P1216">
        <v>1</v>
      </c>
      <c r="Q1216">
        <v>0</v>
      </c>
    </row>
    <row r="1217" spans="1:17" x14ac:dyDescent="0.2">
      <c r="A1217" s="1" t="str">
        <f>HYPERLINK("http://www.twitter.com/Ugo_Roux/status/1051100246909116416", "1051100246909116416")</f>
        <v>1051100246909116416</v>
      </c>
      <c r="B1217" t="s">
        <v>206</v>
      </c>
      <c r="C1217" s="3">
        <v>43386.555578703701</v>
      </c>
      <c r="D1217" s="5" t="s">
        <v>41</v>
      </c>
      <c r="E1217">
        <v>1</v>
      </c>
      <c r="F1217">
        <v>2</v>
      </c>
      <c r="G1217">
        <v>0</v>
      </c>
      <c r="I1217" t="s">
        <v>1253</v>
      </c>
      <c r="J1217" t="str">
        <f>HYPERLINK("http://pbs.twimg.com/media/DpZCGIAWwAAq8XR.jpg", "http://pbs.twimg.com/media/DpZCGIAWwAAq8XR.jpg")</f>
        <v>http://pbs.twimg.com/media/DpZCGIAWwAAq8XR.jpg</v>
      </c>
      <c r="K1217" t="str">
        <f>HYPERLINK("http://pbs.twimg.com/media/DpZCGIDWwAAJKK-.jpg", "http://pbs.twimg.com/media/DpZCGIDWwAAJKK-.jpg")</f>
        <v>http://pbs.twimg.com/media/DpZCGIDWwAAJKK-.jpg</v>
      </c>
      <c r="L1217" t="str">
        <f>HYPERLINK("http://pbs.twimg.com/media/DpZCGICWsAArZ63.jpg", "http://pbs.twimg.com/media/DpZCGICWsAArZ63.jpg")</f>
        <v>http://pbs.twimg.com/media/DpZCGICWsAArZ63.jpg</v>
      </c>
      <c r="M1217" t="str">
        <f>HYPERLINK("http://pbs.twimg.com/media/DpZCGIBW0AEuiVK.jpg", "http://pbs.twimg.com/media/DpZCGIBW0AEuiVK.jpg")</f>
        <v>http://pbs.twimg.com/media/DpZCGIBW0AEuiVK.jpg</v>
      </c>
      <c r="N1217">
        <v>0</v>
      </c>
      <c r="O1217">
        <v>0</v>
      </c>
      <c r="P1217">
        <v>1</v>
      </c>
      <c r="Q1217">
        <v>0</v>
      </c>
    </row>
    <row r="1218" spans="1:17" x14ac:dyDescent="0.2">
      <c r="A1218" s="1" t="str">
        <f>HYPERLINK("http://www.twitter.com/Ugo_Roux/status/1051093640632766464", "1051093640632766464")</f>
        <v>1051093640632766464</v>
      </c>
      <c r="B1218" t="s">
        <v>206</v>
      </c>
      <c r="C1218" s="3">
        <v>43386.53733796296</v>
      </c>
      <c r="D1218" s="5" t="s">
        <v>28</v>
      </c>
      <c r="E1218">
        <v>10</v>
      </c>
      <c r="F1218">
        <v>0</v>
      </c>
      <c r="G1218">
        <v>1</v>
      </c>
      <c r="I1218" t="s">
        <v>1254</v>
      </c>
      <c r="J1218" t="str">
        <f>HYPERLINK("https://video.twimg.com/ext_tw_video/1051093595296595968/pu/vid/720x720/AV6DM9IRRBir65zD.mp4?tag=5", "https://video.twimg.com/ext_tw_video/1051093595296595968/pu/vid/720x720/AV6DM9IRRBir65zD.mp4?tag=5")</f>
        <v>https://video.twimg.com/ext_tw_video/1051093595296595968/pu/vid/720x720/AV6DM9IRRBir65zD.mp4?tag=5</v>
      </c>
      <c r="N1218">
        <v>0</v>
      </c>
      <c r="O1218">
        <v>0</v>
      </c>
      <c r="P1218">
        <v>1</v>
      </c>
      <c r="Q1218">
        <v>0</v>
      </c>
    </row>
    <row r="1219" spans="1:17" x14ac:dyDescent="0.2">
      <c r="A1219" s="1" t="str">
        <f>HYPERLINK("http://www.twitter.com/Ugo_Roux/status/1051088243687641089", "1051088243687641089")</f>
        <v>1051088243687641089</v>
      </c>
      <c r="B1219" t="s">
        <v>142</v>
      </c>
      <c r="C1219" s="3">
        <v>43386.522453703707</v>
      </c>
      <c r="D1219" s="5" t="s">
        <v>41</v>
      </c>
      <c r="E1219">
        <v>0</v>
      </c>
      <c r="F1219">
        <v>0</v>
      </c>
      <c r="G1219">
        <v>0</v>
      </c>
      <c r="I1219" t="s">
        <v>1255</v>
      </c>
      <c r="J1219" t="str">
        <f>HYPERLINK("http://pbs.twimg.com/media/DpY3LdJWkAErdHF.jpg", "http://pbs.twimg.com/media/DpY3LdJWkAErdHF.jpg")</f>
        <v>http://pbs.twimg.com/media/DpY3LdJWkAErdHF.jpg</v>
      </c>
      <c r="K1219" t="str">
        <f>HYPERLINK("http://pbs.twimg.com/media/DpY3LdUWwAANqLJ.jpg", "http://pbs.twimg.com/media/DpY3LdUWwAANqLJ.jpg")</f>
        <v>http://pbs.twimg.com/media/DpY3LdUWwAANqLJ.jpg</v>
      </c>
      <c r="N1219">
        <v>0</v>
      </c>
      <c r="O1219">
        <v>0</v>
      </c>
      <c r="P1219">
        <v>1</v>
      </c>
      <c r="Q1219">
        <v>0</v>
      </c>
    </row>
    <row r="1220" spans="1:17" x14ac:dyDescent="0.2">
      <c r="A1220" s="1" t="str">
        <f>HYPERLINK("http://www.twitter.com/Ugo_Roux/status/1051021759724576769", "1051021759724576769")</f>
        <v>1051021759724576769</v>
      </c>
      <c r="B1220" t="s">
        <v>285</v>
      </c>
      <c r="C1220" s="3">
        <v>43386.338993055557</v>
      </c>
      <c r="D1220" s="5" t="s">
        <v>28</v>
      </c>
      <c r="E1220">
        <v>0</v>
      </c>
      <c r="F1220">
        <v>0</v>
      </c>
      <c r="G1220">
        <v>0</v>
      </c>
      <c r="I1220" t="s">
        <v>1256</v>
      </c>
      <c r="J1220" t="str">
        <f>HYPERLINK("http://pbs.twimg.com/media/DpX6fNTW0AE-xdK.jpg", "http://pbs.twimg.com/media/DpX6fNTW0AE-xdK.jpg")</f>
        <v>http://pbs.twimg.com/media/DpX6fNTW0AE-xdK.jpg</v>
      </c>
      <c r="N1220">
        <v>0</v>
      </c>
      <c r="O1220">
        <v>0</v>
      </c>
      <c r="P1220">
        <v>1</v>
      </c>
      <c r="Q1220">
        <v>0</v>
      </c>
    </row>
    <row r="1221" spans="1:17" x14ac:dyDescent="0.2">
      <c r="A1221" s="1" t="str">
        <f>HYPERLINK("http://www.twitter.com/Ugo_Roux/status/1050999352506966016", "1050999352506966016")</f>
        <v>1050999352506966016</v>
      </c>
      <c r="B1221" t="s">
        <v>142</v>
      </c>
      <c r="C1221" s="3">
        <v>43386.27715277778</v>
      </c>
      <c r="D1221" s="5" t="s">
        <v>28</v>
      </c>
      <c r="E1221">
        <v>2</v>
      </c>
      <c r="F1221">
        <v>0</v>
      </c>
      <c r="G1221">
        <v>0</v>
      </c>
      <c r="I1221" t="s">
        <v>1257</v>
      </c>
      <c r="N1221">
        <v>-0.128</v>
      </c>
      <c r="O1221">
        <v>7.0000000000000007E-2</v>
      </c>
      <c r="P1221">
        <v>0.93</v>
      </c>
      <c r="Q1221">
        <v>0</v>
      </c>
    </row>
    <row r="1222" spans="1:17" x14ac:dyDescent="0.2">
      <c r="A1222" s="1" t="str">
        <f>HYPERLINK("http://www.twitter.com/Ugo_Roux/status/1050721885552594944", "1050721885552594944")</f>
        <v>1050721885552594944</v>
      </c>
      <c r="B1222" t="s">
        <v>414</v>
      </c>
      <c r="C1222" s="3">
        <v>43385.511493055557</v>
      </c>
      <c r="D1222" s="5" t="s">
        <v>28</v>
      </c>
      <c r="E1222">
        <v>0</v>
      </c>
      <c r="F1222">
        <v>0</v>
      </c>
      <c r="G1222">
        <v>1</v>
      </c>
      <c r="I1222" t="s">
        <v>1258</v>
      </c>
      <c r="N1222">
        <v>0</v>
      </c>
      <c r="O1222">
        <v>0</v>
      </c>
      <c r="P1222">
        <v>1</v>
      </c>
      <c r="Q1222">
        <v>0</v>
      </c>
    </row>
    <row r="1223" spans="1:17" x14ac:dyDescent="0.2">
      <c r="A1223" s="1" t="str">
        <f>HYPERLINK("http://www.twitter.com/Ugo_Roux/status/1050679185184706560", "1050679185184706560")</f>
        <v>1050679185184706560</v>
      </c>
      <c r="B1223" t="s">
        <v>206</v>
      </c>
      <c r="C1223" s="3">
        <v>43385.39366898148</v>
      </c>
      <c r="D1223" s="5" t="s">
        <v>28</v>
      </c>
      <c r="E1223">
        <v>2</v>
      </c>
      <c r="F1223">
        <v>2</v>
      </c>
      <c r="G1223">
        <v>0</v>
      </c>
      <c r="I1223" t="s">
        <v>1259</v>
      </c>
      <c r="N1223">
        <v>0</v>
      </c>
      <c r="O1223">
        <v>0</v>
      </c>
      <c r="P1223">
        <v>1</v>
      </c>
      <c r="Q1223">
        <v>0</v>
      </c>
    </row>
    <row r="1224" spans="1:17" x14ac:dyDescent="0.2">
      <c r="A1224" s="1" t="str">
        <f>HYPERLINK("http://www.twitter.com/Ugo_Roux/status/1050330336914214912", "1050330336914214912")</f>
        <v>1050330336914214912</v>
      </c>
      <c r="B1224" t="s">
        <v>206</v>
      </c>
      <c r="C1224" s="3">
        <v>43384.431030092594</v>
      </c>
      <c r="D1224" s="5" t="s">
        <v>28</v>
      </c>
      <c r="E1224">
        <v>0</v>
      </c>
      <c r="F1224">
        <v>0</v>
      </c>
      <c r="G1224">
        <v>0</v>
      </c>
      <c r="I1224" t="s">
        <v>1260</v>
      </c>
      <c r="J1224" t="str">
        <f>HYPERLINK("http://pbs.twimg.com/media/DpOFT4PWwAA4SOp.jpg", "http://pbs.twimg.com/media/DpOFT4PWwAA4SOp.jpg")</f>
        <v>http://pbs.twimg.com/media/DpOFT4PWwAA4SOp.jpg</v>
      </c>
      <c r="N1224">
        <v>0.63600000000000001</v>
      </c>
      <c r="O1224">
        <v>0</v>
      </c>
      <c r="P1224">
        <v>0.88400000000000001</v>
      </c>
      <c r="Q1224">
        <v>0.11600000000000001</v>
      </c>
    </row>
    <row r="1225" spans="1:17" x14ac:dyDescent="0.2">
      <c r="A1225" s="1" t="str">
        <f>HYPERLINK("http://www.twitter.com/Ugo_Roux/status/1050057115891585024", "1050057115891585024")</f>
        <v>1050057115891585024</v>
      </c>
      <c r="B1225" t="s">
        <v>142</v>
      </c>
      <c r="C1225" s="3">
        <v>43383.677083333343</v>
      </c>
      <c r="D1225" s="5" t="s">
        <v>28</v>
      </c>
      <c r="E1225">
        <v>5</v>
      </c>
      <c r="F1225">
        <v>5</v>
      </c>
      <c r="G1225">
        <v>0</v>
      </c>
      <c r="I1225" t="s">
        <v>1261</v>
      </c>
      <c r="J1225" t="str">
        <f>HYPERLINK("http://pbs.twimg.com/media/DpKNWTMXoAACaVH.jpg", "http://pbs.twimg.com/media/DpKNWTMXoAACaVH.jpg")</f>
        <v>http://pbs.twimg.com/media/DpKNWTMXoAACaVH.jpg</v>
      </c>
      <c r="N1225">
        <v>0</v>
      </c>
      <c r="O1225">
        <v>0</v>
      </c>
      <c r="P1225">
        <v>1</v>
      </c>
      <c r="Q1225">
        <v>0</v>
      </c>
    </row>
    <row r="1226" spans="1:17" x14ac:dyDescent="0.2">
      <c r="A1226" s="1" t="str">
        <f>HYPERLINK("http://www.twitter.com/Ugo_Roux/status/1050053246860087298", "1050053246860087298")</f>
        <v>1050053246860087298</v>
      </c>
      <c r="B1226" t="s">
        <v>456</v>
      </c>
      <c r="C1226" s="3">
        <v>43383.666400462957</v>
      </c>
      <c r="D1226" t="s">
        <v>17</v>
      </c>
      <c r="E1226">
        <v>0</v>
      </c>
      <c r="F1226">
        <v>0</v>
      </c>
      <c r="G1226">
        <v>0</v>
      </c>
      <c r="I1226" t="s">
        <v>1262</v>
      </c>
      <c r="J1226" t="str">
        <f>HYPERLINK("http://pbs.twimg.com/media/DpKJ2-pX4AAGKHs.jpg", "http://pbs.twimg.com/media/DpKJ2-pX4AAGKHs.jpg")</f>
        <v>http://pbs.twimg.com/media/DpKJ2-pX4AAGKHs.jpg</v>
      </c>
      <c r="N1226">
        <v>0</v>
      </c>
      <c r="O1226">
        <v>0</v>
      </c>
      <c r="P1226">
        <v>1</v>
      </c>
      <c r="Q1226">
        <v>0</v>
      </c>
    </row>
    <row r="1227" spans="1:17" x14ac:dyDescent="0.2">
      <c r="A1227" s="1" t="str">
        <f>HYPERLINK("http://www.twitter.com/Ugo_Roux/status/1050024567031431169", "1050024567031431169")</f>
        <v>1050024567031431169</v>
      </c>
      <c r="B1227" t="s">
        <v>456</v>
      </c>
      <c r="C1227" s="3">
        <v>43383.587256944447</v>
      </c>
      <c r="D1227" t="s">
        <v>28</v>
      </c>
      <c r="E1227">
        <v>5</v>
      </c>
      <c r="F1227">
        <v>5</v>
      </c>
      <c r="G1227">
        <v>0</v>
      </c>
      <c r="I1227" t="s">
        <v>1263</v>
      </c>
      <c r="J1227" t="str">
        <f>HYPERLINK("http://pbs.twimg.com/media/DpJvvlNXUAE2qav.jpg", "http://pbs.twimg.com/media/DpJvvlNXUAE2qav.jpg")</f>
        <v>http://pbs.twimg.com/media/DpJvvlNXUAE2qav.jpg</v>
      </c>
      <c r="N1227">
        <v>0</v>
      </c>
      <c r="O1227">
        <v>0</v>
      </c>
      <c r="P1227">
        <v>1</v>
      </c>
      <c r="Q1227">
        <v>0</v>
      </c>
    </row>
    <row r="1228" spans="1:17" x14ac:dyDescent="0.2">
      <c r="A1228" s="1" t="str">
        <f>HYPERLINK("http://www.twitter.com/Ugo_Roux/status/1049909221121290241", "1049909221121290241")</f>
        <v>1049909221121290241</v>
      </c>
      <c r="B1228" t="s">
        <v>142</v>
      </c>
      <c r="C1228" s="3">
        <v>43383.268969907411</v>
      </c>
      <c r="D1228" s="5" t="s">
        <v>17</v>
      </c>
      <c r="E1228">
        <v>2</v>
      </c>
      <c r="F1228">
        <v>0</v>
      </c>
      <c r="G1228">
        <v>0</v>
      </c>
      <c r="I1228" t="s">
        <v>1264</v>
      </c>
      <c r="N1228">
        <v>0</v>
      </c>
      <c r="O1228">
        <v>0</v>
      </c>
      <c r="P1228">
        <v>1</v>
      </c>
      <c r="Q1228">
        <v>0</v>
      </c>
    </row>
    <row r="1229" spans="1:17" x14ac:dyDescent="0.2">
      <c r="A1229" s="1" t="str">
        <f>HYPERLINK("http://www.twitter.com/Ugo_Roux/status/1049290678482739201", "1049290678482739201")</f>
        <v>1049290678482739201</v>
      </c>
      <c r="B1229" t="s">
        <v>142</v>
      </c>
      <c r="C1229" s="3">
        <v>43381.562118055554</v>
      </c>
      <c r="D1229" s="5" t="s">
        <v>17</v>
      </c>
      <c r="E1229">
        <v>2</v>
      </c>
      <c r="F1229">
        <v>1</v>
      </c>
      <c r="G1229">
        <v>0</v>
      </c>
      <c r="I1229" t="s">
        <v>1265</v>
      </c>
      <c r="J1229" t="str">
        <f>HYPERLINK("http://pbs.twimg.com/media/Do_URewW4AEz6dN.jpg", "http://pbs.twimg.com/media/Do_URewW4AEz6dN.jpg")</f>
        <v>http://pbs.twimg.com/media/Do_URewW4AEz6dN.jpg</v>
      </c>
      <c r="N1229">
        <v>0</v>
      </c>
      <c r="O1229">
        <v>0</v>
      </c>
      <c r="P1229">
        <v>1</v>
      </c>
      <c r="Q1229">
        <v>0</v>
      </c>
    </row>
    <row r="1230" spans="1:17" x14ac:dyDescent="0.2">
      <c r="A1230" s="1" t="str">
        <f>HYPERLINK("http://www.twitter.com/Ugo_Roux/status/1048502415304130560", "1048502415304130560")</f>
        <v>1048502415304130560</v>
      </c>
      <c r="B1230" t="s">
        <v>456</v>
      </c>
      <c r="C1230" s="3">
        <v>43379.386921296304</v>
      </c>
      <c r="D1230" t="s">
        <v>28</v>
      </c>
      <c r="E1230">
        <v>0</v>
      </c>
      <c r="F1230">
        <v>0</v>
      </c>
      <c r="G1230">
        <v>0</v>
      </c>
      <c r="I1230" t="s">
        <v>1266</v>
      </c>
      <c r="J1230" t="str">
        <f>HYPERLINK("http://pbs.twimg.com/media/Do0HYwxXoAAL5ck.jpg", "http://pbs.twimg.com/media/Do0HYwxXoAAL5ck.jpg")</f>
        <v>http://pbs.twimg.com/media/Do0HYwxXoAAL5ck.jpg</v>
      </c>
      <c r="N1230">
        <v>0</v>
      </c>
      <c r="O1230">
        <v>0</v>
      </c>
      <c r="P1230">
        <v>1</v>
      </c>
      <c r="Q1230">
        <v>0</v>
      </c>
    </row>
    <row r="1231" spans="1:17" x14ac:dyDescent="0.2">
      <c r="A1231" s="1" t="str">
        <f>HYPERLINK("http://www.twitter.com/Ugo_Roux/status/1048500764707106816", "1048500764707106816")</f>
        <v>1048500764707106816</v>
      </c>
      <c r="B1231" t="s">
        <v>456</v>
      </c>
      <c r="C1231" s="3">
        <v>43379.382372685177</v>
      </c>
      <c r="D1231" t="s">
        <v>28</v>
      </c>
      <c r="E1231">
        <v>1</v>
      </c>
      <c r="F1231">
        <v>0</v>
      </c>
      <c r="G1231">
        <v>0</v>
      </c>
      <c r="I1231" t="s">
        <v>1267</v>
      </c>
      <c r="J1231" t="str">
        <f>HYPERLINK("http://pbs.twimg.com/media/Do0F3pJXsAA2bbd.jpg", "http://pbs.twimg.com/media/Do0F3pJXsAA2bbd.jpg")</f>
        <v>http://pbs.twimg.com/media/Do0F3pJXsAA2bbd.jpg</v>
      </c>
      <c r="N1231">
        <v>0.7097</v>
      </c>
      <c r="O1231">
        <v>0</v>
      </c>
      <c r="P1231">
        <v>0.88800000000000001</v>
      </c>
      <c r="Q1231">
        <v>0.112</v>
      </c>
    </row>
    <row r="1232" spans="1:17" x14ac:dyDescent="0.2">
      <c r="A1232" s="1" t="str">
        <f>HYPERLINK("http://www.twitter.com/Ugo_Roux/status/1048489668260630528", "1048489668260630528")</f>
        <v>1048489668260630528</v>
      </c>
      <c r="B1232" t="s">
        <v>414</v>
      </c>
      <c r="C1232" s="3">
        <v>43379.351747685178</v>
      </c>
      <c r="D1232" s="5" t="s">
        <v>28</v>
      </c>
      <c r="E1232">
        <v>0</v>
      </c>
      <c r="F1232">
        <v>0</v>
      </c>
      <c r="G1232">
        <v>0</v>
      </c>
      <c r="I1232" t="s">
        <v>1268</v>
      </c>
      <c r="N1232">
        <v>0</v>
      </c>
      <c r="O1232">
        <v>0</v>
      </c>
      <c r="P1232">
        <v>1</v>
      </c>
      <c r="Q1232">
        <v>0</v>
      </c>
    </row>
    <row r="1233" spans="1:17" x14ac:dyDescent="0.2">
      <c r="A1233" s="1" t="str">
        <f>HYPERLINK("http://www.twitter.com/Ugo_Roux/status/1048196971989807104", "1048196971989807104")</f>
        <v>1048196971989807104</v>
      </c>
      <c r="B1233" t="s">
        <v>130</v>
      </c>
      <c r="C1233" s="3">
        <v>43378.544062499997</v>
      </c>
      <c r="D1233" s="5" t="s">
        <v>28</v>
      </c>
      <c r="E1233">
        <v>1</v>
      </c>
      <c r="F1233">
        <v>0</v>
      </c>
      <c r="G1233">
        <v>0</v>
      </c>
      <c r="I1233" t="s">
        <v>1269</v>
      </c>
      <c r="N1233">
        <v>0</v>
      </c>
      <c r="O1233">
        <v>0</v>
      </c>
      <c r="P1233">
        <v>1</v>
      </c>
      <c r="Q1233">
        <v>0</v>
      </c>
    </row>
    <row r="1234" spans="1:17" x14ac:dyDescent="0.2">
      <c r="A1234" s="1" t="str">
        <f>HYPERLINK("http://www.twitter.com/Ugo_Roux/status/1048187707099435008", "1048187707099435008")</f>
        <v>1048187707099435008</v>
      </c>
      <c r="B1234" t="s">
        <v>476</v>
      </c>
      <c r="C1234" s="3">
        <v>43378.518495370372</v>
      </c>
      <c r="D1234" s="5" t="s">
        <v>28</v>
      </c>
      <c r="E1234">
        <v>2</v>
      </c>
      <c r="F1234">
        <v>0</v>
      </c>
      <c r="G1234">
        <v>0</v>
      </c>
      <c r="I1234" t="s">
        <v>1270</v>
      </c>
      <c r="J1234" t="str">
        <f>HYPERLINK("http://pbs.twimg.com/media/DovpDIgW4AQARfb.jpg", "http://pbs.twimg.com/media/DovpDIgW4AQARfb.jpg")</f>
        <v>http://pbs.twimg.com/media/DovpDIgW4AQARfb.jpg</v>
      </c>
      <c r="N1234">
        <v>0</v>
      </c>
      <c r="O1234">
        <v>0</v>
      </c>
      <c r="P1234">
        <v>1</v>
      </c>
      <c r="Q1234">
        <v>0</v>
      </c>
    </row>
    <row r="1235" spans="1:17" x14ac:dyDescent="0.2">
      <c r="A1235" s="1" t="str">
        <f>HYPERLINK("http://www.twitter.com/Ugo_Roux/status/1048125654112395264", "1048125654112395264")</f>
        <v>1048125654112395264</v>
      </c>
      <c r="B1235" t="s">
        <v>16</v>
      </c>
      <c r="C1235" s="3">
        <v>43378.347256944442</v>
      </c>
      <c r="D1235" s="3" t="s">
        <v>17</v>
      </c>
      <c r="E1235">
        <v>8</v>
      </c>
      <c r="F1235">
        <v>2</v>
      </c>
      <c r="G1235">
        <v>0</v>
      </c>
      <c r="I1235" t="s">
        <v>1271</v>
      </c>
      <c r="J1235" t="str">
        <f>HYPERLINK("http://pbs.twimg.com/media/DouwsgrXUAARryO.jpg", "http://pbs.twimg.com/media/DouwsgrXUAARryO.jpg")</f>
        <v>http://pbs.twimg.com/media/DouwsgrXUAARryO.jpg</v>
      </c>
      <c r="N1235">
        <v>0</v>
      </c>
      <c r="O1235">
        <v>0</v>
      </c>
      <c r="P1235">
        <v>1</v>
      </c>
      <c r="Q1235">
        <v>0</v>
      </c>
    </row>
    <row r="1236" spans="1:17" x14ac:dyDescent="0.2">
      <c r="A1236" s="1" t="str">
        <f>HYPERLINK("http://www.twitter.com/Ugo_Roux/status/1047877290334535682", "1047877290334535682")</f>
        <v>1047877290334535682</v>
      </c>
      <c r="B1236" t="s">
        <v>285</v>
      </c>
      <c r="C1236" s="3">
        <v>43377.661909722221</v>
      </c>
      <c r="D1236" s="5" t="s">
        <v>28</v>
      </c>
      <c r="E1236">
        <v>0</v>
      </c>
      <c r="F1236">
        <v>0</v>
      </c>
      <c r="G1236">
        <v>0</v>
      </c>
      <c r="I1236" t="s">
        <v>1272</v>
      </c>
      <c r="J1236" t="str">
        <f>HYPERLINK("http://pbs.twimg.com/media/DorOyu-WwAA_r_2.jpg", "http://pbs.twimg.com/media/DorOyu-WwAA_r_2.jpg")</f>
        <v>http://pbs.twimg.com/media/DorOyu-WwAA_r_2.jpg</v>
      </c>
      <c r="K1236" t="str">
        <f>HYPERLINK("http://pbs.twimg.com/media/DorO0YXX0AAUx0y.jpg", "http://pbs.twimg.com/media/DorO0YXX0AAUx0y.jpg")</f>
        <v>http://pbs.twimg.com/media/DorO0YXX0AAUx0y.jpg</v>
      </c>
      <c r="N1236">
        <v>0</v>
      </c>
      <c r="O1236">
        <v>0</v>
      </c>
      <c r="P1236">
        <v>1</v>
      </c>
      <c r="Q1236">
        <v>0</v>
      </c>
    </row>
    <row r="1237" spans="1:17" x14ac:dyDescent="0.2">
      <c r="A1237" s="1" t="str">
        <f>HYPERLINK("http://www.twitter.com/Ugo_Roux/status/1047827133719097350", "1047827133719097350")</f>
        <v>1047827133719097350</v>
      </c>
      <c r="B1237" t="s">
        <v>206</v>
      </c>
      <c r="C1237" s="3">
        <v>43377.523506944453</v>
      </c>
      <c r="D1237" s="5" t="s">
        <v>24</v>
      </c>
      <c r="E1237">
        <v>10</v>
      </c>
      <c r="F1237">
        <v>7</v>
      </c>
      <c r="G1237">
        <v>1</v>
      </c>
      <c r="I1237" t="s">
        <v>1273</v>
      </c>
      <c r="J1237" t="str">
        <f>HYPERLINK("http://pbs.twimg.com/media/DoqgUKQXgAAIR2p.jpg", "http://pbs.twimg.com/media/DoqgUKQXgAAIR2p.jpg")</f>
        <v>http://pbs.twimg.com/media/DoqgUKQXgAAIR2p.jpg</v>
      </c>
      <c r="K1237" t="str">
        <f>HYPERLINK("http://pbs.twimg.com/media/DoqgU4CXgAAU0ds.jpg", "http://pbs.twimg.com/media/DoqgU4CXgAAU0ds.jpg")</f>
        <v>http://pbs.twimg.com/media/DoqgU4CXgAAU0ds.jpg</v>
      </c>
      <c r="L1237" t="str">
        <f>HYPERLINK("http://pbs.twimg.com/media/DoqgVj-XsAAMhl4.jpg", "http://pbs.twimg.com/media/DoqgVj-XsAAMhl4.jpg")</f>
        <v>http://pbs.twimg.com/media/DoqgVj-XsAAMhl4.jpg</v>
      </c>
      <c r="N1237">
        <v>-0.26950000000000002</v>
      </c>
      <c r="O1237">
        <v>6.0999999999999999E-2</v>
      </c>
      <c r="P1237">
        <v>0.93899999999999995</v>
      </c>
      <c r="Q1237">
        <v>0</v>
      </c>
    </row>
    <row r="1238" spans="1:17" x14ac:dyDescent="0.2">
      <c r="A1238" s="1" t="str">
        <f>HYPERLINK("http://www.twitter.com/Ugo_Roux/status/1047749350200430592", "1047749350200430592")</f>
        <v>1047749350200430592</v>
      </c>
      <c r="B1238" t="s">
        <v>476</v>
      </c>
      <c r="C1238" s="3">
        <v>43377.308854166673</v>
      </c>
      <c r="D1238" s="5" t="s">
        <v>41</v>
      </c>
      <c r="E1238">
        <v>0</v>
      </c>
      <c r="F1238">
        <v>0</v>
      </c>
      <c r="G1238">
        <v>0</v>
      </c>
      <c r="I1238" t="s">
        <v>1274</v>
      </c>
      <c r="N1238">
        <v>0</v>
      </c>
      <c r="O1238">
        <v>0</v>
      </c>
      <c r="P1238">
        <v>1</v>
      </c>
      <c r="Q1238">
        <v>0</v>
      </c>
    </row>
    <row r="1239" spans="1:17" x14ac:dyDescent="0.2">
      <c r="A1239" s="1" t="str">
        <f>HYPERLINK("http://www.twitter.com/Ugo_Roux/status/1047472696865554432", "1047472696865554432")</f>
        <v>1047472696865554432</v>
      </c>
      <c r="B1239" t="s">
        <v>142</v>
      </c>
      <c r="C1239" s="3">
        <v>43376.545439814807</v>
      </c>
      <c r="D1239" s="5" t="s">
        <v>17</v>
      </c>
      <c r="E1239">
        <v>2</v>
      </c>
      <c r="F1239">
        <v>0</v>
      </c>
      <c r="G1239">
        <v>0</v>
      </c>
      <c r="I1239" t="s">
        <v>1275</v>
      </c>
      <c r="J1239" t="str">
        <f>HYPERLINK("http://pbs.twimg.com/media/Dole3LDXoAA3AyP.jpg", "http://pbs.twimg.com/media/Dole3LDXoAA3AyP.jpg")</f>
        <v>http://pbs.twimg.com/media/Dole3LDXoAA3AyP.jpg</v>
      </c>
      <c r="N1239">
        <v>0.2263</v>
      </c>
      <c r="O1239">
        <v>0</v>
      </c>
      <c r="P1239">
        <v>0.94899999999999995</v>
      </c>
      <c r="Q1239">
        <v>5.0999999999999997E-2</v>
      </c>
    </row>
    <row r="1240" spans="1:17" x14ac:dyDescent="0.2">
      <c r="A1240" s="1" t="str">
        <f>HYPERLINK("http://www.twitter.com/Ugo_Roux/status/1047041226887843840", "1047041226887843840")</f>
        <v>1047041226887843840</v>
      </c>
      <c r="B1240" t="s">
        <v>206</v>
      </c>
      <c r="C1240" s="3">
        <v>43375.354814814818</v>
      </c>
      <c r="D1240" s="5" t="s">
        <v>28</v>
      </c>
      <c r="E1240">
        <v>7</v>
      </c>
      <c r="F1240">
        <v>4</v>
      </c>
      <c r="G1240">
        <v>0</v>
      </c>
      <c r="I1240" t="s">
        <v>1276</v>
      </c>
      <c r="J1240" t="str">
        <f>HYPERLINK("http://pbs.twimg.com/media/DofU3ZdXsAM5H3x.jpg", "http://pbs.twimg.com/media/DofU3ZdXsAM5H3x.jpg")</f>
        <v>http://pbs.twimg.com/media/DofU3ZdXsAM5H3x.jpg</v>
      </c>
      <c r="N1240">
        <v>0</v>
      </c>
      <c r="O1240">
        <v>0</v>
      </c>
      <c r="P1240">
        <v>1</v>
      </c>
      <c r="Q1240">
        <v>0</v>
      </c>
    </row>
    <row r="1241" spans="1:17" x14ac:dyDescent="0.2">
      <c r="A1241" s="1" t="str">
        <f>HYPERLINK("http://www.twitter.com/Ugo_Roux/status/1047007493300391937", "1047007493300391937")</f>
        <v>1047007493300391937</v>
      </c>
      <c r="B1241" t="s">
        <v>285</v>
      </c>
      <c r="C1241" s="3">
        <v>43375.261724537027</v>
      </c>
      <c r="D1241" s="5" t="s">
        <v>17</v>
      </c>
      <c r="E1241">
        <v>1</v>
      </c>
      <c r="F1241">
        <v>1</v>
      </c>
      <c r="G1241">
        <v>0</v>
      </c>
      <c r="I1241" t="s">
        <v>1277</v>
      </c>
      <c r="J1241" t="str">
        <f>HYPERLINK("http://pbs.twimg.com/media/Doe3wZBWsAIRKAP.jpg", "http://pbs.twimg.com/media/Doe3wZBWsAIRKAP.jpg")</f>
        <v>http://pbs.twimg.com/media/Doe3wZBWsAIRKAP.jpg</v>
      </c>
      <c r="N1241">
        <v>0</v>
      </c>
      <c r="O1241">
        <v>0</v>
      </c>
      <c r="P1241">
        <v>1</v>
      </c>
      <c r="Q1241">
        <v>0</v>
      </c>
    </row>
    <row r="1242" spans="1:17" x14ac:dyDescent="0.2">
      <c r="A1242" s="1" t="str">
        <f>HYPERLINK("http://www.twitter.com/Ugo_Roux/status/1046738364706304000", "1046738364706304000")</f>
        <v>1046738364706304000</v>
      </c>
      <c r="B1242" t="s">
        <v>142</v>
      </c>
      <c r="C1242" s="3">
        <v>43374.519074074073</v>
      </c>
      <c r="D1242" s="5" t="s">
        <v>41</v>
      </c>
      <c r="E1242">
        <v>2</v>
      </c>
      <c r="F1242">
        <v>1</v>
      </c>
      <c r="G1242">
        <v>0</v>
      </c>
      <c r="I1242" t="s">
        <v>1278</v>
      </c>
      <c r="N1242">
        <v>0.45879999999999999</v>
      </c>
      <c r="O1242">
        <v>0</v>
      </c>
      <c r="P1242">
        <v>0.82399999999999995</v>
      </c>
      <c r="Q1242">
        <v>0.17599999999999999</v>
      </c>
    </row>
    <row r="1243" spans="1:17" x14ac:dyDescent="0.2">
      <c r="A1243" s="1" t="str">
        <f>HYPERLINK("http://www.twitter.com/Ugo_Roux/status/1046364611635818501", "1046364611635818501")</f>
        <v>1046364611635818501</v>
      </c>
      <c r="B1243" t="s">
        <v>142</v>
      </c>
      <c r="C1243" s="3">
        <v>43373.487708333327</v>
      </c>
      <c r="D1243" s="5" t="s">
        <v>17</v>
      </c>
      <c r="E1243">
        <v>1</v>
      </c>
      <c r="F1243">
        <v>0</v>
      </c>
      <c r="G1243">
        <v>0</v>
      </c>
      <c r="I1243" t="s">
        <v>1279</v>
      </c>
      <c r="N1243">
        <v>0</v>
      </c>
      <c r="O1243">
        <v>0</v>
      </c>
      <c r="P1243">
        <v>1</v>
      </c>
      <c r="Q1243">
        <v>0</v>
      </c>
    </row>
    <row r="1244" spans="1:17" x14ac:dyDescent="0.2">
      <c r="A1244" s="1" t="str">
        <f>HYPERLINK("http://www.twitter.com/Ugo_Roux/status/1045972091051417600", "1045972091051417600")</f>
        <v>1045972091051417600</v>
      </c>
      <c r="B1244" t="s">
        <v>414</v>
      </c>
      <c r="C1244" s="3">
        <v>43372.404560185183</v>
      </c>
      <c r="D1244" s="5" t="s">
        <v>28</v>
      </c>
      <c r="E1244">
        <v>0</v>
      </c>
      <c r="F1244">
        <v>0</v>
      </c>
      <c r="G1244">
        <v>0</v>
      </c>
      <c r="I1244" t="s">
        <v>1280</v>
      </c>
      <c r="J1244" t="str">
        <f>HYPERLINK("http://pbs.twimg.com/media/DoQKCBXXkAATnc2.jpg", "http://pbs.twimg.com/media/DoQKCBXXkAATnc2.jpg")</f>
        <v>http://pbs.twimg.com/media/DoQKCBXXkAATnc2.jpg</v>
      </c>
      <c r="N1244">
        <v>0</v>
      </c>
      <c r="O1244">
        <v>0</v>
      </c>
      <c r="P1244">
        <v>1</v>
      </c>
      <c r="Q1244">
        <v>0</v>
      </c>
    </row>
    <row r="1245" spans="1:17" x14ac:dyDescent="0.2">
      <c r="A1245" s="1" t="str">
        <f>HYPERLINK("http://www.twitter.com/Ugo_Roux/status/1045720415954509824", "1045720415954509824")</f>
        <v>1045720415954509824</v>
      </c>
      <c r="B1245" t="s">
        <v>97</v>
      </c>
      <c r="C1245" s="3">
        <v>43371.710069444453</v>
      </c>
      <c r="D1245" s="5" t="s">
        <v>28</v>
      </c>
      <c r="E1245">
        <v>0</v>
      </c>
      <c r="F1245">
        <v>0</v>
      </c>
      <c r="G1245">
        <v>0</v>
      </c>
      <c r="I1245" t="s">
        <v>1281</v>
      </c>
      <c r="J1245" t="str">
        <f>HYPERLINK("http://pbs.twimg.com/media/DoMlLR1U4AIYxzg.jpg", "http://pbs.twimg.com/media/DoMlLR1U4AIYxzg.jpg")</f>
        <v>http://pbs.twimg.com/media/DoMlLR1U4AIYxzg.jpg</v>
      </c>
      <c r="N1245">
        <v>0</v>
      </c>
      <c r="O1245">
        <v>0</v>
      </c>
      <c r="P1245">
        <v>1</v>
      </c>
      <c r="Q1245">
        <v>0</v>
      </c>
    </row>
    <row r="1246" spans="1:17" x14ac:dyDescent="0.2">
      <c r="A1246" s="1" t="str">
        <f>HYPERLINK("http://www.twitter.com/Ugo_Roux/status/1045653694337961984", "1045653694337961984")</f>
        <v>1045653694337961984</v>
      </c>
      <c r="B1246" t="s">
        <v>414</v>
      </c>
      <c r="C1246" s="3">
        <v>43371.525949074072</v>
      </c>
      <c r="D1246" s="5" t="s">
        <v>28</v>
      </c>
      <c r="E1246">
        <v>0</v>
      </c>
      <c r="F1246">
        <v>0</v>
      </c>
      <c r="G1246">
        <v>0</v>
      </c>
      <c r="I1246" t="s">
        <v>1282</v>
      </c>
      <c r="J1246" t="str">
        <f>HYPERLINK("http://pbs.twimg.com/media/DoLlGasX0AATz3-.jpg", "http://pbs.twimg.com/media/DoLlGasX0AATz3-.jpg")</f>
        <v>http://pbs.twimg.com/media/DoLlGasX0AATz3-.jpg</v>
      </c>
      <c r="N1246">
        <v>0</v>
      </c>
      <c r="O1246">
        <v>0</v>
      </c>
      <c r="P1246">
        <v>1</v>
      </c>
      <c r="Q1246">
        <v>0</v>
      </c>
    </row>
    <row r="1247" spans="1:17" x14ac:dyDescent="0.2">
      <c r="A1247" s="1" t="str">
        <f>HYPERLINK("http://www.twitter.com/Ugo_Roux/status/1045569644969545729", "1045569644969545729")</f>
        <v>1045569644969545729</v>
      </c>
      <c r="B1247" t="s">
        <v>476</v>
      </c>
      <c r="C1247" s="3">
        <v>43371.294016203698</v>
      </c>
      <c r="D1247" s="5" t="s">
        <v>17</v>
      </c>
      <c r="E1247">
        <v>0</v>
      </c>
      <c r="F1247">
        <v>1</v>
      </c>
      <c r="G1247">
        <v>0</v>
      </c>
      <c r="I1247" t="s">
        <v>1283</v>
      </c>
      <c r="N1247">
        <v>0</v>
      </c>
      <c r="O1247">
        <v>0</v>
      </c>
      <c r="P1247">
        <v>1</v>
      </c>
      <c r="Q1247">
        <v>0</v>
      </c>
    </row>
    <row r="1248" spans="1:17" x14ac:dyDescent="0.2">
      <c r="A1248" s="1" t="str">
        <f>HYPERLINK("http://www.twitter.com/Ugo_Roux/status/1045558866757464066", "1045558866757464066")</f>
        <v>1045558866757464066</v>
      </c>
      <c r="B1248" t="s">
        <v>285</v>
      </c>
      <c r="C1248" s="3">
        <v>43371.264282407406</v>
      </c>
      <c r="D1248" s="5" t="s">
        <v>17</v>
      </c>
      <c r="E1248">
        <v>0</v>
      </c>
      <c r="F1248">
        <v>0</v>
      </c>
      <c r="G1248">
        <v>0</v>
      </c>
      <c r="I1248" t="s">
        <v>1284</v>
      </c>
      <c r="J1248" t="str">
        <f>HYPERLINK("http://pbs.twimg.com/media/DoKSGgAXgAANa7u.jpg", "http://pbs.twimg.com/media/DoKSGgAXgAANa7u.jpg")</f>
        <v>http://pbs.twimg.com/media/DoKSGgAXgAANa7u.jpg</v>
      </c>
      <c r="K1248" t="str">
        <f>HYPERLINK("http://pbs.twimg.com/media/DoKSIRjXgAAA7IN.jpg", "http://pbs.twimg.com/media/DoKSIRjXgAAA7IN.jpg")</f>
        <v>http://pbs.twimg.com/media/DoKSIRjXgAAA7IN.jpg</v>
      </c>
      <c r="L1248" t="str">
        <f>HYPERLINK("http://pbs.twimg.com/media/DoKSKO6WkAAPQY8.jpg", "http://pbs.twimg.com/media/DoKSKO6WkAAPQY8.jpg")</f>
        <v>http://pbs.twimg.com/media/DoKSKO6WkAAPQY8.jpg</v>
      </c>
      <c r="N1248">
        <v>0</v>
      </c>
      <c r="O1248">
        <v>0</v>
      </c>
      <c r="P1248">
        <v>1</v>
      </c>
      <c r="Q1248">
        <v>0</v>
      </c>
    </row>
    <row r="1249" spans="1:17" x14ac:dyDescent="0.2">
      <c r="A1249" s="1" t="str">
        <f>HYPERLINK("http://www.twitter.com/Ugo_Roux/status/1045337107567398912", "1045337107567398912")</f>
        <v>1045337107567398912</v>
      </c>
      <c r="B1249" t="s">
        <v>456</v>
      </c>
      <c r="C1249" s="3">
        <v>43370.652337962973</v>
      </c>
      <c r="D1249" t="s">
        <v>28</v>
      </c>
      <c r="E1249">
        <v>4</v>
      </c>
      <c r="F1249">
        <v>1</v>
      </c>
      <c r="G1249">
        <v>0</v>
      </c>
      <c r="I1249" t="s">
        <v>1285</v>
      </c>
      <c r="J1249" t="str">
        <f>HYPERLINK("http://pbs.twimg.com/media/DoHHhoCX0AUBAjm.jpg", "http://pbs.twimg.com/media/DoHHhoCX0AUBAjm.jpg")</f>
        <v>http://pbs.twimg.com/media/DoHHhoCX0AUBAjm.jpg</v>
      </c>
      <c r="N1249">
        <v>0</v>
      </c>
      <c r="O1249">
        <v>0</v>
      </c>
      <c r="P1249">
        <v>1</v>
      </c>
      <c r="Q1249">
        <v>0</v>
      </c>
    </row>
    <row r="1250" spans="1:17" x14ac:dyDescent="0.2">
      <c r="A1250" s="1" t="str">
        <f>HYPERLINK("http://www.twitter.com/Ugo_Roux/status/1045209912979206145", "1045209912979206145")</f>
        <v>1045209912979206145</v>
      </c>
      <c r="B1250" t="s">
        <v>476</v>
      </c>
      <c r="C1250" s="3">
        <v>43370.301342592589</v>
      </c>
      <c r="D1250" s="5" t="s">
        <v>17</v>
      </c>
      <c r="E1250">
        <v>1</v>
      </c>
      <c r="F1250">
        <v>1</v>
      </c>
      <c r="G1250">
        <v>0</v>
      </c>
      <c r="I1250" t="s">
        <v>1286</v>
      </c>
      <c r="N1250">
        <v>0</v>
      </c>
      <c r="O1250">
        <v>0</v>
      </c>
      <c r="P1250">
        <v>1</v>
      </c>
      <c r="Q1250">
        <v>0</v>
      </c>
    </row>
    <row r="1251" spans="1:17" x14ac:dyDescent="0.2">
      <c r="A1251" s="1" t="str">
        <f>HYPERLINK("http://www.twitter.com/Ugo_Roux/status/1044976086025736192", "1044976086025736192")</f>
        <v>1044976086025736192</v>
      </c>
      <c r="B1251" t="s">
        <v>456</v>
      </c>
      <c r="C1251" s="3">
        <v>43369.656111111108</v>
      </c>
      <c r="D1251" t="s">
        <v>28</v>
      </c>
      <c r="E1251">
        <v>1</v>
      </c>
      <c r="F1251">
        <v>0</v>
      </c>
      <c r="G1251">
        <v>0</v>
      </c>
      <c r="I1251" t="s">
        <v>1287</v>
      </c>
      <c r="J1251" t="str">
        <f>HYPERLINK("http://pbs.twimg.com/media/DoB_p0hXUAAgrZp.jpg", "http://pbs.twimg.com/media/DoB_p0hXUAAgrZp.jpg")</f>
        <v>http://pbs.twimg.com/media/DoB_p0hXUAAgrZp.jpg</v>
      </c>
      <c r="N1251">
        <v>0</v>
      </c>
      <c r="O1251">
        <v>0</v>
      </c>
      <c r="P1251">
        <v>1</v>
      </c>
      <c r="Q1251">
        <v>0</v>
      </c>
    </row>
    <row r="1252" spans="1:17" x14ac:dyDescent="0.2">
      <c r="A1252" s="1" t="str">
        <f>HYPERLINK("http://www.twitter.com/Ugo_Roux/status/1044974424187961351", "1044974424187961351")</f>
        <v>1044974424187961351</v>
      </c>
      <c r="B1252" t="s">
        <v>456</v>
      </c>
      <c r="C1252" s="3">
        <v>43369.65152777778</v>
      </c>
      <c r="D1252" t="s">
        <v>28</v>
      </c>
      <c r="E1252">
        <v>0</v>
      </c>
      <c r="F1252">
        <v>0</v>
      </c>
      <c r="G1252">
        <v>0</v>
      </c>
      <c r="I1252" t="s">
        <v>1288</v>
      </c>
      <c r="J1252" t="str">
        <f>HYPERLINK("http://pbs.twimg.com/media/DoB-qMoW0AEfaJO.jpg", "http://pbs.twimg.com/media/DoB-qMoW0AEfaJO.jpg")</f>
        <v>http://pbs.twimg.com/media/DoB-qMoW0AEfaJO.jpg</v>
      </c>
      <c r="N1252">
        <v>0.45879999999999999</v>
      </c>
      <c r="O1252">
        <v>0</v>
      </c>
      <c r="P1252">
        <v>0.91700000000000004</v>
      </c>
      <c r="Q1252">
        <v>8.3000000000000004E-2</v>
      </c>
    </row>
    <row r="1253" spans="1:17" x14ac:dyDescent="0.2">
      <c r="A1253" s="1" t="str">
        <f>HYPERLINK("http://www.twitter.com/Ugo_Roux/status/1044885828177219584", "1044885828177219584")</f>
        <v>1044885828177219584</v>
      </c>
      <c r="B1253" t="s">
        <v>476</v>
      </c>
      <c r="C1253" s="3">
        <v>43369.407048611109</v>
      </c>
      <c r="D1253" s="5" t="s">
        <v>17</v>
      </c>
      <c r="E1253">
        <v>2</v>
      </c>
      <c r="F1253">
        <v>0</v>
      </c>
      <c r="G1253">
        <v>0</v>
      </c>
      <c r="I1253" t="s">
        <v>1289</v>
      </c>
      <c r="N1253">
        <v>0</v>
      </c>
      <c r="O1253">
        <v>0</v>
      </c>
      <c r="P1253">
        <v>1</v>
      </c>
      <c r="Q1253">
        <v>0</v>
      </c>
    </row>
    <row r="1254" spans="1:17" x14ac:dyDescent="0.2">
      <c r="A1254" s="1" t="str">
        <f>HYPERLINK("http://www.twitter.com/Ugo_Roux/status/1044603930955665408", "1044603930955665408")</f>
        <v>1044603930955665408</v>
      </c>
      <c r="B1254" t="s">
        <v>414</v>
      </c>
      <c r="C1254" s="3">
        <v>43368.629155092603</v>
      </c>
      <c r="D1254" s="5" t="s">
        <v>28</v>
      </c>
      <c r="E1254">
        <v>0</v>
      </c>
      <c r="F1254">
        <v>0</v>
      </c>
      <c r="G1254">
        <v>0</v>
      </c>
      <c r="I1254" t="s">
        <v>1290</v>
      </c>
      <c r="J1254" t="str">
        <f>HYPERLINK("http://pbs.twimg.com/media/Dn8trmFXcAAK6T6.jpg", "http://pbs.twimg.com/media/Dn8trmFXcAAK6T6.jpg")</f>
        <v>http://pbs.twimg.com/media/Dn8trmFXcAAK6T6.jpg</v>
      </c>
      <c r="N1254">
        <v>0</v>
      </c>
      <c r="O1254">
        <v>0</v>
      </c>
      <c r="P1254">
        <v>1</v>
      </c>
      <c r="Q1254">
        <v>0</v>
      </c>
    </row>
    <row r="1255" spans="1:17" x14ac:dyDescent="0.2">
      <c r="A1255" s="1" t="str">
        <f>HYPERLINK("http://www.twitter.com/Ugo_Roux/status/1044591203373772800", "1044591203373772800")</f>
        <v>1044591203373772800</v>
      </c>
      <c r="B1255" t="s">
        <v>206</v>
      </c>
      <c r="C1255" s="3">
        <v>43368.594039351847</v>
      </c>
      <c r="D1255" s="5" t="s">
        <v>28</v>
      </c>
      <c r="E1255">
        <v>1</v>
      </c>
      <c r="F1255">
        <v>0</v>
      </c>
      <c r="G1255">
        <v>0</v>
      </c>
      <c r="I1255" t="s">
        <v>1291</v>
      </c>
      <c r="N1255">
        <v>0</v>
      </c>
      <c r="O1255">
        <v>0</v>
      </c>
      <c r="P1255">
        <v>1</v>
      </c>
      <c r="Q1255">
        <v>0</v>
      </c>
    </row>
    <row r="1256" spans="1:17" x14ac:dyDescent="0.2">
      <c r="A1256" s="1" t="str">
        <f>HYPERLINK("http://www.twitter.com/Ugo_Roux/status/1044554302193369088", "1044554302193369088")</f>
        <v>1044554302193369088</v>
      </c>
      <c r="B1256" t="s">
        <v>285</v>
      </c>
      <c r="C1256" s="3">
        <v>43368.492210648154</v>
      </c>
      <c r="D1256" s="5" t="s">
        <v>17</v>
      </c>
      <c r="E1256">
        <v>0</v>
      </c>
      <c r="F1256">
        <v>0</v>
      </c>
      <c r="G1256">
        <v>0</v>
      </c>
      <c r="I1256" t="s">
        <v>1292</v>
      </c>
      <c r="N1256">
        <v>0</v>
      </c>
      <c r="O1256">
        <v>0</v>
      </c>
      <c r="P1256">
        <v>1</v>
      </c>
      <c r="Q1256">
        <v>0</v>
      </c>
    </row>
    <row r="1257" spans="1:17" x14ac:dyDescent="0.2">
      <c r="A1257" s="1" t="str">
        <f>HYPERLINK("http://www.twitter.com/Ugo_Roux/status/1044550523536461829", "1044550523536461829")</f>
        <v>1044550523536461829</v>
      </c>
      <c r="B1257" t="s">
        <v>285</v>
      </c>
      <c r="C1257" s="3">
        <v>43368.481782407413</v>
      </c>
      <c r="D1257" s="5" t="s">
        <v>17</v>
      </c>
      <c r="E1257">
        <v>1</v>
      </c>
      <c r="F1257">
        <v>1</v>
      </c>
      <c r="G1257">
        <v>0</v>
      </c>
      <c r="I1257" t="s">
        <v>1293</v>
      </c>
      <c r="J1257" t="str">
        <f>HYPERLINK("http://pbs.twimg.com/media/Dn79CNlWkAEwdli.jpg", "http://pbs.twimg.com/media/Dn79CNlWkAEwdli.jpg")</f>
        <v>http://pbs.twimg.com/media/Dn79CNlWkAEwdli.jpg</v>
      </c>
      <c r="N1257">
        <v>0</v>
      </c>
      <c r="O1257">
        <v>0</v>
      </c>
      <c r="P1257">
        <v>1</v>
      </c>
      <c r="Q1257">
        <v>0</v>
      </c>
    </row>
    <row r="1258" spans="1:17" x14ac:dyDescent="0.2">
      <c r="A1258" s="1" t="str">
        <f>HYPERLINK("http://www.twitter.com/Ugo_Roux/status/1044528614635646977", "1044528614635646977")</f>
        <v>1044528614635646977</v>
      </c>
      <c r="B1258" t="s">
        <v>206</v>
      </c>
      <c r="C1258" s="3">
        <v>43368.421319444453</v>
      </c>
      <c r="D1258" s="5" t="s">
        <v>28</v>
      </c>
      <c r="E1258">
        <v>9</v>
      </c>
      <c r="F1258">
        <v>12</v>
      </c>
      <c r="G1258">
        <v>1</v>
      </c>
      <c r="I1258" t="s">
        <v>1294</v>
      </c>
      <c r="J1258" t="str">
        <f>HYPERLINK("http://pbs.twimg.com/media/Dn7n_gAWsAEWS-H.jpg", "http://pbs.twimg.com/media/Dn7n_gAWsAEWS-H.jpg")</f>
        <v>http://pbs.twimg.com/media/Dn7n_gAWsAEWS-H.jpg</v>
      </c>
      <c r="N1258">
        <v>0</v>
      </c>
      <c r="O1258">
        <v>0</v>
      </c>
      <c r="P1258">
        <v>1</v>
      </c>
      <c r="Q1258">
        <v>0</v>
      </c>
    </row>
    <row r="1259" spans="1:17" x14ac:dyDescent="0.2">
      <c r="A1259" s="1" t="str">
        <f>HYPERLINK("http://www.twitter.com/Ugo_Roux/status/1044506118934999040", "1044506118934999040")</f>
        <v>1044506118934999040</v>
      </c>
      <c r="B1259" t="s">
        <v>476</v>
      </c>
      <c r="C1259" s="3">
        <v>43368.359247685177</v>
      </c>
      <c r="D1259" s="5" t="s">
        <v>17</v>
      </c>
      <c r="E1259">
        <v>3</v>
      </c>
      <c r="F1259">
        <v>1</v>
      </c>
      <c r="G1259">
        <v>0</v>
      </c>
      <c r="I1259" t="s">
        <v>1295</v>
      </c>
      <c r="N1259">
        <v>0</v>
      </c>
      <c r="O1259">
        <v>0</v>
      </c>
      <c r="P1259">
        <v>1</v>
      </c>
      <c r="Q1259">
        <v>0</v>
      </c>
    </row>
    <row r="1260" spans="1:17" x14ac:dyDescent="0.2">
      <c r="A1260" s="1" t="str">
        <f>HYPERLINK("http://www.twitter.com/Ugo_Roux/status/1043876703804813317", "1043876703804813317")</f>
        <v>1043876703804813317</v>
      </c>
      <c r="B1260" t="s">
        <v>142</v>
      </c>
      <c r="C1260" s="3">
        <v>43366.622395833343</v>
      </c>
      <c r="D1260" s="5" t="s">
        <v>17</v>
      </c>
      <c r="E1260">
        <v>1</v>
      </c>
      <c r="F1260">
        <v>0</v>
      </c>
      <c r="G1260">
        <v>0</v>
      </c>
      <c r="I1260" t="s">
        <v>1296</v>
      </c>
      <c r="N1260">
        <v>0</v>
      </c>
      <c r="O1260">
        <v>0</v>
      </c>
      <c r="P1260">
        <v>1</v>
      </c>
      <c r="Q1260">
        <v>0</v>
      </c>
    </row>
    <row r="1261" spans="1:17" x14ac:dyDescent="0.2">
      <c r="A1261" s="1" t="str">
        <f>HYPERLINK("http://www.twitter.com/Ugo_Roux/status/1043784289735925760", "1043784289735925760")</f>
        <v>1043784289735925760</v>
      </c>
      <c r="B1261" t="s">
        <v>142</v>
      </c>
      <c r="C1261" s="3">
        <v>43366.367372685178</v>
      </c>
      <c r="D1261" s="5" t="s">
        <v>17</v>
      </c>
      <c r="E1261">
        <v>0</v>
      </c>
      <c r="F1261">
        <v>0</v>
      </c>
      <c r="G1261">
        <v>0</v>
      </c>
      <c r="I1261" t="s">
        <v>1297</v>
      </c>
      <c r="N1261">
        <v>0</v>
      </c>
      <c r="O1261">
        <v>0</v>
      </c>
      <c r="P1261">
        <v>1</v>
      </c>
      <c r="Q1261">
        <v>0</v>
      </c>
    </row>
    <row r="1262" spans="1:17" x14ac:dyDescent="0.2">
      <c r="A1262" s="1" t="str">
        <f>HYPERLINK("http://www.twitter.com/Ugo_Roux/status/1043167977972092928", "1043167977972092928")</f>
        <v>1043167977972092928</v>
      </c>
      <c r="B1262" t="s">
        <v>142</v>
      </c>
      <c r="C1262" s="3">
        <v>43364.666678240741</v>
      </c>
      <c r="D1262" s="5" t="s">
        <v>17</v>
      </c>
      <c r="E1262">
        <v>2</v>
      </c>
      <c r="F1262">
        <v>0</v>
      </c>
      <c r="G1262">
        <v>0</v>
      </c>
      <c r="I1262" t="s">
        <v>1298</v>
      </c>
      <c r="J1262" t="str">
        <f>HYPERLINK("http://pbs.twimg.com/media/DnoTvdUW0AEh4Fb.jpg", "http://pbs.twimg.com/media/DnoTvdUW0AEh4Fb.jpg")</f>
        <v>http://pbs.twimg.com/media/DnoTvdUW0AEh4Fb.jpg</v>
      </c>
      <c r="N1262">
        <v>0.1779</v>
      </c>
      <c r="O1262">
        <v>0</v>
      </c>
      <c r="P1262">
        <v>0.95399999999999996</v>
      </c>
      <c r="Q1262">
        <v>4.5999999999999999E-2</v>
      </c>
    </row>
    <row r="1263" spans="1:17" x14ac:dyDescent="0.2">
      <c r="A1263" s="1" t="str">
        <f>HYPERLINK("http://www.twitter.com/Ugo_Roux/status/1043144632501264385", "1043144632501264385")</f>
        <v>1043144632501264385</v>
      </c>
      <c r="B1263" t="s">
        <v>47</v>
      </c>
      <c r="C1263" s="3">
        <v>43364.602256944447</v>
      </c>
      <c r="D1263" s="3" t="s">
        <v>28</v>
      </c>
      <c r="E1263">
        <v>7</v>
      </c>
      <c r="F1263">
        <v>0</v>
      </c>
      <c r="G1263">
        <v>1</v>
      </c>
      <c r="I1263" t="s">
        <v>1299</v>
      </c>
      <c r="J1263" t="str">
        <f>HYPERLINK("http://pbs.twimg.com/media/Dnn9_ELXoAA_fSY.jpg", "http://pbs.twimg.com/media/Dnn9_ELXoAA_fSY.jpg")</f>
        <v>http://pbs.twimg.com/media/Dnn9_ELXoAA_fSY.jpg</v>
      </c>
      <c r="N1263">
        <v>0</v>
      </c>
      <c r="O1263">
        <v>0</v>
      </c>
      <c r="P1263">
        <v>1</v>
      </c>
      <c r="Q1263">
        <v>0</v>
      </c>
    </row>
    <row r="1264" spans="1:17" x14ac:dyDescent="0.2">
      <c r="A1264" s="1" t="str">
        <f>HYPERLINK("http://www.twitter.com/Ugo_Roux/status/1042419003032051712", "1042419003032051712")</f>
        <v>1042419003032051712</v>
      </c>
      <c r="B1264" t="s">
        <v>142</v>
      </c>
      <c r="C1264" s="3">
        <v>43362.599907407413</v>
      </c>
      <c r="D1264" s="5" t="s">
        <v>17</v>
      </c>
      <c r="E1264">
        <v>2</v>
      </c>
      <c r="F1264">
        <v>0</v>
      </c>
      <c r="G1264">
        <v>0</v>
      </c>
      <c r="I1264" t="s">
        <v>1300</v>
      </c>
      <c r="J1264" t="str">
        <f>HYPERLINK("http://pbs.twimg.com/media/DndqimfXcAEi9YC.jpg", "http://pbs.twimg.com/media/DndqimfXcAEi9YC.jpg")</f>
        <v>http://pbs.twimg.com/media/DndqimfXcAEi9YC.jpg</v>
      </c>
      <c r="N1264">
        <v>-0.128</v>
      </c>
      <c r="O1264">
        <v>3.5999999999999997E-2</v>
      </c>
      <c r="P1264">
        <v>0.96399999999999997</v>
      </c>
      <c r="Q1264">
        <v>0</v>
      </c>
    </row>
    <row r="1265" spans="1:17" x14ac:dyDescent="0.2">
      <c r="A1265" s="1" t="str">
        <f>HYPERLINK("http://www.twitter.com/Ugo_Roux/status/1042340848963387392", "1042340848963387392")</f>
        <v>1042340848963387392</v>
      </c>
      <c r="B1265" t="s">
        <v>414</v>
      </c>
      <c r="C1265" s="3">
        <v>43362.384236111109</v>
      </c>
      <c r="D1265" s="5" t="s">
        <v>28</v>
      </c>
      <c r="E1265">
        <v>0</v>
      </c>
      <c r="F1265">
        <v>0</v>
      </c>
      <c r="G1265">
        <v>0</v>
      </c>
      <c r="I1265" t="s">
        <v>1301</v>
      </c>
      <c r="N1265">
        <v>0</v>
      </c>
      <c r="O1265">
        <v>0</v>
      </c>
      <c r="P1265">
        <v>1</v>
      </c>
      <c r="Q1265">
        <v>0</v>
      </c>
    </row>
    <row r="1266" spans="1:17" x14ac:dyDescent="0.2">
      <c r="A1266" s="1" t="str">
        <f>HYPERLINK("http://www.twitter.com/Ugo_Roux/status/1042303110092337154", "1042303110092337154")</f>
        <v>1042303110092337154</v>
      </c>
      <c r="B1266" t="s">
        <v>285</v>
      </c>
      <c r="C1266" s="3">
        <v>43362.280104166668</v>
      </c>
      <c r="D1266" s="5" t="s">
        <v>17</v>
      </c>
      <c r="E1266">
        <v>0</v>
      </c>
      <c r="F1266">
        <v>0</v>
      </c>
      <c r="G1266">
        <v>0</v>
      </c>
      <c r="I1266" t="s">
        <v>1302</v>
      </c>
      <c r="J1266" t="str">
        <f>HYPERLINK("http://pbs.twimg.com/media/DncBJgQWsAEr-8W.jpg", "http://pbs.twimg.com/media/DncBJgQWsAEr-8W.jpg")</f>
        <v>http://pbs.twimg.com/media/DncBJgQWsAEr-8W.jpg</v>
      </c>
      <c r="N1266">
        <v>0</v>
      </c>
      <c r="O1266">
        <v>0</v>
      </c>
      <c r="P1266">
        <v>1</v>
      </c>
      <c r="Q1266">
        <v>0</v>
      </c>
    </row>
    <row r="1267" spans="1:17" x14ac:dyDescent="0.2">
      <c r="A1267" s="1" t="str">
        <f>HYPERLINK("http://www.twitter.com/Ugo_Roux/status/1042064380052090880", "1042064380052090880")</f>
        <v>1042064380052090880</v>
      </c>
      <c r="B1267" t="s">
        <v>142</v>
      </c>
      <c r="C1267" s="3">
        <v>43361.621331018519</v>
      </c>
      <c r="D1267" s="5" t="s">
        <v>17</v>
      </c>
      <c r="E1267">
        <v>2</v>
      </c>
      <c r="F1267">
        <v>1</v>
      </c>
      <c r="G1267">
        <v>0</v>
      </c>
      <c r="I1267" t="s">
        <v>1303</v>
      </c>
      <c r="N1267">
        <v>0</v>
      </c>
      <c r="O1267">
        <v>0</v>
      </c>
      <c r="P1267">
        <v>1</v>
      </c>
      <c r="Q1267">
        <v>0</v>
      </c>
    </row>
    <row r="1268" spans="1:17" x14ac:dyDescent="0.2">
      <c r="A1268" s="1" t="str">
        <f>HYPERLINK("http://www.twitter.com/Ugo_Roux/status/1040977959966924800", "1040977959966924800")</f>
        <v>1040977959966924800</v>
      </c>
      <c r="B1268" t="s">
        <v>130</v>
      </c>
      <c r="C1268" s="3">
        <v>43358.623379629629</v>
      </c>
      <c r="D1268" s="5" t="s">
        <v>28</v>
      </c>
      <c r="E1268">
        <v>1</v>
      </c>
      <c r="F1268">
        <v>0</v>
      </c>
      <c r="G1268">
        <v>0</v>
      </c>
      <c r="I1268" t="s">
        <v>1304</v>
      </c>
      <c r="N1268">
        <v>0</v>
      </c>
      <c r="O1268">
        <v>0</v>
      </c>
      <c r="P1268">
        <v>1</v>
      </c>
      <c r="Q1268">
        <v>0</v>
      </c>
    </row>
    <row r="1269" spans="1:17" x14ac:dyDescent="0.2">
      <c r="A1269" s="1" t="str">
        <f>HYPERLINK("http://www.twitter.com/Ugo_Roux/status/1040925480818536448", "1040925480818536448")</f>
        <v>1040925480818536448</v>
      </c>
      <c r="B1269" t="s">
        <v>130</v>
      </c>
      <c r="C1269" s="3">
        <v>43358.478564814817</v>
      </c>
      <c r="D1269" s="5" t="s">
        <v>28</v>
      </c>
      <c r="E1269">
        <v>1</v>
      </c>
      <c r="F1269">
        <v>0</v>
      </c>
      <c r="G1269">
        <v>0</v>
      </c>
      <c r="I1269" t="s">
        <v>1305</v>
      </c>
      <c r="N1269">
        <v>0</v>
      </c>
      <c r="O1269">
        <v>0</v>
      </c>
      <c r="P1269">
        <v>1</v>
      </c>
      <c r="Q1269">
        <v>0</v>
      </c>
    </row>
    <row r="1270" spans="1:17" x14ac:dyDescent="0.2">
      <c r="A1270" s="1" t="str">
        <f>HYPERLINK("http://www.twitter.com/Ugo_Roux/status/1040864129794355200", "1040864129794355200")</f>
        <v>1040864129794355200</v>
      </c>
      <c r="B1270" t="s">
        <v>414</v>
      </c>
      <c r="C1270" s="3">
        <v>43358.309270833342</v>
      </c>
      <c r="D1270" s="5" t="s">
        <v>28</v>
      </c>
      <c r="E1270">
        <v>0</v>
      </c>
      <c r="F1270">
        <v>1</v>
      </c>
      <c r="G1270">
        <v>0</v>
      </c>
      <c r="I1270" t="s">
        <v>1306</v>
      </c>
      <c r="J1270" t="str">
        <f>HYPERLINK("http://pbs.twimg.com/media/DnHjwKhW0AAi0Jk.jpg", "http://pbs.twimg.com/media/DnHjwKhW0AAi0Jk.jpg")</f>
        <v>http://pbs.twimg.com/media/DnHjwKhW0AAi0Jk.jpg</v>
      </c>
      <c r="N1270">
        <v>0</v>
      </c>
      <c r="O1270">
        <v>0</v>
      </c>
      <c r="P1270">
        <v>1</v>
      </c>
      <c r="Q1270">
        <v>0</v>
      </c>
    </row>
    <row r="1271" spans="1:17" x14ac:dyDescent="0.2">
      <c r="A1271" s="1" t="str">
        <f>HYPERLINK("http://www.twitter.com/Ugo_Roux/status/1040860764326830080", "1040860764326830080")</f>
        <v>1040860764326830080</v>
      </c>
      <c r="B1271" t="s">
        <v>476</v>
      </c>
      <c r="C1271" s="3">
        <v>43358.299988425933</v>
      </c>
      <c r="D1271" s="5" t="s">
        <v>41</v>
      </c>
      <c r="E1271">
        <v>0</v>
      </c>
      <c r="F1271">
        <v>0</v>
      </c>
      <c r="G1271">
        <v>0</v>
      </c>
      <c r="I1271" t="s">
        <v>1307</v>
      </c>
      <c r="N1271">
        <v>0</v>
      </c>
      <c r="O1271">
        <v>0</v>
      </c>
      <c r="P1271">
        <v>1</v>
      </c>
      <c r="Q1271">
        <v>0</v>
      </c>
    </row>
    <row r="1272" spans="1:17" x14ac:dyDescent="0.2">
      <c r="A1272" s="1" t="str">
        <f>HYPERLINK("http://www.twitter.com/Ugo_Roux/status/1040610520141709312", "1040610520141709312")</f>
        <v>1040610520141709312</v>
      </c>
      <c r="B1272" t="s">
        <v>370</v>
      </c>
      <c r="C1272" s="3">
        <v>43357.609444444453</v>
      </c>
      <c r="D1272" s="5" t="s">
        <v>28</v>
      </c>
      <c r="E1272">
        <v>0</v>
      </c>
      <c r="F1272">
        <v>0</v>
      </c>
      <c r="G1272">
        <v>0</v>
      </c>
      <c r="I1272" t="s">
        <v>1308</v>
      </c>
      <c r="J1272" t="str">
        <f>HYPERLINK("http://pbs.twimg.com/media/DnD9wNdUcAAM-9A.jpg", "http://pbs.twimg.com/media/DnD9wNdUcAAM-9A.jpg")</f>
        <v>http://pbs.twimg.com/media/DnD9wNdUcAAM-9A.jpg</v>
      </c>
      <c r="N1272">
        <v>0</v>
      </c>
      <c r="O1272">
        <v>0</v>
      </c>
      <c r="P1272">
        <v>1</v>
      </c>
      <c r="Q1272">
        <v>0</v>
      </c>
    </row>
    <row r="1273" spans="1:17" x14ac:dyDescent="0.2">
      <c r="A1273" s="1" t="str">
        <f>HYPERLINK("http://www.twitter.com/Ugo_Roux/status/1040610365690839046", "1040610365690839046")</f>
        <v>1040610365690839046</v>
      </c>
      <c r="B1273" t="s">
        <v>370</v>
      </c>
      <c r="C1273" s="3">
        <v>43357.609016203707</v>
      </c>
      <c r="D1273" s="5" t="s">
        <v>28</v>
      </c>
      <c r="E1273">
        <v>0</v>
      </c>
      <c r="F1273">
        <v>0</v>
      </c>
      <c r="G1273">
        <v>0</v>
      </c>
      <c r="I1273" t="s">
        <v>1309</v>
      </c>
      <c r="J1273" t="str">
        <f>HYPERLINK("http://pbs.twimg.com/media/DnD9nL9VsAAukA6.jpg", "http://pbs.twimg.com/media/DnD9nL9VsAAukA6.jpg")</f>
        <v>http://pbs.twimg.com/media/DnD9nL9VsAAukA6.jpg</v>
      </c>
      <c r="N1273">
        <v>0</v>
      </c>
      <c r="O1273">
        <v>0</v>
      </c>
      <c r="P1273">
        <v>1</v>
      </c>
      <c r="Q1273">
        <v>0</v>
      </c>
    </row>
    <row r="1274" spans="1:17" x14ac:dyDescent="0.2">
      <c r="A1274" s="1" t="str">
        <f>HYPERLINK("http://www.twitter.com/Ugo_Roux/status/1040575326009602048", "1040575326009602048")</f>
        <v>1040575326009602048</v>
      </c>
      <c r="B1274" t="s">
        <v>414</v>
      </c>
      <c r="C1274" s="3">
        <v>43357.512326388889</v>
      </c>
      <c r="D1274" s="5" t="s">
        <v>28</v>
      </c>
      <c r="E1274">
        <v>0</v>
      </c>
      <c r="F1274">
        <v>0</v>
      </c>
      <c r="G1274">
        <v>0</v>
      </c>
      <c r="I1274" t="s">
        <v>1310</v>
      </c>
      <c r="N1274">
        <v>0</v>
      </c>
      <c r="O1274">
        <v>0</v>
      </c>
      <c r="P1274">
        <v>1</v>
      </c>
      <c r="Q1274">
        <v>0</v>
      </c>
    </row>
    <row r="1275" spans="1:17" x14ac:dyDescent="0.2">
      <c r="A1275" s="1" t="str">
        <f>HYPERLINK("http://www.twitter.com/Ugo_Roux/status/1040490299242500097", "1040490299242500097")</f>
        <v>1040490299242500097</v>
      </c>
      <c r="B1275" t="s">
        <v>285</v>
      </c>
      <c r="C1275" s="3">
        <v>43357.277696759258</v>
      </c>
      <c r="D1275" s="5" t="s">
        <v>17</v>
      </c>
      <c r="E1275">
        <v>3</v>
      </c>
      <c r="F1275">
        <v>1</v>
      </c>
      <c r="G1275">
        <v>0</v>
      </c>
      <c r="I1275" t="s">
        <v>1311</v>
      </c>
      <c r="J1275" t="str">
        <f>HYPERLINK("http://pbs.twimg.com/media/DnCO6FCW4AAed1_.jpg", "http://pbs.twimg.com/media/DnCO6FCW4AAed1_.jpg")</f>
        <v>http://pbs.twimg.com/media/DnCO6FCW4AAed1_.jpg</v>
      </c>
      <c r="K1275" t="str">
        <f>HYPERLINK("http://pbs.twimg.com/media/DnCO7XzWwAAanXE.jpg", "http://pbs.twimg.com/media/DnCO7XzWwAAanXE.jpg")</f>
        <v>http://pbs.twimg.com/media/DnCO7XzWwAAanXE.jpg</v>
      </c>
      <c r="N1275">
        <v>0</v>
      </c>
      <c r="O1275">
        <v>0</v>
      </c>
      <c r="P1275">
        <v>1</v>
      </c>
      <c r="Q1275">
        <v>0</v>
      </c>
    </row>
    <row r="1276" spans="1:17" x14ac:dyDescent="0.2">
      <c r="A1276" s="1" t="str">
        <f>HYPERLINK("http://www.twitter.com/Ugo_Roux/status/1040169327243288576", "1040169327243288576")</f>
        <v>1040169327243288576</v>
      </c>
      <c r="B1276" t="s">
        <v>456</v>
      </c>
      <c r="C1276" s="3">
        <v>43356.391979166663</v>
      </c>
      <c r="D1276" t="s">
        <v>28</v>
      </c>
      <c r="E1276">
        <v>1</v>
      </c>
      <c r="F1276">
        <v>0</v>
      </c>
      <c r="G1276">
        <v>0</v>
      </c>
      <c r="I1276" t="s">
        <v>1312</v>
      </c>
      <c r="J1276" t="str">
        <f>HYPERLINK("http://pbs.twimg.com/media/Dm9rxqhWwAEAwa1.jpg", "http://pbs.twimg.com/media/Dm9rxqhWwAEAwa1.jpg")</f>
        <v>http://pbs.twimg.com/media/Dm9rxqhWwAEAwa1.jpg</v>
      </c>
      <c r="N1276">
        <v>0</v>
      </c>
      <c r="O1276">
        <v>0</v>
      </c>
      <c r="P1276">
        <v>1</v>
      </c>
      <c r="Q1276">
        <v>0</v>
      </c>
    </row>
    <row r="1277" spans="1:17" x14ac:dyDescent="0.2">
      <c r="A1277" s="1" t="str">
        <f>HYPERLINK("http://www.twitter.com/Ugo_Roux/status/1040134817596289024", "1040134817596289024")</f>
        <v>1040134817596289024</v>
      </c>
      <c r="B1277" t="s">
        <v>414</v>
      </c>
      <c r="C1277" s="3">
        <v>43356.296747685177</v>
      </c>
      <c r="D1277" s="5" t="s">
        <v>28</v>
      </c>
      <c r="E1277">
        <v>1</v>
      </c>
      <c r="F1277">
        <v>0</v>
      </c>
      <c r="G1277">
        <v>0</v>
      </c>
      <c r="I1277" t="s">
        <v>1313</v>
      </c>
      <c r="N1277">
        <v>0</v>
      </c>
      <c r="O1277">
        <v>0</v>
      </c>
      <c r="P1277">
        <v>1</v>
      </c>
      <c r="Q1277">
        <v>0</v>
      </c>
    </row>
    <row r="1278" spans="1:17" x14ac:dyDescent="0.2">
      <c r="A1278" s="1" t="str">
        <f>HYPERLINK("http://www.twitter.com/Ugo_Roux/status/1039880131723051009", "1039880131723051009")</f>
        <v>1039880131723051009</v>
      </c>
      <c r="B1278" t="s">
        <v>16</v>
      </c>
      <c r="C1278" s="3">
        <v>43355.593958333331</v>
      </c>
      <c r="D1278" s="3" t="s">
        <v>17</v>
      </c>
      <c r="E1278">
        <v>1</v>
      </c>
      <c r="F1278">
        <v>0</v>
      </c>
      <c r="G1278">
        <v>0</v>
      </c>
      <c r="I1278" t="s">
        <v>1314</v>
      </c>
      <c r="N1278">
        <v>0</v>
      </c>
      <c r="O1278">
        <v>0</v>
      </c>
      <c r="P1278">
        <v>1</v>
      </c>
      <c r="Q1278">
        <v>0</v>
      </c>
    </row>
    <row r="1279" spans="1:17" x14ac:dyDescent="0.2">
      <c r="A1279" s="1" t="str">
        <f>HYPERLINK("http://www.twitter.com/Ugo_Roux/status/1039510771120582659", "1039510771120582659")</f>
        <v>1039510771120582659</v>
      </c>
      <c r="B1279" t="s">
        <v>97</v>
      </c>
      <c r="C1279" s="3">
        <v>43354.57471064815</v>
      </c>
      <c r="D1279" s="5" t="s">
        <v>24</v>
      </c>
      <c r="E1279">
        <v>0</v>
      </c>
      <c r="F1279">
        <v>0</v>
      </c>
      <c r="G1279">
        <v>0</v>
      </c>
      <c r="I1279" t="s">
        <v>1315</v>
      </c>
      <c r="J1279" t="str">
        <f>HYPERLINK("http://pbs.twimg.com/media/Dm0ViWdUYAAcsc9.jpg", "http://pbs.twimg.com/media/Dm0ViWdUYAAcsc9.jpg")</f>
        <v>http://pbs.twimg.com/media/Dm0ViWdUYAAcsc9.jpg</v>
      </c>
      <c r="N1279">
        <v>0</v>
      </c>
      <c r="O1279">
        <v>0</v>
      </c>
      <c r="P1279">
        <v>1</v>
      </c>
      <c r="Q1279">
        <v>0</v>
      </c>
    </row>
    <row r="1280" spans="1:17" x14ac:dyDescent="0.2">
      <c r="A1280" s="1" t="str">
        <f>HYPERLINK("http://www.twitter.com/Ugo_Roux/status/1039482029275066368", "1039482029275066368")</f>
        <v>1039482029275066368</v>
      </c>
      <c r="B1280" t="s">
        <v>285</v>
      </c>
      <c r="C1280" s="3">
        <v>43354.495405092603</v>
      </c>
      <c r="D1280" s="5" t="s">
        <v>17</v>
      </c>
      <c r="E1280">
        <v>2</v>
      </c>
      <c r="F1280">
        <v>1</v>
      </c>
      <c r="G1280">
        <v>0</v>
      </c>
      <c r="I1280" t="s">
        <v>1316</v>
      </c>
      <c r="J1280" t="str">
        <f>HYPERLINK("http://pbs.twimg.com/media/Dmz7Ph2WsAAdAib.jpg", "http://pbs.twimg.com/media/Dmz7Ph2WsAAdAib.jpg")</f>
        <v>http://pbs.twimg.com/media/Dmz7Ph2WsAAdAib.jpg</v>
      </c>
      <c r="N1280">
        <v>0</v>
      </c>
      <c r="O1280">
        <v>0</v>
      </c>
      <c r="P1280">
        <v>1</v>
      </c>
      <c r="Q1280">
        <v>0</v>
      </c>
    </row>
    <row r="1281" spans="1:17" x14ac:dyDescent="0.2">
      <c r="A1281" s="1" t="str">
        <f>HYPERLINK("http://www.twitter.com/Ugo_Roux/status/1039480426757271552", "1039480426757271552")</f>
        <v>1039480426757271552</v>
      </c>
      <c r="B1281" t="s">
        <v>285</v>
      </c>
      <c r="C1281" s="3">
        <v>43354.490983796299</v>
      </c>
      <c r="D1281" s="5" t="s">
        <v>17</v>
      </c>
      <c r="E1281">
        <v>1</v>
      </c>
      <c r="F1281">
        <v>0</v>
      </c>
      <c r="G1281">
        <v>0</v>
      </c>
      <c r="I1281" t="s">
        <v>1317</v>
      </c>
      <c r="N1281">
        <v>0</v>
      </c>
      <c r="O1281">
        <v>0</v>
      </c>
      <c r="P1281">
        <v>1</v>
      </c>
      <c r="Q1281">
        <v>0</v>
      </c>
    </row>
    <row r="1282" spans="1:17" x14ac:dyDescent="0.2">
      <c r="A1282" s="1" t="str">
        <f>HYPERLINK("http://www.twitter.com/Ugo_Roux/status/1039409054777581568", "1039409054777581568")</f>
        <v>1039409054777581568</v>
      </c>
      <c r="B1282" t="s">
        <v>414</v>
      </c>
      <c r="C1282" s="3">
        <v>43354.294027777767</v>
      </c>
      <c r="D1282" s="5" t="s">
        <v>28</v>
      </c>
      <c r="E1282">
        <v>0</v>
      </c>
      <c r="F1282">
        <v>0</v>
      </c>
      <c r="G1282">
        <v>0</v>
      </c>
      <c r="I1282" t="s">
        <v>1318</v>
      </c>
      <c r="J1282" t="str">
        <f>HYPERLINK("http://pbs.twimg.com/media/Dmy4qbjXgAYEHvZ.jpg", "http://pbs.twimg.com/media/Dmy4qbjXgAYEHvZ.jpg")</f>
        <v>http://pbs.twimg.com/media/Dmy4qbjXgAYEHvZ.jpg</v>
      </c>
      <c r="N1282">
        <v>0</v>
      </c>
      <c r="O1282">
        <v>0</v>
      </c>
      <c r="P1282">
        <v>1</v>
      </c>
      <c r="Q1282">
        <v>0</v>
      </c>
    </row>
    <row r="1283" spans="1:17" x14ac:dyDescent="0.2">
      <c r="A1283" s="1" t="str">
        <f>HYPERLINK("http://www.twitter.com/Ugo_Roux/status/1039105311272042496", "1039105311272042496")</f>
        <v>1039105311272042496</v>
      </c>
      <c r="B1283" t="s">
        <v>142</v>
      </c>
      <c r="C1283" s="3">
        <v>43353.45585648148</v>
      </c>
      <c r="D1283" s="5" t="s">
        <v>17</v>
      </c>
      <c r="E1283">
        <v>4</v>
      </c>
      <c r="F1283">
        <v>1</v>
      </c>
      <c r="G1283">
        <v>0</v>
      </c>
      <c r="I1283" t="s">
        <v>1319</v>
      </c>
      <c r="J1283" t="str">
        <f>HYPERLINK("http://pbs.twimg.com/media/DmukwGuXsAATGUZ.jpg", "http://pbs.twimg.com/media/DmukwGuXsAATGUZ.jpg")</f>
        <v>http://pbs.twimg.com/media/DmukwGuXsAATGUZ.jpg</v>
      </c>
      <c r="N1283">
        <v>0</v>
      </c>
      <c r="O1283">
        <v>0</v>
      </c>
      <c r="P1283">
        <v>1</v>
      </c>
      <c r="Q1283">
        <v>0</v>
      </c>
    </row>
    <row r="1284" spans="1:17" x14ac:dyDescent="0.2">
      <c r="A1284" s="1" t="str">
        <f>HYPERLINK("http://www.twitter.com/Ugo_Roux/status/1038356094064766976", "1038356094064766976")</f>
        <v>1038356094064766976</v>
      </c>
      <c r="B1284" t="s">
        <v>414</v>
      </c>
      <c r="C1284" s="3">
        <v>43351.388414351852</v>
      </c>
      <c r="D1284" s="5" t="s">
        <v>28</v>
      </c>
      <c r="E1284">
        <v>0</v>
      </c>
      <c r="F1284">
        <v>0</v>
      </c>
      <c r="G1284">
        <v>0</v>
      </c>
      <c r="I1284" t="s">
        <v>1320</v>
      </c>
      <c r="N1284">
        <v>0</v>
      </c>
      <c r="O1284">
        <v>0</v>
      </c>
      <c r="P1284">
        <v>1</v>
      </c>
      <c r="Q1284">
        <v>0</v>
      </c>
    </row>
    <row r="1285" spans="1:17" x14ac:dyDescent="0.2">
      <c r="A1285" s="1" t="str">
        <f>HYPERLINK("http://www.twitter.com/Ugo_Roux/status/1038039756360298497", "1038039756360298497")</f>
        <v>1038039756360298497</v>
      </c>
      <c r="B1285" t="s">
        <v>414</v>
      </c>
      <c r="C1285" s="3">
        <v>43350.515486111108</v>
      </c>
      <c r="D1285" s="5" t="s">
        <v>28</v>
      </c>
      <c r="E1285">
        <v>0</v>
      </c>
      <c r="F1285">
        <v>0</v>
      </c>
      <c r="G1285">
        <v>0</v>
      </c>
      <c r="I1285" t="s">
        <v>1321</v>
      </c>
      <c r="J1285" t="str">
        <f>HYPERLINK("http://pbs.twimg.com/media/DmfbmqYW4AA5V4o.jpg", "http://pbs.twimg.com/media/DmfbmqYW4AA5V4o.jpg")</f>
        <v>http://pbs.twimg.com/media/DmfbmqYW4AA5V4o.jpg</v>
      </c>
      <c r="N1285">
        <v>0</v>
      </c>
      <c r="O1285">
        <v>0</v>
      </c>
      <c r="P1285">
        <v>1</v>
      </c>
      <c r="Q1285">
        <v>0</v>
      </c>
    </row>
    <row r="1286" spans="1:17" x14ac:dyDescent="0.2">
      <c r="A1286" s="1" t="str">
        <f>HYPERLINK("http://www.twitter.com/Ugo_Roux/status/1037973876150546432", "1037973876150546432")</f>
        <v>1037973876150546432</v>
      </c>
      <c r="B1286" t="s">
        <v>476</v>
      </c>
      <c r="C1286" s="3">
        <v>43350.333692129629</v>
      </c>
      <c r="D1286" s="5" t="s">
        <v>28</v>
      </c>
      <c r="E1286">
        <v>0</v>
      </c>
      <c r="F1286">
        <v>0</v>
      </c>
      <c r="G1286">
        <v>0</v>
      </c>
      <c r="I1286" t="s">
        <v>1322</v>
      </c>
      <c r="J1286" t="str">
        <f>HYPERLINK("http://pbs.twimg.com/media/DmefjT-WwAAu0nX.jpg", "http://pbs.twimg.com/media/DmefjT-WwAAu0nX.jpg")</f>
        <v>http://pbs.twimg.com/media/DmefjT-WwAAu0nX.jpg</v>
      </c>
      <c r="N1286">
        <v>0</v>
      </c>
      <c r="O1286">
        <v>0</v>
      </c>
      <c r="P1286">
        <v>1</v>
      </c>
      <c r="Q1286">
        <v>0</v>
      </c>
    </row>
    <row r="1287" spans="1:17" x14ac:dyDescent="0.2">
      <c r="A1287" s="1" t="str">
        <f>HYPERLINK("http://www.twitter.com/Ugo_Roux/status/1037587236919930880", "1037587236919930880")</f>
        <v>1037587236919930880</v>
      </c>
      <c r="B1287" t="s">
        <v>285</v>
      </c>
      <c r="C1287" s="3">
        <v>43349.266770833332</v>
      </c>
      <c r="D1287" s="5" t="s">
        <v>17</v>
      </c>
      <c r="E1287">
        <v>1</v>
      </c>
      <c r="F1287">
        <v>0</v>
      </c>
      <c r="G1287">
        <v>0</v>
      </c>
      <c r="I1287" t="s">
        <v>1323</v>
      </c>
      <c r="J1287" t="str">
        <f>HYPERLINK("http://pbs.twimg.com/media/DmZADE3WsAAbemu.jpg", "http://pbs.twimg.com/media/DmZADE3WsAAbemu.jpg")</f>
        <v>http://pbs.twimg.com/media/DmZADE3WsAAbemu.jpg</v>
      </c>
      <c r="N1287">
        <v>0.45879999999999999</v>
      </c>
      <c r="O1287">
        <v>0</v>
      </c>
      <c r="P1287">
        <v>0.8</v>
      </c>
      <c r="Q1287">
        <v>0.2</v>
      </c>
    </row>
    <row r="1288" spans="1:17" x14ac:dyDescent="0.2">
      <c r="A1288" s="1" t="str">
        <f>HYPERLINK("http://www.twitter.com/Ugo_Roux/status/1037219065000067074", "1037219065000067074")</f>
        <v>1037219065000067074</v>
      </c>
      <c r="B1288" t="s">
        <v>142</v>
      </c>
      <c r="C1288" s="3">
        <v>43348.250810185193</v>
      </c>
      <c r="D1288" s="5" t="s">
        <v>625</v>
      </c>
      <c r="E1288">
        <v>2</v>
      </c>
      <c r="F1288">
        <v>1</v>
      </c>
      <c r="G1288">
        <v>0</v>
      </c>
      <c r="I1288" t="s">
        <v>1324</v>
      </c>
      <c r="N1288">
        <v>-0.20030000000000001</v>
      </c>
      <c r="O1288">
        <v>4.4999999999999998E-2</v>
      </c>
      <c r="P1288">
        <v>0.95499999999999996</v>
      </c>
      <c r="Q1288">
        <v>0</v>
      </c>
    </row>
    <row r="1289" spans="1:17" x14ac:dyDescent="0.2">
      <c r="A1289" s="1" t="str">
        <f>HYPERLINK("http://www.twitter.com/Ugo_Roux/status/1036904701810409472", "1036904701810409472")</f>
        <v>1036904701810409472</v>
      </c>
      <c r="B1289" t="s">
        <v>414</v>
      </c>
      <c r="C1289" s="3">
        <v>43347.383333333331</v>
      </c>
      <c r="D1289" s="5" t="s">
        <v>28</v>
      </c>
      <c r="E1289">
        <v>0</v>
      </c>
      <c r="F1289">
        <v>0</v>
      </c>
      <c r="G1289">
        <v>0</v>
      </c>
      <c r="I1289" t="s">
        <v>1325</v>
      </c>
      <c r="J1289" t="str">
        <f>HYPERLINK("http://pbs.twimg.com/media/DmPTFNRW0AIaRp2.jpg", "http://pbs.twimg.com/media/DmPTFNRW0AIaRp2.jpg")</f>
        <v>http://pbs.twimg.com/media/DmPTFNRW0AIaRp2.jpg</v>
      </c>
      <c r="N1289">
        <v>0</v>
      </c>
      <c r="O1289">
        <v>0</v>
      </c>
      <c r="P1289">
        <v>1</v>
      </c>
      <c r="Q1289">
        <v>0</v>
      </c>
    </row>
    <row r="1290" spans="1:17" x14ac:dyDescent="0.2">
      <c r="A1290" s="1" t="str">
        <f>HYPERLINK("http://www.twitter.com/Ugo_Roux/status/1036886866258210817", "1036886866258210817")</f>
        <v>1036886866258210817</v>
      </c>
      <c r="B1290" t="s">
        <v>414</v>
      </c>
      <c r="C1290" s="3">
        <v>43347.334108796298</v>
      </c>
      <c r="D1290" s="5" t="s">
        <v>28</v>
      </c>
      <c r="E1290">
        <v>0</v>
      </c>
      <c r="F1290">
        <v>0</v>
      </c>
      <c r="G1290">
        <v>0</v>
      </c>
      <c r="I1290" t="s">
        <v>1326</v>
      </c>
      <c r="J1290" t="str">
        <f>HYPERLINK("http://pbs.twimg.com/media/DmPDEZ_W0AEv3h6.jpg", "http://pbs.twimg.com/media/DmPDEZ_W0AEv3h6.jpg")</f>
        <v>http://pbs.twimg.com/media/DmPDEZ_W0AEv3h6.jpg</v>
      </c>
      <c r="N1290">
        <v>0</v>
      </c>
      <c r="O1290">
        <v>0</v>
      </c>
      <c r="P1290">
        <v>1</v>
      </c>
      <c r="Q1290">
        <v>0</v>
      </c>
    </row>
    <row r="1291" spans="1:17" x14ac:dyDescent="0.2">
      <c r="A1291" s="1" t="str">
        <f>HYPERLINK("http://www.twitter.com/Ugo_Roux/status/1036865015851241473", "1036865015851241473")</f>
        <v>1036865015851241473</v>
      </c>
      <c r="B1291" t="s">
        <v>285</v>
      </c>
      <c r="C1291" s="3">
        <v>43347.273819444446</v>
      </c>
      <c r="D1291" s="5" t="s">
        <v>17</v>
      </c>
      <c r="E1291">
        <v>6</v>
      </c>
      <c r="F1291">
        <v>1</v>
      </c>
      <c r="G1291">
        <v>0</v>
      </c>
      <c r="I1291" t="s">
        <v>1327</v>
      </c>
      <c r="J1291" t="str">
        <f>HYPERLINK("http://pbs.twimg.com/media/DmOvIVAX4AEM5sq.jpg", "http://pbs.twimg.com/media/DmOvIVAX4AEM5sq.jpg")</f>
        <v>http://pbs.twimg.com/media/DmOvIVAX4AEM5sq.jpg</v>
      </c>
      <c r="N1291">
        <v>0</v>
      </c>
      <c r="O1291">
        <v>0</v>
      </c>
      <c r="P1291">
        <v>1</v>
      </c>
      <c r="Q1291">
        <v>0</v>
      </c>
    </row>
    <row r="1292" spans="1:17" x14ac:dyDescent="0.2">
      <c r="A1292" s="1" t="str">
        <f>HYPERLINK("http://www.twitter.com/Ugo_Roux/status/1036549662621294593", "1036549662621294593")</f>
        <v>1036549662621294593</v>
      </c>
      <c r="B1292" t="s">
        <v>471</v>
      </c>
      <c r="C1292" s="3">
        <v>43346.403611111113</v>
      </c>
      <c r="D1292" s="3" t="s">
        <v>28</v>
      </c>
      <c r="E1292">
        <v>1</v>
      </c>
      <c r="F1292">
        <v>0</v>
      </c>
      <c r="G1292">
        <v>0</v>
      </c>
      <c r="I1292" t="s">
        <v>1328</v>
      </c>
      <c r="J1292" t="str">
        <f>HYPERLINK("http://pbs.twimg.com/media/DmKQYk9W0AInTko.jpg", "http://pbs.twimg.com/media/DmKQYk9W0AInTko.jpg")</f>
        <v>http://pbs.twimg.com/media/DmKQYk9W0AInTko.jpg</v>
      </c>
      <c r="N1292">
        <v>0</v>
      </c>
      <c r="O1292">
        <v>0</v>
      </c>
      <c r="P1292">
        <v>1</v>
      </c>
      <c r="Q1292">
        <v>0</v>
      </c>
    </row>
    <row r="1293" spans="1:17" x14ac:dyDescent="0.2">
      <c r="A1293" s="1" t="str">
        <f>HYPERLINK("http://www.twitter.com/Ugo_Roux/status/1036503971035336704", "1036503971035336704")</f>
        <v>1036503971035336704</v>
      </c>
      <c r="B1293" t="s">
        <v>142</v>
      </c>
      <c r="C1293" s="3">
        <v>43346.27752314815</v>
      </c>
      <c r="D1293" s="5" t="s">
        <v>41</v>
      </c>
      <c r="E1293">
        <v>8</v>
      </c>
      <c r="F1293">
        <v>7</v>
      </c>
      <c r="G1293">
        <v>0</v>
      </c>
      <c r="I1293" t="s">
        <v>1329</v>
      </c>
      <c r="N1293">
        <v>0</v>
      </c>
      <c r="O1293">
        <v>0</v>
      </c>
      <c r="P1293">
        <v>1</v>
      </c>
      <c r="Q1293">
        <v>0</v>
      </c>
    </row>
    <row r="1294" spans="1:17" x14ac:dyDescent="0.2">
      <c r="A1294" s="1" t="str">
        <f>HYPERLINK("http://www.twitter.com/Ugo_Roux/status/1036146513930579970", "1036146513930579970")</f>
        <v>1036146513930579970</v>
      </c>
      <c r="B1294" t="s">
        <v>142</v>
      </c>
      <c r="C1294" s="3">
        <v>43345.291134259263</v>
      </c>
      <c r="D1294" s="5" t="s">
        <v>17</v>
      </c>
      <c r="E1294">
        <v>1</v>
      </c>
      <c r="F1294">
        <v>1</v>
      </c>
      <c r="G1294">
        <v>0</v>
      </c>
      <c r="I1294" t="s">
        <v>1330</v>
      </c>
      <c r="J1294" t="str">
        <f>HYPERLINK("http://pbs.twimg.com/media/DmEhwJdW0AAsB_b.jpg", "http://pbs.twimg.com/media/DmEhwJdW0AAsB_b.jpg")</f>
        <v>http://pbs.twimg.com/media/DmEhwJdW0AAsB_b.jpg</v>
      </c>
      <c r="N1294">
        <v>0.49390000000000001</v>
      </c>
      <c r="O1294">
        <v>0</v>
      </c>
      <c r="P1294">
        <v>0.873</v>
      </c>
      <c r="Q1294">
        <v>0.127</v>
      </c>
    </row>
    <row r="1295" spans="1:17" x14ac:dyDescent="0.2">
      <c r="A1295" s="1" t="str">
        <f>HYPERLINK("http://www.twitter.com/Ugo_Roux/status/1035794361265598464", "1035794361265598464")</f>
        <v>1035794361265598464</v>
      </c>
      <c r="B1295" t="s">
        <v>414</v>
      </c>
      <c r="C1295" s="3">
        <v>43344.319374999999</v>
      </c>
      <c r="D1295" s="5" t="s">
        <v>28</v>
      </c>
      <c r="E1295">
        <v>0</v>
      </c>
      <c r="F1295">
        <v>0</v>
      </c>
      <c r="G1295">
        <v>0</v>
      </c>
      <c r="I1295" t="s">
        <v>1331</v>
      </c>
      <c r="N1295">
        <v>0</v>
      </c>
      <c r="O1295">
        <v>0</v>
      </c>
      <c r="P1295">
        <v>1</v>
      </c>
      <c r="Q1295">
        <v>0</v>
      </c>
    </row>
    <row r="1296" spans="1:17" x14ac:dyDescent="0.2">
      <c r="A1296" s="1" t="str">
        <f>HYPERLINK("http://www.twitter.com/Ugo_Roux/status/1035176343942717441", "1035176343942717441")</f>
        <v>1035176343942717441</v>
      </c>
      <c r="B1296" t="s">
        <v>142</v>
      </c>
      <c r="C1296" s="3">
        <v>43342.613969907397</v>
      </c>
      <c r="D1296" s="5" t="s">
        <v>28</v>
      </c>
      <c r="E1296">
        <v>4</v>
      </c>
      <c r="F1296">
        <v>3</v>
      </c>
      <c r="G1296">
        <v>0</v>
      </c>
      <c r="I1296" t="s">
        <v>1332</v>
      </c>
      <c r="N1296">
        <v>-0.3382</v>
      </c>
      <c r="O1296">
        <v>0.374</v>
      </c>
      <c r="P1296">
        <v>0.626</v>
      </c>
      <c r="Q1296">
        <v>0</v>
      </c>
    </row>
    <row r="1297" spans="1:17" x14ac:dyDescent="0.2">
      <c r="A1297" s="1" t="str">
        <f>HYPERLINK("http://www.twitter.com/Ugo_Roux/status/1034462418469093379", "1034462418469093379")</f>
        <v>1034462418469093379</v>
      </c>
      <c r="B1297" t="s">
        <v>471</v>
      </c>
      <c r="C1297" s="3">
        <v>43340.643912037027</v>
      </c>
      <c r="D1297" s="3" t="s">
        <v>24</v>
      </c>
      <c r="E1297">
        <v>0</v>
      </c>
      <c r="F1297">
        <v>0</v>
      </c>
      <c r="G1297">
        <v>1</v>
      </c>
      <c r="I1297" t="s">
        <v>1333</v>
      </c>
      <c r="J1297" t="str">
        <f>HYPERLINK("http://pbs.twimg.com/media/DlsmEr0XgAUzDft.jpg", "http://pbs.twimg.com/media/DlsmEr0XgAUzDft.jpg")</f>
        <v>http://pbs.twimg.com/media/DlsmEr0XgAUzDft.jpg</v>
      </c>
      <c r="N1297">
        <v>0</v>
      </c>
      <c r="O1297">
        <v>0</v>
      </c>
      <c r="P1297">
        <v>1</v>
      </c>
      <c r="Q1297">
        <v>0</v>
      </c>
    </row>
    <row r="1298" spans="1:17" x14ac:dyDescent="0.2">
      <c r="A1298" s="1" t="str">
        <f>HYPERLINK("http://www.twitter.com/Ugo_Roux/status/1034325666706214913", "1034325666706214913")</f>
        <v>1034325666706214913</v>
      </c>
      <c r="B1298" t="s">
        <v>285</v>
      </c>
      <c r="C1298" s="3">
        <v>43340.266550925917</v>
      </c>
      <c r="D1298" s="5" t="s">
        <v>17</v>
      </c>
      <c r="E1298">
        <v>3</v>
      </c>
      <c r="F1298">
        <v>2</v>
      </c>
      <c r="G1298">
        <v>0</v>
      </c>
      <c r="I1298" t="s">
        <v>1334</v>
      </c>
      <c r="J1298" t="str">
        <f>HYPERLINK("http://pbs.twimg.com/media/DlqppHoXcAAGvWc.jpg", "http://pbs.twimg.com/media/DlqppHoXcAAGvWc.jpg")</f>
        <v>http://pbs.twimg.com/media/DlqppHoXcAAGvWc.jpg</v>
      </c>
      <c r="N1298">
        <v>0</v>
      </c>
      <c r="O1298">
        <v>0</v>
      </c>
      <c r="P1298">
        <v>1</v>
      </c>
      <c r="Q1298">
        <v>0</v>
      </c>
    </row>
    <row r="1299" spans="1:17" x14ac:dyDescent="0.2">
      <c r="A1299" s="1" t="str">
        <f>HYPERLINK("http://www.twitter.com/Ugo_Roux/status/1034324824255021056", "1034324824255021056")</f>
        <v>1034324824255021056</v>
      </c>
      <c r="B1299" t="s">
        <v>285</v>
      </c>
      <c r="C1299" s="3">
        <v>43340.264224537037</v>
      </c>
      <c r="D1299" s="5" t="s">
        <v>17</v>
      </c>
      <c r="E1299">
        <v>1</v>
      </c>
      <c r="F1299">
        <v>0</v>
      </c>
      <c r="G1299">
        <v>0</v>
      </c>
      <c r="I1299" t="s">
        <v>1335</v>
      </c>
      <c r="N1299">
        <v>0</v>
      </c>
      <c r="O1299">
        <v>0</v>
      </c>
      <c r="P1299">
        <v>1</v>
      </c>
      <c r="Q1299">
        <v>0</v>
      </c>
    </row>
    <row r="1300" spans="1:17" x14ac:dyDescent="0.2">
      <c r="A1300" s="1" t="str">
        <f>HYPERLINK("http://www.twitter.com/Ugo_Roux/status/1033675912045309952", "1033675912045309952")</f>
        <v>1033675912045309952</v>
      </c>
      <c r="B1300" t="s">
        <v>142</v>
      </c>
      <c r="C1300" s="3">
        <v>43338.473564814813</v>
      </c>
      <c r="D1300" s="5" t="s">
        <v>24</v>
      </c>
      <c r="E1300">
        <v>2</v>
      </c>
      <c r="F1300">
        <v>0</v>
      </c>
      <c r="G1300">
        <v>0</v>
      </c>
      <c r="I1300" t="s">
        <v>1336</v>
      </c>
      <c r="J1300" t="str">
        <f>HYPERLINK("http://pbs.twimg.com/media/DlhavL2XcAENfc1.jpg", "http://pbs.twimg.com/media/DlhavL2XcAENfc1.jpg")</f>
        <v>http://pbs.twimg.com/media/DlhavL2XcAENfc1.jpg</v>
      </c>
      <c r="N1300">
        <v>0</v>
      </c>
      <c r="O1300">
        <v>0</v>
      </c>
      <c r="P1300">
        <v>1</v>
      </c>
      <c r="Q1300">
        <v>0</v>
      </c>
    </row>
    <row r="1301" spans="1:17" x14ac:dyDescent="0.2">
      <c r="A1301" s="1" t="str">
        <f>HYPERLINK("http://www.twitter.com/Ugo_Roux/status/1033336505572438022", "1033336505572438022")</f>
        <v>1033336505572438022</v>
      </c>
      <c r="B1301" t="s">
        <v>16</v>
      </c>
      <c r="C1301" s="3">
        <v>43337.536990740737</v>
      </c>
      <c r="D1301" s="3" t="s">
        <v>41</v>
      </c>
      <c r="E1301">
        <v>19</v>
      </c>
      <c r="F1301">
        <v>7</v>
      </c>
      <c r="G1301">
        <v>1</v>
      </c>
      <c r="I1301" t="s">
        <v>1337</v>
      </c>
      <c r="J1301" t="str">
        <f>HYPERLINK("http://pbs.twimg.com/media/DlcmECeW4AA3Kah.jpg", "http://pbs.twimg.com/media/DlcmECeW4AA3Kah.jpg")</f>
        <v>http://pbs.twimg.com/media/DlcmECeW4AA3Kah.jpg</v>
      </c>
      <c r="N1301">
        <v>0</v>
      </c>
      <c r="O1301">
        <v>0</v>
      </c>
      <c r="P1301">
        <v>1</v>
      </c>
      <c r="Q1301">
        <v>0</v>
      </c>
    </row>
    <row r="1302" spans="1:17" x14ac:dyDescent="0.2">
      <c r="A1302" s="1" t="str">
        <f>HYPERLINK("http://www.twitter.com/Ugo_Roux/status/1033262424835678209", "1033262424835678209")</f>
        <v>1033262424835678209</v>
      </c>
      <c r="B1302" t="s">
        <v>16</v>
      </c>
      <c r="C1302" s="3">
        <v>43337.332557870373</v>
      </c>
      <c r="D1302" s="3" t="s">
        <v>17</v>
      </c>
      <c r="E1302">
        <v>2</v>
      </c>
      <c r="F1302">
        <v>0</v>
      </c>
      <c r="G1302">
        <v>0</v>
      </c>
      <c r="I1302" t="s">
        <v>1338</v>
      </c>
      <c r="N1302">
        <v>0</v>
      </c>
      <c r="O1302">
        <v>0</v>
      </c>
      <c r="P1302">
        <v>1</v>
      </c>
      <c r="Q1302">
        <v>0</v>
      </c>
    </row>
    <row r="1303" spans="1:17" x14ac:dyDescent="0.2">
      <c r="A1303" s="1" t="str">
        <f>HYPERLINK("http://www.twitter.com/Ugo_Roux/status/1032974216797282304", "1032974216797282304")</f>
        <v>1032974216797282304</v>
      </c>
      <c r="B1303" t="s">
        <v>414</v>
      </c>
      <c r="C1303" s="3">
        <v>43336.537256944437</v>
      </c>
      <c r="D1303" s="5" t="s">
        <v>24</v>
      </c>
      <c r="E1303">
        <v>0</v>
      </c>
      <c r="F1303">
        <v>0</v>
      </c>
      <c r="G1303">
        <v>0</v>
      </c>
      <c r="I1303" t="s">
        <v>1339</v>
      </c>
      <c r="J1303" t="str">
        <f>HYPERLINK("http://pbs.twimg.com/media/DlXcd3AW4AAvfOf.jpg", "http://pbs.twimg.com/media/DlXcd3AW4AAvfOf.jpg")</f>
        <v>http://pbs.twimg.com/media/DlXcd3AW4AAvfOf.jpg</v>
      </c>
      <c r="N1303">
        <v>0</v>
      </c>
      <c r="O1303">
        <v>0</v>
      </c>
      <c r="P1303">
        <v>1</v>
      </c>
      <c r="Q1303">
        <v>0</v>
      </c>
    </row>
    <row r="1304" spans="1:17" x14ac:dyDescent="0.2">
      <c r="A1304" s="1" t="str">
        <f>HYPERLINK("http://www.twitter.com/Ugo_Roux/status/1032639977379774466", "1032639977379774466")</f>
        <v>1032639977379774466</v>
      </c>
      <c r="B1304" t="s">
        <v>414</v>
      </c>
      <c r="C1304" s="3">
        <v>43335.614930555559</v>
      </c>
      <c r="D1304" s="5" t="s">
        <v>24</v>
      </c>
      <c r="E1304">
        <v>0</v>
      </c>
      <c r="F1304">
        <v>0</v>
      </c>
      <c r="G1304">
        <v>0</v>
      </c>
      <c r="I1304" t="s">
        <v>1340</v>
      </c>
      <c r="J1304" t="str">
        <f>HYPERLINK("http://pbs.twimg.com/media/DlSr-TAXsAAwd39.jpg", "http://pbs.twimg.com/media/DlSr-TAXsAAwd39.jpg")</f>
        <v>http://pbs.twimg.com/media/DlSr-TAXsAAwd39.jpg</v>
      </c>
      <c r="N1304">
        <v>0</v>
      </c>
      <c r="O1304">
        <v>0</v>
      </c>
      <c r="P1304">
        <v>1</v>
      </c>
      <c r="Q1304">
        <v>0</v>
      </c>
    </row>
    <row r="1305" spans="1:17" x14ac:dyDescent="0.2">
      <c r="A1305" s="1" t="str">
        <f>HYPERLINK("http://www.twitter.com/Ugo_Roux/status/1032558516177920001", "1032558516177920001")</f>
        <v>1032558516177920001</v>
      </c>
      <c r="B1305" t="s">
        <v>130</v>
      </c>
      <c r="C1305" s="3">
        <v>43335.390138888892</v>
      </c>
      <c r="D1305" s="5" t="s">
        <v>28</v>
      </c>
      <c r="E1305">
        <v>0</v>
      </c>
      <c r="F1305">
        <v>1</v>
      </c>
      <c r="G1305">
        <v>0</v>
      </c>
      <c r="I1305" t="s">
        <v>1341</v>
      </c>
      <c r="N1305">
        <v>0</v>
      </c>
      <c r="O1305">
        <v>0</v>
      </c>
      <c r="P1305">
        <v>1</v>
      </c>
      <c r="Q1305">
        <v>0</v>
      </c>
    </row>
    <row r="1306" spans="1:17" x14ac:dyDescent="0.2">
      <c r="A1306" s="1" t="str">
        <f>HYPERLINK("http://www.twitter.com/Ugo_Roux/status/1031798526693584896", "1031798526693584896")</f>
        <v>1031798526693584896</v>
      </c>
      <c r="B1306" t="s">
        <v>97</v>
      </c>
      <c r="C1306" s="3">
        <v>43333.292974537027</v>
      </c>
      <c r="D1306" s="5" t="s">
        <v>17</v>
      </c>
      <c r="E1306">
        <v>0</v>
      </c>
      <c r="F1306">
        <v>1</v>
      </c>
      <c r="G1306">
        <v>0</v>
      </c>
      <c r="I1306" t="s">
        <v>1342</v>
      </c>
      <c r="J1306" t="str">
        <f>HYPERLINK("http://pbs.twimg.com/media/DlGvSn_UcAAn5b7.png", "http://pbs.twimg.com/media/DlGvSn_UcAAn5b7.png")</f>
        <v>http://pbs.twimg.com/media/DlGvSn_UcAAn5b7.png</v>
      </c>
      <c r="N1306">
        <v>0</v>
      </c>
      <c r="O1306">
        <v>0</v>
      </c>
      <c r="P1306">
        <v>1</v>
      </c>
      <c r="Q1306">
        <v>0</v>
      </c>
    </row>
    <row r="1307" spans="1:17" x14ac:dyDescent="0.2">
      <c r="A1307" s="1" t="str">
        <f>HYPERLINK("http://www.twitter.com/Ugo_Roux/status/1031521699144105984", "1031521699144105984")</f>
        <v>1031521699144105984</v>
      </c>
      <c r="B1307" t="s">
        <v>142</v>
      </c>
      <c r="C1307" s="3">
        <v>43332.529074074067</v>
      </c>
      <c r="D1307" s="5" t="s">
        <v>17</v>
      </c>
      <c r="E1307">
        <v>1</v>
      </c>
      <c r="F1307">
        <v>0</v>
      </c>
      <c r="G1307">
        <v>0</v>
      </c>
      <c r="I1307" t="s">
        <v>1343</v>
      </c>
      <c r="J1307" t="str">
        <f>HYPERLINK("http://pbs.twimg.com/media/DlCzg65W4AEn5jp.jpg", "http://pbs.twimg.com/media/DlCzg65W4AEn5jp.jpg")</f>
        <v>http://pbs.twimg.com/media/DlCzg65W4AEn5jp.jpg</v>
      </c>
      <c r="N1307">
        <v>0</v>
      </c>
      <c r="O1307">
        <v>0</v>
      </c>
      <c r="P1307">
        <v>1</v>
      </c>
      <c r="Q1307">
        <v>0</v>
      </c>
    </row>
    <row r="1308" spans="1:17" x14ac:dyDescent="0.2">
      <c r="A1308" s="1" t="str">
        <f>HYPERLINK("http://www.twitter.com/Ugo_Roux/status/1030424776689430529", "1030424776689430529")</f>
        <v>1030424776689430529</v>
      </c>
      <c r="B1308" t="s">
        <v>414</v>
      </c>
      <c r="C1308" s="3">
        <v>43329.502141203702</v>
      </c>
      <c r="D1308" s="5" t="s">
        <v>24</v>
      </c>
      <c r="E1308">
        <v>1</v>
      </c>
      <c r="F1308">
        <v>0</v>
      </c>
      <c r="G1308">
        <v>0</v>
      </c>
      <c r="I1308" t="s">
        <v>1344</v>
      </c>
      <c r="J1308" t="str">
        <f>HYPERLINK("http://pbs.twimg.com/media/DkzNZdgW0AASFmE.jpg", "http://pbs.twimg.com/media/DkzNZdgW0AASFmE.jpg")</f>
        <v>http://pbs.twimg.com/media/DkzNZdgW0AASFmE.jpg</v>
      </c>
      <c r="N1308">
        <v>0.85880000000000001</v>
      </c>
      <c r="O1308">
        <v>0</v>
      </c>
      <c r="P1308">
        <v>0.64200000000000002</v>
      </c>
      <c r="Q1308">
        <v>0.35799999999999998</v>
      </c>
    </row>
    <row r="1309" spans="1:17" x14ac:dyDescent="0.2">
      <c r="A1309" s="1" t="str">
        <f>HYPERLINK("http://www.twitter.com/Ugo_Roux/status/1030075395318669312", "1030075395318669312")</f>
        <v>1030075395318669312</v>
      </c>
      <c r="B1309" t="s">
        <v>142</v>
      </c>
      <c r="C1309" s="3">
        <v>43328.538032407407</v>
      </c>
      <c r="D1309" s="5" t="s">
        <v>17</v>
      </c>
      <c r="E1309">
        <v>1</v>
      </c>
      <c r="F1309">
        <v>2</v>
      </c>
      <c r="G1309">
        <v>0</v>
      </c>
      <c r="I1309" t="s">
        <v>1345</v>
      </c>
      <c r="J1309" t="str">
        <f>HYPERLINK("http://pbs.twimg.com/media/DkuQGxFWsAMrCLw.jpg", "http://pbs.twimg.com/media/DkuQGxFWsAMrCLw.jpg")</f>
        <v>http://pbs.twimg.com/media/DkuQGxFWsAMrCLw.jpg</v>
      </c>
      <c r="N1309">
        <v>0</v>
      </c>
      <c r="O1309">
        <v>0</v>
      </c>
      <c r="P1309">
        <v>1</v>
      </c>
      <c r="Q1309">
        <v>0</v>
      </c>
    </row>
    <row r="1310" spans="1:17" x14ac:dyDescent="0.2">
      <c r="A1310" s="1" t="str">
        <f>HYPERLINK("http://www.twitter.com/Ugo_Roux/status/1030062702239129605", "1030062702239129605")</f>
        <v>1030062702239129605</v>
      </c>
      <c r="B1310" t="s">
        <v>206</v>
      </c>
      <c r="C1310" s="3">
        <v>43328.503009259257</v>
      </c>
      <c r="D1310" s="5" t="s">
        <v>17</v>
      </c>
      <c r="E1310">
        <v>3</v>
      </c>
      <c r="F1310">
        <v>0</v>
      </c>
      <c r="G1310">
        <v>0</v>
      </c>
      <c r="I1310" t="s">
        <v>1346</v>
      </c>
      <c r="J1310" t="str">
        <f>HYPERLINK("http://pbs.twimg.com/media/DkuEjOoWwAATs1w.jpg", "http://pbs.twimg.com/media/DkuEjOoWwAATs1w.jpg")</f>
        <v>http://pbs.twimg.com/media/DkuEjOoWwAATs1w.jpg</v>
      </c>
      <c r="N1310">
        <v>0</v>
      </c>
      <c r="O1310">
        <v>0</v>
      </c>
      <c r="P1310">
        <v>1</v>
      </c>
      <c r="Q1310">
        <v>0</v>
      </c>
    </row>
    <row r="1311" spans="1:17" x14ac:dyDescent="0.2">
      <c r="A1311" s="1" t="str">
        <f>HYPERLINK("http://www.twitter.com/Ugo_Roux/status/1029296803009716224", "1029296803009716224")</f>
        <v>1029296803009716224</v>
      </c>
      <c r="B1311" t="s">
        <v>142</v>
      </c>
      <c r="C1311" s="3">
        <v>43326.389525462961</v>
      </c>
      <c r="D1311" s="5" t="s">
        <v>17</v>
      </c>
      <c r="E1311">
        <v>0</v>
      </c>
      <c r="F1311">
        <v>0</v>
      </c>
      <c r="G1311">
        <v>0</v>
      </c>
      <c r="I1311" t="s">
        <v>1347</v>
      </c>
      <c r="N1311">
        <v>0</v>
      </c>
      <c r="O1311">
        <v>0</v>
      </c>
      <c r="P1311">
        <v>1</v>
      </c>
      <c r="Q1311">
        <v>0</v>
      </c>
    </row>
    <row r="1312" spans="1:17" x14ac:dyDescent="0.2">
      <c r="A1312" s="1" t="str">
        <f>HYPERLINK("http://www.twitter.com/Ugo_Roux/status/1029282323483770885", "1029282323483770885")</f>
        <v>1029282323483770885</v>
      </c>
      <c r="B1312" t="s">
        <v>16</v>
      </c>
      <c r="C1312" s="3">
        <v>43326.34957175926</v>
      </c>
      <c r="D1312" s="3" t="s">
        <v>41</v>
      </c>
      <c r="E1312">
        <v>0</v>
      </c>
      <c r="F1312">
        <v>0</v>
      </c>
      <c r="G1312">
        <v>0</v>
      </c>
      <c r="I1312" t="s">
        <v>1348</v>
      </c>
      <c r="N1312">
        <v>0</v>
      </c>
      <c r="O1312">
        <v>0</v>
      </c>
      <c r="P1312">
        <v>1</v>
      </c>
      <c r="Q1312">
        <v>0</v>
      </c>
    </row>
    <row r="1313" spans="1:17" x14ac:dyDescent="0.2">
      <c r="A1313" s="1" t="str">
        <f>HYPERLINK("http://www.twitter.com/Ugo_Roux/status/1029269625593384961", "1029269625593384961")</f>
        <v>1029269625593384961</v>
      </c>
      <c r="B1313" t="s">
        <v>16</v>
      </c>
      <c r="C1313" s="3">
        <v>43326.31453703704</v>
      </c>
      <c r="D1313" s="3" t="s">
        <v>17</v>
      </c>
      <c r="E1313">
        <v>4</v>
      </c>
      <c r="F1313">
        <v>6</v>
      </c>
      <c r="G1313">
        <v>1</v>
      </c>
      <c r="I1313" t="s">
        <v>1349</v>
      </c>
      <c r="N1313">
        <v>0</v>
      </c>
      <c r="O1313">
        <v>0</v>
      </c>
      <c r="P1313">
        <v>1</v>
      </c>
      <c r="Q1313">
        <v>0</v>
      </c>
    </row>
    <row r="1314" spans="1:17" x14ac:dyDescent="0.2">
      <c r="A1314" s="1" t="str">
        <f>HYPERLINK("http://www.twitter.com/Ugo_Roux/status/1027933590439510016", "1027933590439510016")</f>
        <v>1027933590439510016</v>
      </c>
      <c r="B1314" t="s">
        <v>16</v>
      </c>
      <c r="C1314" s="3">
        <v>43322.62777777778</v>
      </c>
      <c r="D1314" s="3" t="s">
        <v>17</v>
      </c>
      <c r="E1314">
        <v>3</v>
      </c>
      <c r="F1314">
        <v>1</v>
      </c>
      <c r="G1314">
        <v>0</v>
      </c>
      <c r="I1314" t="s">
        <v>1350</v>
      </c>
      <c r="J1314" t="str">
        <f>HYPERLINK("http://pbs.twimg.com/media/DkPvphZXcAIo2Im.jpg", "http://pbs.twimg.com/media/DkPvphZXcAIo2Im.jpg")</f>
        <v>http://pbs.twimg.com/media/DkPvphZXcAIo2Im.jpg</v>
      </c>
      <c r="N1314">
        <v>0</v>
      </c>
      <c r="O1314">
        <v>0</v>
      </c>
      <c r="P1314">
        <v>1</v>
      </c>
      <c r="Q1314">
        <v>0</v>
      </c>
    </row>
    <row r="1315" spans="1:17" x14ac:dyDescent="0.2">
      <c r="A1315" s="1" t="str">
        <f>HYPERLINK("http://www.twitter.com/Ugo_Roux/status/1027826321190264832", "1027826321190264832")</f>
        <v>1027826321190264832</v>
      </c>
      <c r="B1315" t="s">
        <v>47</v>
      </c>
      <c r="C1315" s="3">
        <v>43322.331770833327</v>
      </c>
      <c r="D1315" s="5" t="s">
        <v>28</v>
      </c>
      <c r="E1315">
        <v>3</v>
      </c>
      <c r="F1315">
        <v>0</v>
      </c>
      <c r="G1315">
        <v>0</v>
      </c>
      <c r="I1315" t="s">
        <v>1351</v>
      </c>
      <c r="N1315">
        <v>0</v>
      </c>
      <c r="O1315">
        <v>0</v>
      </c>
      <c r="P1315">
        <v>1</v>
      </c>
      <c r="Q1315">
        <v>0</v>
      </c>
    </row>
    <row r="1316" spans="1:17" x14ac:dyDescent="0.2">
      <c r="A1316" s="1" t="str">
        <f>HYPERLINK("http://www.twitter.com/Ugo_Roux/status/1027508160616181760", "1027508160616181760")</f>
        <v>1027508160616181760</v>
      </c>
      <c r="B1316" t="s">
        <v>142</v>
      </c>
      <c r="C1316" s="3">
        <v>43321.453819444447</v>
      </c>
      <c r="D1316" s="5" t="s">
        <v>17</v>
      </c>
      <c r="E1316">
        <v>0</v>
      </c>
      <c r="F1316">
        <v>1</v>
      </c>
      <c r="G1316">
        <v>0</v>
      </c>
      <c r="I1316" t="s">
        <v>1352</v>
      </c>
      <c r="N1316">
        <v>0</v>
      </c>
      <c r="O1316">
        <v>0</v>
      </c>
      <c r="P1316">
        <v>1</v>
      </c>
      <c r="Q1316">
        <v>0</v>
      </c>
    </row>
    <row r="1317" spans="1:17" x14ac:dyDescent="0.2">
      <c r="A1317" s="1" t="str">
        <f>HYPERLINK("http://www.twitter.com/Ugo_Roux/status/1027216280208777216", "1027216280208777216")</f>
        <v>1027216280208777216</v>
      </c>
      <c r="B1317" t="s">
        <v>206</v>
      </c>
      <c r="C1317" s="3">
        <v>43320.648379629631</v>
      </c>
      <c r="D1317" s="5" t="s">
        <v>17</v>
      </c>
      <c r="E1317">
        <v>12</v>
      </c>
      <c r="F1317">
        <v>2</v>
      </c>
      <c r="G1317">
        <v>0</v>
      </c>
      <c r="I1317" t="s">
        <v>1353</v>
      </c>
      <c r="J1317" t="str">
        <f>HYPERLINK("http://pbs.twimg.com/media/DkFnv-EXsAAm4EM.jpg", "http://pbs.twimg.com/media/DkFnv-EXsAAm4EM.jpg")</f>
        <v>http://pbs.twimg.com/media/DkFnv-EXsAAm4EM.jpg</v>
      </c>
      <c r="K1317" t="str">
        <f>HYPERLINK("http://pbs.twimg.com/media/DkFnv-RXcAAiMP-.jpg", "http://pbs.twimg.com/media/DkFnv-RXcAAiMP-.jpg")</f>
        <v>http://pbs.twimg.com/media/DkFnv-RXcAAiMP-.jpg</v>
      </c>
      <c r="L1317" t="str">
        <f>HYPERLINK("http://pbs.twimg.com/media/DkFnv-MW4AEoSBq.jpg", "http://pbs.twimg.com/media/DkFnv-MW4AEoSBq.jpg")</f>
        <v>http://pbs.twimg.com/media/DkFnv-MW4AEoSBq.jpg</v>
      </c>
      <c r="N1317">
        <v>0</v>
      </c>
      <c r="O1317">
        <v>0</v>
      </c>
      <c r="P1317">
        <v>1</v>
      </c>
      <c r="Q1317">
        <v>0</v>
      </c>
    </row>
    <row r="1318" spans="1:17" x14ac:dyDescent="0.2">
      <c r="A1318" s="1" t="str">
        <f>HYPERLINK("http://www.twitter.com/Ugo_Roux/status/1027116795621257216", "1027116795621257216")</f>
        <v>1027116795621257216</v>
      </c>
      <c r="B1318" t="s">
        <v>16</v>
      </c>
      <c r="C1318" s="3">
        <v>43320.373854166668</v>
      </c>
      <c r="D1318" s="3" t="s">
        <v>17</v>
      </c>
      <c r="E1318">
        <v>0</v>
      </c>
      <c r="F1318">
        <v>1</v>
      </c>
      <c r="G1318">
        <v>0</v>
      </c>
      <c r="I1318" t="s">
        <v>1354</v>
      </c>
      <c r="J1318" t="str">
        <f>HYPERLINK("http://pbs.twimg.com/media/DkENB-8XcAElRIK.jpg", "http://pbs.twimg.com/media/DkENB-8XcAElRIK.jpg")</f>
        <v>http://pbs.twimg.com/media/DkENB-8XcAElRIK.jpg</v>
      </c>
      <c r="N1318">
        <v>0</v>
      </c>
      <c r="O1318">
        <v>0</v>
      </c>
      <c r="P1318">
        <v>1</v>
      </c>
      <c r="Q1318">
        <v>0</v>
      </c>
    </row>
    <row r="1319" spans="1:17" x14ac:dyDescent="0.2">
      <c r="A1319" s="1" t="str">
        <f>HYPERLINK("http://www.twitter.com/Ugo_Roux/status/1027106529797976064", "1027106529797976064")</f>
        <v>1027106529797976064</v>
      </c>
      <c r="B1319" t="s">
        <v>16</v>
      </c>
      <c r="C1319" s="3">
        <v>43320.345532407409</v>
      </c>
      <c r="D1319" s="3" t="s">
        <v>17</v>
      </c>
      <c r="E1319">
        <v>7</v>
      </c>
      <c r="F1319">
        <v>3</v>
      </c>
      <c r="G1319">
        <v>0</v>
      </c>
      <c r="I1319" t="s">
        <v>1355</v>
      </c>
      <c r="J1319" t="str">
        <f>HYPERLINK("http://pbs.twimg.com/media/DkED5tbXoAEOA1b.jpg", "http://pbs.twimg.com/media/DkED5tbXoAEOA1b.jpg")</f>
        <v>http://pbs.twimg.com/media/DkED5tbXoAEOA1b.jpg</v>
      </c>
      <c r="N1319">
        <v>0</v>
      </c>
      <c r="O1319">
        <v>0</v>
      </c>
      <c r="P1319">
        <v>1</v>
      </c>
      <c r="Q1319">
        <v>0</v>
      </c>
    </row>
    <row r="1320" spans="1:17" x14ac:dyDescent="0.2">
      <c r="A1320" s="1" t="str">
        <f>HYPERLINK("http://www.twitter.com/Ugo_Roux/status/1025767692710674432", "1025767692710674432")</f>
        <v>1025767692710674432</v>
      </c>
      <c r="B1320" t="s">
        <v>456</v>
      </c>
      <c r="C1320" s="3">
        <v>43316.651041666657</v>
      </c>
      <c r="D1320" t="s">
        <v>28</v>
      </c>
      <c r="E1320">
        <v>2</v>
      </c>
      <c r="F1320">
        <v>1</v>
      </c>
      <c r="G1320">
        <v>0</v>
      </c>
      <c r="I1320" t="s">
        <v>1356</v>
      </c>
      <c r="J1320" t="str">
        <f>HYPERLINK("http://pbs.twimg.com/media/DjxCRZsXcAAkR6l.jpg", "http://pbs.twimg.com/media/DjxCRZsXcAAkR6l.jpg")</f>
        <v>http://pbs.twimg.com/media/DjxCRZsXcAAkR6l.jpg</v>
      </c>
      <c r="N1320">
        <v>0</v>
      </c>
      <c r="O1320">
        <v>0</v>
      </c>
      <c r="P1320">
        <v>1</v>
      </c>
      <c r="Q1320">
        <v>0</v>
      </c>
    </row>
    <row r="1321" spans="1:17" x14ac:dyDescent="0.2">
      <c r="A1321" s="1" t="str">
        <f>HYPERLINK("http://www.twitter.com/Ugo_Roux/status/1025735621271318529", "1025735621271318529")</f>
        <v>1025735621271318529</v>
      </c>
      <c r="B1321" t="s">
        <v>206</v>
      </c>
      <c r="C1321" s="3">
        <v>43316.5625462963</v>
      </c>
      <c r="D1321" s="5" t="s">
        <v>24</v>
      </c>
      <c r="E1321">
        <v>3</v>
      </c>
      <c r="F1321">
        <v>1</v>
      </c>
      <c r="G1321">
        <v>0</v>
      </c>
      <c r="I1321" t="s">
        <v>1357</v>
      </c>
      <c r="N1321">
        <v>0</v>
      </c>
      <c r="O1321">
        <v>0</v>
      </c>
      <c r="P1321">
        <v>1</v>
      </c>
      <c r="Q1321">
        <v>0</v>
      </c>
    </row>
    <row r="1322" spans="1:17" x14ac:dyDescent="0.2">
      <c r="A1322" s="1" t="str">
        <f>HYPERLINK("http://www.twitter.com/Ugo_Roux/status/1025694986808053760", "1025694986808053760")</f>
        <v>1025694986808053760</v>
      </c>
      <c r="B1322" t="s">
        <v>47</v>
      </c>
      <c r="C1322" s="3">
        <v>43316.450416666667</v>
      </c>
      <c r="D1322" s="5" t="s">
        <v>17</v>
      </c>
      <c r="E1322">
        <v>6</v>
      </c>
      <c r="F1322">
        <v>4</v>
      </c>
      <c r="G1322">
        <v>0</v>
      </c>
      <c r="I1322" t="s">
        <v>1358</v>
      </c>
      <c r="N1322">
        <v>0</v>
      </c>
      <c r="O1322">
        <v>0</v>
      </c>
      <c r="P1322">
        <v>1</v>
      </c>
      <c r="Q1322">
        <v>0</v>
      </c>
    </row>
    <row r="1323" spans="1:17" x14ac:dyDescent="0.2">
      <c r="A1323" s="1" t="str">
        <f>HYPERLINK("http://www.twitter.com/Ugo_Roux/status/1025653363097124864", "1025653363097124864")</f>
        <v>1025653363097124864</v>
      </c>
      <c r="B1323" t="s">
        <v>16</v>
      </c>
      <c r="C1323" s="3">
        <v>43316.335555555554</v>
      </c>
      <c r="D1323" s="3" t="s">
        <v>17</v>
      </c>
      <c r="E1323">
        <v>4</v>
      </c>
      <c r="F1323">
        <v>0</v>
      </c>
      <c r="G1323">
        <v>1</v>
      </c>
      <c r="I1323" t="s">
        <v>1359</v>
      </c>
      <c r="N1323">
        <v>0</v>
      </c>
      <c r="O1323">
        <v>0</v>
      </c>
      <c r="P1323">
        <v>1</v>
      </c>
      <c r="Q1323">
        <v>0</v>
      </c>
    </row>
    <row r="1324" spans="1:17" x14ac:dyDescent="0.2">
      <c r="A1324" s="1" t="str">
        <f>HYPERLINK("http://www.twitter.com/Ugo_Roux/status/1025636733646512128", "1025636733646512128")</f>
        <v>1025636733646512128</v>
      </c>
      <c r="B1324" t="s">
        <v>476</v>
      </c>
      <c r="C1324" s="3">
        <v>43316.289664351847</v>
      </c>
      <c r="D1324" s="5" t="s">
        <v>17</v>
      </c>
      <c r="E1324">
        <v>1</v>
      </c>
      <c r="F1324">
        <v>0</v>
      </c>
      <c r="G1324">
        <v>0</v>
      </c>
      <c r="I1324" t="s">
        <v>1360</v>
      </c>
      <c r="N1324">
        <v>0</v>
      </c>
      <c r="O1324">
        <v>0</v>
      </c>
      <c r="P1324">
        <v>1</v>
      </c>
      <c r="Q1324">
        <v>0</v>
      </c>
    </row>
    <row r="1325" spans="1:17" x14ac:dyDescent="0.2">
      <c r="A1325" s="1" t="str">
        <f>HYPERLINK("http://www.twitter.com/Ugo_Roux/status/1025631382289231872", "1025631382289231872")</f>
        <v>1025631382289231872</v>
      </c>
      <c r="B1325" t="s">
        <v>97</v>
      </c>
      <c r="C1325" s="3">
        <v>43316.274895833332</v>
      </c>
      <c r="D1325" s="5" t="s">
        <v>24</v>
      </c>
      <c r="E1325">
        <v>0</v>
      </c>
      <c r="F1325">
        <v>1</v>
      </c>
      <c r="G1325">
        <v>0</v>
      </c>
      <c r="I1325" t="s">
        <v>1361</v>
      </c>
      <c r="J1325" t="str">
        <f>HYPERLINK("http://pbs.twimg.com/media/DjvGTmTVAAEnOUg.jpg", "http://pbs.twimg.com/media/DjvGTmTVAAEnOUg.jpg")</f>
        <v>http://pbs.twimg.com/media/DjvGTmTVAAEnOUg.jpg</v>
      </c>
      <c r="N1325">
        <v>0</v>
      </c>
      <c r="O1325">
        <v>0</v>
      </c>
      <c r="P1325">
        <v>1</v>
      </c>
      <c r="Q1325">
        <v>0</v>
      </c>
    </row>
    <row r="1326" spans="1:17" x14ac:dyDescent="0.2">
      <c r="A1326" s="1" t="str">
        <f>HYPERLINK("http://www.twitter.com/Ugo_Roux/status/1025421745128386561", "1025421745128386561")</f>
        <v>1025421745128386561</v>
      </c>
      <c r="B1326" t="s">
        <v>370</v>
      </c>
      <c r="C1326" s="3">
        <v>43315.696412037039</v>
      </c>
      <c r="D1326" s="3" t="s">
        <v>28</v>
      </c>
      <c r="E1326">
        <v>0</v>
      </c>
      <c r="F1326">
        <v>0</v>
      </c>
      <c r="G1326">
        <v>0</v>
      </c>
      <c r="I1326" t="s">
        <v>1362</v>
      </c>
      <c r="J1326" t="str">
        <f>HYPERLINK("http://pbs.twimg.com/media/DjsHpJJU0AAElm2.jpg", "http://pbs.twimg.com/media/DjsHpJJU0AAElm2.jpg")</f>
        <v>http://pbs.twimg.com/media/DjsHpJJU0AAElm2.jpg</v>
      </c>
      <c r="N1326">
        <v>0</v>
      </c>
      <c r="O1326">
        <v>0</v>
      </c>
      <c r="P1326">
        <v>1</v>
      </c>
      <c r="Q1326">
        <v>0</v>
      </c>
    </row>
    <row r="1327" spans="1:17" x14ac:dyDescent="0.2">
      <c r="A1327" s="1" t="str">
        <f>HYPERLINK("http://www.twitter.com/Ugo_Roux/status/1025392464818065409", "1025392464818065409")</f>
        <v>1025392464818065409</v>
      </c>
      <c r="B1327" t="s">
        <v>370</v>
      </c>
      <c r="C1327" s="3">
        <v>43315.615613425929</v>
      </c>
      <c r="D1327" s="3" t="s">
        <v>28</v>
      </c>
      <c r="E1327">
        <v>0</v>
      </c>
      <c r="F1327">
        <v>0</v>
      </c>
      <c r="G1327">
        <v>0</v>
      </c>
      <c r="I1327" t="s">
        <v>1363</v>
      </c>
      <c r="J1327" t="str">
        <f>HYPERLINK("http://pbs.twimg.com/media/DjrtAx4VAAAzOWf.jpg", "http://pbs.twimg.com/media/DjrtAx4VAAAzOWf.jpg")</f>
        <v>http://pbs.twimg.com/media/DjrtAx4VAAAzOWf.jpg</v>
      </c>
      <c r="N1327">
        <v>0</v>
      </c>
      <c r="O1327">
        <v>0</v>
      </c>
      <c r="P1327">
        <v>1</v>
      </c>
      <c r="Q1327">
        <v>0</v>
      </c>
    </row>
    <row r="1328" spans="1:17" x14ac:dyDescent="0.2">
      <c r="A1328" s="1" t="str">
        <f>HYPERLINK("http://www.twitter.com/Ugo_Roux/status/1025390119115730946", "1025390119115730946")</f>
        <v>1025390119115730946</v>
      </c>
      <c r="B1328" t="s">
        <v>370</v>
      </c>
      <c r="C1328" s="3">
        <v>43315.609131944453</v>
      </c>
      <c r="D1328" s="3" t="s">
        <v>28</v>
      </c>
      <c r="E1328">
        <v>0</v>
      </c>
      <c r="F1328">
        <v>0</v>
      </c>
      <c r="G1328">
        <v>0</v>
      </c>
      <c r="I1328" t="s">
        <v>1364</v>
      </c>
      <c r="J1328" t="str">
        <f>HYPERLINK("http://pbs.twimg.com/media/Djrq4QHVAAAFEHK.jpg", "http://pbs.twimg.com/media/Djrq4QHVAAAFEHK.jpg")</f>
        <v>http://pbs.twimg.com/media/Djrq4QHVAAAFEHK.jpg</v>
      </c>
      <c r="N1328">
        <v>0</v>
      </c>
      <c r="O1328">
        <v>0</v>
      </c>
      <c r="P1328">
        <v>1</v>
      </c>
      <c r="Q1328">
        <v>0</v>
      </c>
    </row>
    <row r="1329" spans="1:17" x14ac:dyDescent="0.2">
      <c r="A1329" s="1" t="str">
        <f>HYPERLINK("http://www.twitter.com/Ugo_Roux/status/1025386751613972481", "1025386751613972481")</f>
        <v>1025386751613972481</v>
      </c>
      <c r="B1329" t="s">
        <v>370</v>
      </c>
      <c r="C1329" s="3">
        <v>43315.599849537037</v>
      </c>
      <c r="D1329" s="3" t="s">
        <v>28</v>
      </c>
      <c r="E1329">
        <v>0</v>
      </c>
      <c r="F1329">
        <v>0</v>
      </c>
      <c r="G1329">
        <v>0</v>
      </c>
      <c r="I1329" t="s">
        <v>1365</v>
      </c>
      <c r="J1329" t="str">
        <f>HYPERLINK("http://pbs.twimg.com/media/Djrn0O4U4AAjn6e.jpg", "http://pbs.twimg.com/media/Djrn0O4U4AAjn6e.jpg")</f>
        <v>http://pbs.twimg.com/media/Djrn0O4U4AAjn6e.jpg</v>
      </c>
      <c r="N1329">
        <v>0</v>
      </c>
      <c r="O1329">
        <v>0</v>
      </c>
      <c r="P1329">
        <v>1</v>
      </c>
      <c r="Q1329">
        <v>0</v>
      </c>
    </row>
    <row r="1330" spans="1:17" x14ac:dyDescent="0.2">
      <c r="A1330" s="1" t="str">
        <f>HYPERLINK("http://www.twitter.com/Ugo_Roux/status/1025383985080352773", "1025383985080352773")</f>
        <v>1025383985080352773</v>
      </c>
      <c r="B1330" t="s">
        <v>370</v>
      </c>
      <c r="C1330" s="3">
        <v>43315.592210648138</v>
      </c>
      <c r="D1330" s="3" t="s">
        <v>28</v>
      </c>
      <c r="E1330">
        <v>0</v>
      </c>
      <c r="F1330">
        <v>0</v>
      </c>
      <c r="G1330">
        <v>0</v>
      </c>
      <c r="I1330" t="s">
        <v>1366</v>
      </c>
      <c r="J1330" t="str">
        <f>HYPERLINK("http://pbs.twimg.com/media/DjrlTNPUYAUvfLS.jpg", "http://pbs.twimg.com/media/DjrlTNPUYAUvfLS.jpg")</f>
        <v>http://pbs.twimg.com/media/DjrlTNPUYAUvfLS.jpg</v>
      </c>
      <c r="N1330">
        <v>0</v>
      </c>
      <c r="O1330">
        <v>0</v>
      </c>
      <c r="P1330">
        <v>1</v>
      </c>
      <c r="Q1330">
        <v>0</v>
      </c>
    </row>
    <row r="1331" spans="1:17" x14ac:dyDescent="0.2">
      <c r="A1331" s="1" t="str">
        <f>HYPERLINK("http://www.twitter.com/Ugo_Roux/status/1025355099168759814", "1025355099168759814")</f>
        <v>1025355099168759814</v>
      </c>
      <c r="B1331" t="s">
        <v>16</v>
      </c>
      <c r="C1331" s="3">
        <v>43315.512499999997</v>
      </c>
      <c r="D1331" s="3" t="s">
        <v>17</v>
      </c>
      <c r="E1331">
        <v>34</v>
      </c>
      <c r="F1331">
        <v>8</v>
      </c>
      <c r="G1331">
        <v>0</v>
      </c>
      <c r="I1331" t="s">
        <v>1367</v>
      </c>
      <c r="J1331" t="str">
        <f>HYPERLINK("http://pbs.twimg.com/media/DjqrXggX4AAzq29.jpg", "http://pbs.twimg.com/media/DjqrXggX4AAzq29.jpg")</f>
        <v>http://pbs.twimg.com/media/DjqrXggX4AAzq29.jpg</v>
      </c>
      <c r="N1331">
        <v>0.3987</v>
      </c>
      <c r="O1331">
        <v>0</v>
      </c>
      <c r="P1331">
        <v>0.92300000000000004</v>
      </c>
      <c r="Q1331">
        <v>7.6999999999999999E-2</v>
      </c>
    </row>
    <row r="1332" spans="1:17" x14ac:dyDescent="0.2">
      <c r="A1332" s="1" t="str">
        <f>HYPERLINK("http://www.twitter.com/Ugo_Roux/status/1025348695011799040", "1025348695011799040")</f>
        <v>1025348695011799040</v>
      </c>
      <c r="B1332" t="s">
        <v>47</v>
      </c>
      <c r="C1332" s="3">
        <v>43315.494826388887</v>
      </c>
      <c r="D1332" s="5" t="s">
        <v>24</v>
      </c>
      <c r="E1332">
        <v>3</v>
      </c>
      <c r="F1332">
        <v>1</v>
      </c>
      <c r="G1332">
        <v>0</v>
      </c>
      <c r="I1332" t="s">
        <v>1368</v>
      </c>
      <c r="N1332">
        <v>0</v>
      </c>
      <c r="O1332">
        <v>0</v>
      </c>
      <c r="P1332">
        <v>1</v>
      </c>
      <c r="Q1332">
        <v>0</v>
      </c>
    </row>
    <row r="1333" spans="1:17" x14ac:dyDescent="0.2">
      <c r="A1333" s="1" t="str">
        <f>HYPERLINK("http://www.twitter.com/Ugo_Roux/status/1025030022732673026", "1025030022732673026")</f>
        <v>1025030022732673026</v>
      </c>
      <c r="B1333" t="s">
        <v>142</v>
      </c>
      <c r="C1333" s="3">
        <v>43314.61546296296</v>
      </c>
      <c r="D1333" s="5" t="s">
        <v>24</v>
      </c>
      <c r="E1333">
        <v>2</v>
      </c>
      <c r="F1333">
        <v>2</v>
      </c>
      <c r="G1333">
        <v>0</v>
      </c>
      <c r="I1333" t="s">
        <v>1369</v>
      </c>
      <c r="J1333" t="str">
        <f>HYPERLINK("http://pbs.twimg.com/media/DjmjXqHXcAAioal.jpg", "http://pbs.twimg.com/media/DjmjXqHXcAAioal.jpg")</f>
        <v>http://pbs.twimg.com/media/DjmjXqHXcAAioal.jpg</v>
      </c>
      <c r="N1333">
        <v>0</v>
      </c>
      <c r="O1333">
        <v>0</v>
      </c>
      <c r="P1333">
        <v>1</v>
      </c>
      <c r="Q1333">
        <v>0</v>
      </c>
    </row>
    <row r="1334" spans="1:17" x14ac:dyDescent="0.2">
      <c r="A1334" s="1" t="str">
        <f>HYPERLINK("http://www.twitter.com/Ugo_Roux/status/1024965226343608321", "1024965226343608321")</f>
        <v>1024965226343608321</v>
      </c>
      <c r="B1334" t="s">
        <v>370</v>
      </c>
      <c r="C1334" s="3">
        <v>43314.436655092592</v>
      </c>
      <c r="D1334" s="5" t="s">
        <v>24</v>
      </c>
      <c r="E1334">
        <v>1</v>
      </c>
      <c r="F1334">
        <v>0</v>
      </c>
      <c r="G1334">
        <v>0</v>
      </c>
      <c r="I1334" t="s">
        <v>1370</v>
      </c>
      <c r="J1334" t="str">
        <f>HYPERLINK("http://pbs.twimg.com/media/DjlocPpV4AAnmvl.jpg", "http://pbs.twimg.com/media/DjlocPpV4AAnmvl.jpg")</f>
        <v>http://pbs.twimg.com/media/DjlocPpV4AAnmvl.jpg</v>
      </c>
      <c r="N1334">
        <v>0</v>
      </c>
      <c r="O1334">
        <v>0</v>
      </c>
      <c r="P1334">
        <v>1</v>
      </c>
      <c r="Q1334">
        <v>0</v>
      </c>
    </row>
    <row r="1335" spans="1:17" x14ac:dyDescent="0.2">
      <c r="A1335" s="1" t="str">
        <f>HYPERLINK("http://www.twitter.com/Ugo_Roux/status/1024586719503568898", "1024586719503568898")</f>
        <v>1024586719503568898</v>
      </c>
      <c r="B1335" t="s">
        <v>97</v>
      </c>
      <c r="C1335" s="3">
        <v>43313.392175925917</v>
      </c>
      <c r="D1335" s="5" t="s">
        <v>17</v>
      </c>
      <c r="E1335">
        <v>0</v>
      </c>
      <c r="F1335">
        <v>0</v>
      </c>
      <c r="G1335">
        <v>0</v>
      </c>
      <c r="I1335" t="s">
        <v>1371</v>
      </c>
      <c r="J1335" t="str">
        <f>HYPERLINK("http://pbs.twimg.com/media/DjgQMOGU0AMP-Wr.png", "http://pbs.twimg.com/media/DjgQMOGU0AMP-Wr.png")</f>
        <v>http://pbs.twimg.com/media/DjgQMOGU0AMP-Wr.png</v>
      </c>
      <c r="N1335">
        <v>0</v>
      </c>
      <c r="O1335">
        <v>0</v>
      </c>
      <c r="P1335">
        <v>1</v>
      </c>
      <c r="Q1335">
        <v>0</v>
      </c>
    </row>
    <row r="1336" spans="1:17" x14ac:dyDescent="0.2">
      <c r="A1336" s="1" t="str">
        <f>HYPERLINK("http://www.twitter.com/Ugo_Roux/status/1024575934760996869", "1024575934760996869")</f>
        <v>1024575934760996869</v>
      </c>
      <c r="B1336" t="s">
        <v>476</v>
      </c>
      <c r="C1336" s="3">
        <v>43313.36241898148</v>
      </c>
      <c r="D1336" s="5" t="s">
        <v>17</v>
      </c>
      <c r="E1336">
        <v>0</v>
      </c>
      <c r="F1336">
        <v>0</v>
      </c>
      <c r="G1336">
        <v>0</v>
      </c>
      <c r="I1336" t="s">
        <v>1372</v>
      </c>
      <c r="J1336" t="str">
        <f>HYPERLINK("http://pbs.twimg.com/media/DjgGVxVXsAE1YF7.jpg", "http://pbs.twimg.com/media/DjgGVxVXsAE1YF7.jpg")</f>
        <v>http://pbs.twimg.com/media/DjgGVxVXsAE1YF7.jpg</v>
      </c>
      <c r="N1336">
        <v>0</v>
      </c>
      <c r="O1336">
        <v>0</v>
      </c>
      <c r="P1336">
        <v>1</v>
      </c>
      <c r="Q1336">
        <v>0</v>
      </c>
    </row>
    <row r="1337" spans="1:17" x14ac:dyDescent="0.2">
      <c r="A1337" s="1" t="str">
        <f>HYPERLINK("http://www.twitter.com/Ugo_Roux/status/1024298376173629440", "1024298376173629440")</f>
        <v>1024298376173629440</v>
      </c>
      <c r="B1337" t="s">
        <v>142</v>
      </c>
      <c r="C1337" s="3">
        <v>43312.596504629633</v>
      </c>
      <c r="D1337" s="5" t="s">
        <v>625</v>
      </c>
      <c r="E1337">
        <v>1</v>
      </c>
      <c r="F1337">
        <v>3</v>
      </c>
      <c r="G1337">
        <v>0</v>
      </c>
      <c r="I1337" t="s">
        <v>1373</v>
      </c>
      <c r="N1337">
        <v>0</v>
      </c>
      <c r="O1337">
        <v>0</v>
      </c>
      <c r="P1337">
        <v>1</v>
      </c>
      <c r="Q1337">
        <v>0</v>
      </c>
    </row>
    <row r="1338" spans="1:17" x14ac:dyDescent="0.2">
      <c r="A1338" s="1" t="str">
        <f>HYPERLINK("http://www.twitter.com/Ugo_Roux/status/1024222617258127360", "1024222617258127360")</f>
        <v>1024222617258127360</v>
      </c>
      <c r="B1338" t="s">
        <v>142</v>
      </c>
      <c r="C1338" s="3">
        <v>43312.387442129628</v>
      </c>
      <c r="D1338" s="5" t="s">
        <v>24</v>
      </c>
      <c r="E1338">
        <v>6</v>
      </c>
      <c r="F1338">
        <v>2</v>
      </c>
      <c r="G1338">
        <v>0</v>
      </c>
      <c r="I1338" t="s">
        <v>1374</v>
      </c>
      <c r="J1338" t="str">
        <f>HYPERLINK("http://pbs.twimg.com/media/DjbFBn_WwAIubeE.jpg", "http://pbs.twimg.com/media/DjbFBn_WwAIubeE.jpg")</f>
        <v>http://pbs.twimg.com/media/DjbFBn_WwAIubeE.jpg</v>
      </c>
      <c r="N1338">
        <v>0</v>
      </c>
      <c r="O1338">
        <v>0</v>
      </c>
      <c r="P1338">
        <v>1</v>
      </c>
      <c r="Q1338">
        <v>0</v>
      </c>
    </row>
    <row r="1339" spans="1:17" x14ac:dyDescent="0.2">
      <c r="A1339" s="1" t="str">
        <f>HYPERLINK("http://www.twitter.com/Ugo_Roux/status/1023275105382801411", "1023275105382801411")</f>
        <v>1023275105382801411</v>
      </c>
      <c r="B1339" t="s">
        <v>16</v>
      </c>
      <c r="C1339" s="3">
        <v>43309.772812499999</v>
      </c>
      <c r="D1339" s="3" t="s">
        <v>41</v>
      </c>
      <c r="E1339">
        <v>9</v>
      </c>
      <c r="F1339">
        <v>0</v>
      </c>
      <c r="G1339">
        <v>0</v>
      </c>
      <c r="I1339" t="s">
        <v>1375</v>
      </c>
      <c r="N1339">
        <v>0</v>
      </c>
      <c r="O1339">
        <v>0</v>
      </c>
      <c r="P1339">
        <v>1</v>
      </c>
      <c r="Q1339">
        <v>0</v>
      </c>
    </row>
    <row r="1340" spans="1:17" x14ac:dyDescent="0.2">
      <c r="A1340" s="1" t="str">
        <f>HYPERLINK("http://www.twitter.com/Ugo_Roux/status/1023141388316233728", "1023141388316233728")</f>
        <v>1023141388316233728</v>
      </c>
      <c r="B1340" t="s">
        <v>414</v>
      </c>
      <c r="C1340" s="3">
        <v>43309.403819444437</v>
      </c>
      <c r="D1340" s="5" t="s">
        <v>24</v>
      </c>
      <c r="E1340">
        <v>0</v>
      </c>
      <c r="F1340">
        <v>0</v>
      </c>
      <c r="G1340">
        <v>0</v>
      </c>
      <c r="I1340" t="s">
        <v>1376</v>
      </c>
      <c r="J1340" t="str">
        <f>HYPERLINK("http://pbs.twimg.com/media/DjLtjiyXsAAj8Lj.jpg", "http://pbs.twimg.com/media/DjLtjiyXsAAj8Lj.jpg")</f>
        <v>http://pbs.twimg.com/media/DjLtjiyXsAAj8Lj.jpg</v>
      </c>
      <c r="N1340">
        <v>0</v>
      </c>
      <c r="O1340">
        <v>0</v>
      </c>
      <c r="P1340">
        <v>1</v>
      </c>
      <c r="Q1340">
        <v>0</v>
      </c>
    </row>
    <row r="1341" spans="1:17" x14ac:dyDescent="0.2">
      <c r="A1341" s="1" t="str">
        <f>HYPERLINK("http://www.twitter.com/Ugo_Roux/status/1022815957474050050", "1022815957474050050")</f>
        <v>1022815957474050050</v>
      </c>
      <c r="B1341" t="s">
        <v>414</v>
      </c>
      <c r="C1341" s="3">
        <v>43308.505798611113</v>
      </c>
      <c r="D1341" s="5" t="s">
        <v>24</v>
      </c>
      <c r="E1341">
        <v>0</v>
      </c>
      <c r="F1341">
        <v>0</v>
      </c>
      <c r="G1341">
        <v>0</v>
      </c>
      <c r="I1341" t="s">
        <v>1377</v>
      </c>
      <c r="J1341" t="str">
        <f>HYPERLINK("http://pbs.twimg.com/media/DjHFY6tW4AAuqbh.jpg", "http://pbs.twimg.com/media/DjHFY6tW4AAuqbh.jpg")</f>
        <v>http://pbs.twimg.com/media/DjHFY6tW4AAuqbh.jpg</v>
      </c>
      <c r="K1341" t="str">
        <f>HYPERLINK("http://pbs.twimg.com/media/DjHFdagW4AEb63E.jpg", "http://pbs.twimg.com/media/DjHFdagW4AEb63E.jpg")</f>
        <v>http://pbs.twimg.com/media/DjHFdagW4AEb63E.jpg</v>
      </c>
      <c r="N1341">
        <v>0.74239999999999995</v>
      </c>
      <c r="O1341">
        <v>0</v>
      </c>
      <c r="P1341">
        <v>0.82699999999999996</v>
      </c>
      <c r="Q1341">
        <v>0.17299999999999999</v>
      </c>
    </row>
    <row r="1342" spans="1:17" x14ac:dyDescent="0.2">
      <c r="A1342" s="1" t="str">
        <f>HYPERLINK("http://www.twitter.com/Ugo_Roux/status/1022776790119587840", "1022776790119587840")</f>
        <v>1022776790119587840</v>
      </c>
      <c r="B1342" t="s">
        <v>97</v>
      </c>
      <c r="C1342" s="3">
        <v>43308.397719907407</v>
      </c>
      <c r="D1342" s="5" t="s">
        <v>17</v>
      </c>
      <c r="E1342">
        <v>0</v>
      </c>
      <c r="F1342">
        <v>0</v>
      </c>
      <c r="G1342">
        <v>0</v>
      </c>
      <c r="I1342" t="s">
        <v>1378</v>
      </c>
      <c r="J1342" t="str">
        <f>HYPERLINK("http://pbs.twimg.com/media/DjGiEb1VAAER_DY.png", "http://pbs.twimg.com/media/DjGiEb1VAAER_DY.png")</f>
        <v>http://pbs.twimg.com/media/DjGiEb1VAAER_DY.png</v>
      </c>
      <c r="N1342">
        <v>0</v>
      </c>
      <c r="O1342">
        <v>0</v>
      </c>
      <c r="P1342">
        <v>1</v>
      </c>
      <c r="Q1342">
        <v>0</v>
      </c>
    </row>
    <row r="1343" spans="1:17" x14ac:dyDescent="0.2">
      <c r="A1343" s="1" t="str">
        <f>HYPERLINK("http://www.twitter.com/Ugo_Roux/status/1022366398134317057", "1022366398134317057")</f>
        <v>1022366398134317057</v>
      </c>
      <c r="B1343" t="s">
        <v>285</v>
      </c>
      <c r="C1343" s="3">
        <v>43307.26525462963</v>
      </c>
      <c r="D1343" s="5" t="s">
        <v>17</v>
      </c>
      <c r="E1343">
        <v>1</v>
      </c>
      <c r="F1343">
        <v>0</v>
      </c>
      <c r="G1343">
        <v>0</v>
      </c>
      <c r="I1343" t="s">
        <v>1379</v>
      </c>
      <c r="J1343" t="str">
        <f>HYPERLINK("http://pbs.twimg.com/media/DjAszmfX4AAKttn.jpg", "http://pbs.twimg.com/media/DjAszmfX4AAKttn.jpg")</f>
        <v>http://pbs.twimg.com/media/DjAszmfX4AAKttn.jpg</v>
      </c>
      <c r="N1343">
        <v>0.45879999999999999</v>
      </c>
      <c r="O1343">
        <v>0</v>
      </c>
      <c r="P1343">
        <v>0.82399999999999995</v>
      </c>
      <c r="Q1343">
        <v>0.17599999999999999</v>
      </c>
    </row>
    <row r="1344" spans="1:17" x14ac:dyDescent="0.2">
      <c r="A1344" s="1" t="str">
        <f>HYPERLINK("http://www.twitter.com/Ugo_Roux/status/1022094625455132673", "1022094625455132673")</f>
        <v>1022094625455132673</v>
      </c>
      <c r="B1344" t="s">
        <v>456</v>
      </c>
      <c r="C1344" s="3">
        <v>43306.515300925923</v>
      </c>
      <c r="D1344" t="s">
        <v>17</v>
      </c>
      <c r="E1344">
        <v>5</v>
      </c>
      <c r="F1344">
        <v>1</v>
      </c>
      <c r="G1344">
        <v>0</v>
      </c>
      <c r="I1344" t="s">
        <v>1380</v>
      </c>
      <c r="J1344" t="str">
        <f>HYPERLINK("http://pbs.twimg.com/media/Di81bizW4AASGKV.jpg", "http://pbs.twimg.com/media/Di81bizW4AASGKV.jpg")</f>
        <v>http://pbs.twimg.com/media/Di81bizW4AASGKV.jpg</v>
      </c>
      <c r="K1344" t="str">
        <f>HYPERLINK("http://pbs.twimg.com/media/Di81bCsW4AEsiH_.jpg", "http://pbs.twimg.com/media/Di81bCsW4AEsiH_.jpg")</f>
        <v>http://pbs.twimg.com/media/Di81bCsW4AEsiH_.jpg</v>
      </c>
      <c r="L1344" t="str">
        <f>HYPERLINK("http://pbs.twimg.com/media/Di81bjUW4Ac9Cok.jpg", "http://pbs.twimg.com/media/Di81bjUW4Ac9Cok.jpg")</f>
        <v>http://pbs.twimg.com/media/Di81bjUW4Ac9Cok.jpg</v>
      </c>
      <c r="M1344" t="str">
        <f>HYPERLINK("http://pbs.twimg.com/media/Di81bjmW4AAtgkR.jpg", "http://pbs.twimg.com/media/Di81bjmW4AAtgkR.jpg")</f>
        <v>http://pbs.twimg.com/media/Di81bjmW4AAtgkR.jpg</v>
      </c>
      <c r="N1344">
        <v>0</v>
      </c>
      <c r="O1344">
        <v>0</v>
      </c>
      <c r="P1344">
        <v>1</v>
      </c>
      <c r="Q1344">
        <v>0</v>
      </c>
    </row>
    <row r="1345" spans="1:17" x14ac:dyDescent="0.2">
      <c r="A1345" s="1" t="str">
        <f>HYPERLINK("http://www.twitter.com/Ugo_Roux/status/1022089361649754112", "1022089361649754112")</f>
        <v>1022089361649754112</v>
      </c>
      <c r="B1345" t="s">
        <v>456</v>
      </c>
      <c r="C1345" s="3">
        <v>43306.500775462962</v>
      </c>
      <c r="D1345" t="s">
        <v>28</v>
      </c>
      <c r="E1345">
        <v>0</v>
      </c>
      <c r="F1345">
        <v>0</v>
      </c>
      <c r="G1345">
        <v>0</v>
      </c>
      <c r="I1345" t="s">
        <v>1381</v>
      </c>
      <c r="J1345" t="str">
        <f>HYPERLINK("http://pbs.twimg.com/media/Di8wWPQW0AALmq_.jpg", "http://pbs.twimg.com/media/Di8wWPQW0AALmq_.jpg")</f>
        <v>http://pbs.twimg.com/media/Di8wWPQW0AALmq_.jpg</v>
      </c>
      <c r="K1345" t="str">
        <f>HYPERLINK("http://pbs.twimg.com/media/Di8wYjcXgAEGC8x.jpg", "http://pbs.twimg.com/media/Di8wYjcXgAEGC8x.jpg")</f>
        <v>http://pbs.twimg.com/media/Di8wYjcXgAEGC8x.jpg</v>
      </c>
      <c r="N1345">
        <v>0</v>
      </c>
      <c r="O1345">
        <v>0</v>
      </c>
      <c r="P1345">
        <v>1</v>
      </c>
      <c r="Q1345">
        <v>0</v>
      </c>
    </row>
    <row r="1346" spans="1:17" x14ac:dyDescent="0.2">
      <c r="A1346" s="1" t="str">
        <f>HYPERLINK("http://www.twitter.com/Ugo_Roux/status/1022048413469364225", "1022048413469364225")</f>
        <v>1022048413469364225</v>
      </c>
      <c r="B1346" t="s">
        <v>97</v>
      </c>
      <c r="C1346" s="3">
        <v>43306.387789351851</v>
      </c>
      <c r="D1346" s="5" t="s">
        <v>17</v>
      </c>
      <c r="E1346">
        <v>0</v>
      </c>
      <c r="F1346">
        <v>1</v>
      </c>
      <c r="G1346">
        <v>0</v>
      </c>
      <c r="I1346" t="s">
        <v>1382</v>
      </c>
      <c r="J1346" t="str">
        <f>HYPERLINK("http://pbs.twimg.com/media/Di8LnW4UwAAi7Br.png", "http://pbs.twimg.com/media/Di8LnW4UwAAi7Br.png")</f>
        <v>http://pbs.twimg.com/media/Di8LnW4UwAAi7Br.png</v>
      </c>
      <c r="N1346">
        <v>0</v>
      </c>
      <c r="O1346">
        <v>0</v>
      </c>
      <c r="P1346">
        <v>1</v>
      </c>
      <c r="Q1346">
        <v>0</v>
      </c>
    </row>
    <row r="1347" spans="1:17" x14ac:dyDescent="0.2">
      <c r="A1347" s="1" t="str">
        <f>HYPERLINK("http://www.twitter.com/Ugo_Roux/status/1021824617806274560", "1021824617806274560")</f>
        <v>1021824617806274560</v>
      </c>
      <c r="B1347" t="s">
        <v>142</v>
      </c>
      <c r="C1347" s="3">
        <v>43305.770231481481</v>
      </c>
      <c r="D1347" s="5" t="s">
        <v>41</v>
      </c>
      <c r="E1347">
        <v>2</v>
      </c>
      <c r="F1347">
        <v>2</v>
      </c>
      <c r="G1347">
        <v>0</v>
      </c>
      <c r="I1347" t="s">
        <v>1383</v>
      </c>
      <c r="J1347" t="str">
        <f>HYPERLINK("http://pbs.twimg.com/media/Di5AERdX0AAnyXu.jpg", "http://pbs.twimg.com/media/Di5AERdX0AAnyXu.jpg")</f>
        <v>http://pbs.twimg.com/media/Di5AERdX0AAnyXu.jpg</v>
      </c>
      <c r="N1347">
        <v>0.3296</v>
      </c>
      <c r="O1347">
        <v>0</v>
      </c>
      <c r="P1347">
        <v>0.94</v>
      </c>
      <c r="Q1347">
        <v>0.06</v>
      </c>
    </row>
    <row r="1348" spans="1:17" x14ac:dyDescent="0.2">
      <c r="A1348" s="1" t="str">
        <f>HYPERLINK("http://www.twitter.com/Ugo_Roux/status/1021685793868460033", "1021685793868460033")</f>
        <v>1021685793868460033</v>
      </c>
      <c r="B1348" t="s">
        <v>16</v>
      </c>
      <c r="C1348" s="3">
        <v>43305.387141203697</v>
      </c>
      <c r="D1348" s="3" t="s">
        <v>41</v>
      </c>
      <c r="E1348">
        <v>761</v>
      </c>
      <c r="F1348">
        <v>601</v>
      </c>
      <c r="G1348">
        <v>17</v>
      </c>
      <c r="I1348" t="s">
        <v>1384</v>
      </c>
      <c r="J1348" t="str">
        <f>HYPERLINK("http://pbs.twimg.com/media/Di2-6uWWsAAWk6n.jpg", "http://pbs.twimg.com/media/Di2-6uWWsAAWk6n.jpg")</f>
        <v>http://pbs.twimg.com/media/Di2-6uWWsAAWk6n.jpg</v>
      </c>
      <c r="N1348">
        <v>0</v>
      </c>
      <c r="O1348">
        <v>0</v>
      </c>
      <c r="P1348">
        <v>1</v>
      </c>
      <c r="Q1348">
        <v>0</v>
      </c>
    </row>
    <row r="1349" spans="1:17" x14ac:dyDescent="0.2">
      <c r="A1349" s="1" t="str">
        <f>HYPERLINK("http://www.twitter.com/Ugo_Roux/status/1021670130072412160", "1021670130072412160")</f>
        <v>1021670130072412160</v>
      </c>
      <c r="B1349" t="s">
        <v>476</v>
      </c>
      <c r="C1349" s="3">
        <v>43305.343923611108</v>
      </c>
      <c r="D1349" s="5" t="s">
        <v>41</v>
      </c>
      <c r="E1349">
        <v>1</v>
      </c>
      <c r="F1349">
        <v>0</v>
      </c>
      <c r="G1349">
        <v>0</v>
      </c>
      <c r="I1349" t="s">
        <v>1385</v>
      </c>
      <c r="N1349">
        <v>0</v>
      </c>
      <c r="O1349">
        <v>0</v>
      </c>
      <c r="P1349">
        <v>1</v>
      </c>
      <c r="Q1349">
        <v>0</v>
      </c>
    </row>
    <row r="1350" spans="1:17" x14ac:dyDescent="0.2">
      <c r="A1350" s="1" t="str">
        <f>HYPERLINK("http://www.twitter.com/Ugo_Roux/status/1021372653817466880", "1021372653817466880")</f>
        <v>1021372653817466880</v>
      </c>
      <c r="B1350" t="s">
        <v>142</v>
      </c>
      <c r="C1350" s="3">
        <v>43304.523043981477</v>
      </c>
      <c r="D1350" s="5" t="s">
        <v>17</v>
      </c>
      <c r="E1350">
        <v>2</v>
      </c>
      <c r="F1350">
        <v>0</v>
      </c>
      <c r="G1350">
        <v>0</v>
      </c>
      <c r="I1350" t="s">
        <v>1386</v>
      </c>
      <c r="J1350" t="str">
        <f>HYPERLINK("http://pbs.twimg.com/media/DiylAbfXUAAbhZM.jpg", "http://pbs.twimg.com/media/DiylAbfXUAAbhZM.jpg")</f>
        <v>http://pbs.twimg.com/media/DiylAbfXUAAbhZM.jpg</v>
      </c>
      <c r="N1350">
        <v>0</v>
      </c>
      <c r="O1350">
        <v>0</v>
      </c>
      <c r="P1350">
        <v>1</v>
      </c>
      <c r="Q1350">
        <v>0</v>
      </c>
    </row>
    <row r="1351" spans="1:17" x14ac:dyDescent="0.2">
      <c r="A1351" s="1" t="str">
        <f>HYPERLINK("http://www.twitter.com/Ugo_Roux/status/1020672063944749056", "1020672063944749056")</f>
        <v>1020672063944749056</v>
      </c>
      <c r="B1351" t="s">
        <v>16</v>
      </c>
      <c r="C1351" s="3">
        <v>43302.589780092603</v>
      </c>
      <c r="D1351" s="3" t="s">
        <v>28</v>
      </c>
      <c r="E1351">
        <v>306</v>
      </c>
      <c r="F1351">
        <v>186</v>
      </c>
      <c r="G1351">
        <v>7</v>
      </c>
      <c r="I1351" t="s">
        <v>1387</v>
      </c>
      <c r="J1351" t="str">
        <f>HYPERLINK("http://pbs.twimg.com/media/DiomyukWkAAeWcH.jpg", "http://pbs.twimg.com/media/DiomyukWkAAeWcH.jpg")</f>
        <v>http://pbs.twimg.com/media/DiomyukWkAAeWcH.jpg</v>
      </c>
      <c r="N1351">
        <v>0</v>
      </c>
      <c r="O1351">
        <v>0</v>
      </c>
      <c r="P1351">
        <v>1</v>
      </c>
      <c r="Q1351">
        <v>0</v>
      </c>
    </row>
    <row r="1352" spans="1:17" x14ac:dyDescent="0.2">
      <c r="A1352" s="1" t="str">
        <f>HYPERLINK("http://www.twitter.com/Ugo_Roux/status/1020256608792776704", "1020256608792776704")</f>
        <v>1020256608792776704</v>
      </c>
      <c r="B1352" t="s">
        <v>142</v>
      </c>
      <c r="C1352" s="3">
        <v>43301.443344907413</v>
      </c>
      <c r="D1352" s="5" t="s">
        <v>17</v>
      </c>
      <c r="E1352">
        <v>1</v>
      </c>
      <c r="F1352">
        <v>1</v>
      </c>
      <c r="G1352">
        <v>0</v>
      </c>
      <c r="I1352" t="s">
        <v>1388</v>
      </c>
      <c r="J1352" t="str">
        <f>HYPERLINK("http://pbs.twimg.com/media/Diit-NVXkAEfQYW.jpg", "http://pbs.twimg.com/media/Diit-NVXkAEfQYW.jpg")</f>
        <v>http://pbs.twimg.com/media/Diit-NVXkAEfQYW.jpg</v>
      </c>
      <c r="N1352">
        <v>0</v>
      </c>
      <c r="O1352">
        <v>0</v>
      </c>
      <c r="P1352">
        <v>1</v>
      </c>
      <c r="Q1352">
        <v>0</v>
      </c>
    </row>
    <row r="1353" spans="1:17" x14ac:dyDescent="0.2">
      <c r="A1353" s="1" t="str">
        <f>HYPERLINK("http://www.twitter.com/Ugo_Roux/status/1020202650363604992", "1020202650363604992")</f>
        <v>1020202650363604992</v>
      </c>
      <c r="B1353" t="s">
        <v>16</v>
      </c>
      <c r="C1353" s="3">
        <v>43301.294444444437</v>
      </c>
      <c r="D1353" s="3" t="s">
        <v>17</v>
      </c>
      <c r="E1353">
        <v>1</v>
      </c>
      <c r="F1353">
        <v>1</v>
      </c>
      <c r="G1353">
        <v>0</v>
      </c>
      <c r="I1353" t="s">
        <v>1389</v>
      </c>
      <c r="J1353" t="str">
        <f>HYPERLINK("http://pbs.twimg.com/media/DiZg1SZXkAAkygz.jpg", "http://pbs.twimg.com/media/DiZg1SZXkAAkygz.jpg")</f>
        <v>http://pbs.twimg.com/media/DiZg1SZXkAAkygz.jpg</v>
      </c>
      <c r="N1353">
        <v>0</v>
      </c>
      <c r="O1353">
        <v>0</v>
      </c>
      <c r="P1353">
        <v>1</v>
      </c>
      <c r="Q1353">
        <v>0</v>
      </c>
    </row>
    <row r="1354" spans="1:17" x14ac:dyDescent="0.2">
      <c r="A1354" s="1" t="str">
        <f>HYPERLINK("http://www.twitter.com/Ugo_Roux/status/1019843531253272576", "1019843531253272576")</f>
        <v>1019843531253272576</v>
      </c>
      <c r="B1354" t="s">
        <v>16</v>
      </c>
      <c r="C1354" s="3">
        <v>43300.303472222222</v>
      </c>
      <c r="D1354" s="3" t="s">
        <v>17</v>
      </c>
      <c r="E1354">
        <v>2</v>
      </c>
      <c r="F1354">
        <v>0</v>
      </c>
      <c r="G1354">
        <v>0</v>
      </c>
      <c r="I1354" t="s">
        <v>1390</v>
      </c>
      <c r="J1354" t="str">
        <f>HYPERLINK("http://pbs.twimg.com/media/Dicx8Q-XcAE99cy.jpg", "http://pbs.twimg.com/media/Dicx8Q-XcAE99cy.jpg")</f>
        <v>http://pbs.twimg.com/media/Dicx8Q-XcAE99cy.jpg</v>
      </c>
      <c r="N1354">
        <v>0</v>
      </c>
      <c r="O1354">
        <v>0</v>
      </c>
      <c r="P1354">
        <v>1</v>
      </c>
      <c r="Q1354">
        <v>0</v>
      </c>
    </row>
    <row r="1355" spans="1:17" x14ac:dyDescent="0.2">
      <c r="A1355" s="1" t="str">
        <f>HYPERLINK("http://www.twitter.com/Ugo_Roux/status/1019829730890141697", "1019829730890141697")</f>
        <v>1019829730890141697</v>
      </c>
      <c r="B1355" t="s">
        <v>471</v>
      </c>
      <c r="C1355" s="3">
        <v>43300.265393518523</v>
      </c>
      <c r="D1355" s="3" t="s">
        <v>41</v>
      </c>
      <c r="E1355">
        <v>0</v>
      </c>
      <c r="F1355">
        <v>0</v>
      </c>
      <c r="G1355">
        <v>0</v>
      </c>
      <c r="I1355" t="s">
        <v>1391</v>
      </c>
      <c r="J1355" t="str">
        <f>HYPERLINK("http://pbs.twimg.com/media/DicpoAcXcAAJLoV.jpg", "http://pbs.twimg.com/media/DicpoAcXcAAJLoV.jpg")</f>
        <v>http://pbs.twimg.com/media/DicpoAcXcAAJLoV.jpg</v>
      </c>
      <c r="N1355">
        <v>0</v>
      </c>
      <c r="O1355">
        <v>0</v>
      </c>
      <c r="P1355">
        <v>1</v>
      </c>
      <c r="Q1355">
        <v>0</v>
      </c>
    </row>
    <row r="1356" spans="1:17" x14ac:dyDescent="0.2">
      <c r="A1356" s="1" t="str">
        <f>HYPERLINK("http://www.twitter.com/Ugo_Roux/status/1019596332841959425", "1019596332841959425")</f>
        <v>1019596332841959425</v>
      </c>
      <c r="B1356" t="s">
        <v>142</v>
      </c>
      <c r="C1356" s="3">
        <v>43299.621331018519</v>
      </c>
      <c r="D1356" s="5" t="s">
        <v>17</v>
      </c>
      <c r="E1356">
        <v>4</v>
      </c>
      <c r="F1356">
        <v>1</v>
      </c>
      <c r="G1356">
        <v>0</v>
      </c>
      <c r="I1356" t="s">
        <v>1392</v>
      </c>
      <c r="J1356" t="str">
        <f>HYPERLINK("http://pbs.twimg.com/media/DiZVceSWAAIFr_h.jpg", "http://pbs.twimg.com/media/DiZVceSWAAIFr_h.jpg")</f>
        <v>http://pbs.twimg.com/media/DiZVceSWAAIFr_h.jpg</v>
      </c>
      <c r="N1356">
        <v>0.57189999999999996</v>
      </c>
      <c r="O1356">
        <v>0</v>
      </c>
      <c r="P1356">
        <v>0.90400000000000003</v>
      </c>
      <c r="Q1356">
        <v>9.6000000000000002E-2</v>
      </c>
    </row>
    <row r="1357" spans="1:17" x14ac:dyDescent="0.2">
      <c r="A1357" s="1" t="str">
        <f>HYPERLINK("http://www.twitter.com/Ugo_Roux/status/1019475950398996480", "1019475950398996480")</f>
        <v>1019475950398996480</v>
      </c>
      <c r="B1357" t="s">
        <v>414</v>
      </c>
      <c r="C1357" s="3">
        <v>43299.289143518523</v>
      </c>
      <c r="D1357" s="5" t="s">
        <v>28</v>
      </c>
      <c r="E1357">
        <v>0</v>
      </c>
      <c r="F1357">
        <v>0</v>
      </c>
      <c r="G1357">
        <v>0</v>
      </c>
      <c r="I1357" t="s">
        <v>1393</v>
      </c>
      <c r="J1357" t="str">
        <f>HYPERLINK("http://pbs.twimg.com/media/DiXn9f0X0AAOwDQ.jpg", "http://pbs.twimg.com/media/DiXn9f0X0AAOwDQ.jpg")</f>
        <v>http://pbs.twimg.com/media/DiXn9f0X0AAOwDQ.jpg</v>
      </c>
      <c r="N1357">
        <v>0.50929999999999997</v>
      </c>
      <c r="O1357">
        <v>0</v>
      </c>
      <c r="P1357">
        <v>0.92600000000000005</v>
      </c>
      <c r="Q1357">
        <v>7.3999999999999996E-2</v>
      </c>
    </row>
    <row r="1358" spans="1:17" x14ac:dyDescent="0.2">
      <c r="A1358" s="1" t="str">
        <f>HYPERLINK("http://www.twitter.com/Ugo_Roux/status/1019467881778700290", "1019467881778700290")</f>
        <v>1019467881778700290</v>
      </c>
      <c r="B1358" t="s">
        <v>285</v>
      </c>
      <c r="C1358" s="3">
        <v>43299.266875000001</v>
      </c>
      <c r="D1358" s="5" t="s">
        <v>17</v>
      </c>
      <c r="E1358">
        <v>1</v>
      </c>
      <c r="F1358">
        <v>0</v>
      </c>
      <c r="G1358">
        <v>0</v>
      </c>
      <c r="I1358" t="s">
        <v>1394</v>
      </c>
      <c r="J1358" t="str">
        <f>HYPERLINK("http://pbs.twimg.com/media/DiXgoNPXcAA5GtA.jpg", "http://pbs.twimg.com/media/DiXgoNPXcAA5GtA.jpg")</f>
        <v>http://pbs.twimg.com/media/DiXgoNPXcAA5GtA.jpg</v>
      </c>
      <c r="N1358">
        <v>0</v>
      </c>
      <c r="O1358">
        <v>0</v>
      </c>
      <c r="P1358">
        <v>1</v>
      </c>
      <c r="Q1358">
        <v>0</v>
      </c>
    </row>
    <row r="1359" spans="1:17" x14ac:dyDescent="0.2">
      <c r="A1359" s="1" t="str">
        <f>HYPERLINK("http://www.twitter.com/Ugo_Roux/status/1019467231120494592", "1019467231120494592")</f>
        <v>1019467231120494592</v>
      </c>
      <c r="B1359" t="s">
        <v>285</v>
      </c>
      <c r="C1359" s="3">
        <v>43299.265081018522</v>
      </c>
      <c r="D1359" s="5" t="s">
        <v>17</v>
      </c>
      <c r="E1359">
        <v>2</v>
      </c>
      <c r="F1359">
        <v>0</v>
      </c>
      <c r="G1359">
        <v>0</v>
      </c>
      <c r="I1359" t="s">
        <v>1395</v>
      </c>
      <c r="J1359" t="str">
        <f>HYPERLINK("http://pbs.twimg.com/media/DiXgCh5W4AASLDi.jpg", "http://pbs.twimg.com/media/DiXgCh5W4AASLDi.jpg")</f>
        <v>http://pbs.twimg.com/media/DiXgCh5W4AASLDi.jpg</v>
      </c>
      <c r="N1359">
        <v>-0.15310000000000001</v>
      </c>
      <c r="O1359">
        <v>0.21</v>
      </c>
      <c r="P1359">
        <v>0.61699999999999999</v>
      </c>
      <c r="Q1359">
        <v>0.17299999999999999</v>
      </c>
    </row>
    <row r="1360" spans="1:17" x14ac:dyDescent="0.2">
      <c r="A1360" s="1" t="str">
        <f>HYPERLINK("http://www.twitter.com/Ugo_Roux/status/1019233768954126337", "1019233768954126337")</f>
        <v>1019233768954126337</v>
      </c>
      <c r="B1360" t="s">
        <v>206</v>
      </c>
      <c r="C1360" s="3">
        <v>43298.620844907397</v>
      </c>
      <c r="D1360" s="5" t="s">
        <v>24</v>
      </c>
      <c r="E1360">
        <v>9</v>
      </c>
      <c r="F1360">
        <v>1</v>
      </c>
      <c r="G1360">
        <v>0</v>
      </c>
      <c r="I1360" t="s">
        <v>1396</v>
      </c>
      <c r="J1360" t="str">
        <f>HYPERLINK("http://pbs.twimg.com/media/DiULtF6W0AEjavf.jpg", "http://pbs.twimg.com/media/DiULtF6W0AEjavf.jpg")</f>
        <v>http://pbs.twimg.com/media/DiULtF6W0AEjavf.jpg</v>
      </c>
      <c r="K1360" t="str">
        <f>HYPERLINK("http://pbs.twimg.com/media/DiULtGBW4AABuBH.jpg", "http://pbs.twimg.com/media/DiULtGBW4AABuBH.jpg")</f>
        <v>http://pbs.twimg.com/media/DiULtGBW4AABuBH.jpg</v>
      </c>
      <c r="N1360">
        <v>0</v>
      </c>
      <c r="O1360">
        <v>0</v>
      </c>
      <c r="P1360">
        <v>1</v>
      </c>
      <c r="Q1360">
        <v>0</v>
      </c>
    </row>
    <row r="1361" spans="1:17" x14ac:dyDescent="0.2">
      <c r="A1361" s="1" t="str">
        <f>HYPERLINK("http://www.twitter.com/Ugo_Roux/status/1019215335231246336", "1019215335231246336")</f>
        <v>1019215335231246336</v>
      </c>
      <c r="B1361" t="s">
        <v>16</v>
      </c>
      <c r="C1361" s="3">
        <v>43298.569976851853</v>
      </c>
      <c r="D1361" s="3" t="s">
        <v>28</v>
      </c>
      <c r="E1361">
        <v>16</v>
      </c>
      <c r="F1361">
        <v>7</v>
      </c>
      <c r="G1361">
        <v>1</v>
      </c>
      <c r="I1361" t="s">
        <v>1397</v>
      </c>
      <c r="J1361" t="str">
        <f>HYPERLINK("http://pbs.twimg.com/media/DiT497qW0AA8uAF.jpg", "http://pbs.twimg.com/media/DiT497qW0AA8uAF.jpg")</f>
        <v>http://pbs.twimg.com/media/DiT497qW0AA8uAF.jpg</v>
      </c>
      <c r="K1361" t="str">
        <f>HYPERLINK("http://pbs.twimg.com/media/DiT67OYX4AEhX2z.jpg", "http://pbs.twimg.com/media/DiT67OYX4AEhX2z.jpg")</f>
        <v>http://pbs.twimg.com/media/DiT67OYX4AEhX2z.jpg</v>
      </c>
      <c r="N1361">
        <v>0</v>
      </c>
      <c r="O1361">
        <v>0</v>
      </c>
      <c r="P1361">
        <v>1</v>
      </c>
      <c r="Q1361">
        <v>0</v>
      </c>
    </row>
    <row r="1362" spans="1:17" x14ac:dyDescent="0.2">
      <c r="A1362" s="1" t="str">
        <f>HYPERLINK("http://www.twitter.com/Ugo_Roux/status/1018752986418466816", "1018752986418466816")</f>
        <v>1018752986418466816</v>
      </c>
      <c r="B1362" t="s">
        <v>471</v>
      </c>
      <c r="C1362" s="3">
        <v>43297.29414351852</v>
      </c>
      <c r="D1362" s="3" t="s">
        <v>41</v>
      </c>
      <c r="E1362">
        <v>0</v>
      </c>
      <c r="F1362">
        <v>0</v>
      </c>
      <c r="G1362">
        <v>0</v>
      </c>
      <c r="I1362" t="s">
        <v>1398</v>
      </c>
      <c r="J1362" t="str">
        <f>HYPERLINK("http://pbs.twimg.com/media/DiNVPJ6X0AAiFw8.jpg", "http://pbs.twimg.com/media/DiNVPJ6X0AAiFw8.jpg")</f>
        <v>http://pbs.twimg.com/media/DiNVPJ6X0AAiFw8.jpg</v>
      </c>
      <c r="N1362">
        <v>0</v>
      </c>
      <c r="O1362">
        <v>0</v>
      </c>
      <c r="P1362">
        <v>1</v>
      </c>
      <c r="Q1362">
        <v>0</v>
      </c>
    </row>
    <row r="1363" spans="1:17" x14ac:dyDescent="0.2">
      <c r="A1363" s="1" t="str">
        <f>HYPERLINK("http://www.twitter.com/Ugo_Roux/status/1017070399941726208", "1017070399941726208")</f>
        <v>1017070399941726208</v>
      </c>
      <c r="B1363" t="s">
        <v>206</v>
      </c>
      <c r="C1363" s="3">
        <v>43292.651087962957</v>
      </c>
      <c r="D1363" s="5" t="s">
        <v>28</v>
      </c>
      <c r="E1363">
        <v>9</v>
      </c>
      <c r="F1363">
        <v>6</v>
      </c>
      <c r="G1363">
        <v>0</v>
      </c>
      <c r="I1363" t="s">
        <v>1399</v>
      </c>
      <c r="J1363" t="str">
        <f>HYPERLINK("http://pbs.twimg.com/media/Dh1cIVRW0AAk6KY.jpg", "http://pbs.twimg.com/media/Dh1cIVRW0AAk6KY.jpg")</f>
        <v>http://pbs.twimg.com/media/Dh1cIVRW0AAk6KY.jpg</v>
      </c>
      <c r="K1363" t="str">
        <f>HYPERLINK("http://pbs.twimg.com/media/Dh1cIVYXUAEMHCn.jpg", "http://pbs.twimg.com/media/Dh1cIVYXUAEMHCn.jpg")</f>
        <v>http://pbs.twimg.com/media/Dh1cIVYXUAEMHCn.jpg</v>
      </c>
      <c r="L1363" t="str">
        <f>HYPERLINK("http://pbs.twimg.com/media/Dh1cIVcXcAUGHFi.jpg", "http://pbs.twimg.com/media/Dh1cIVcXcAUGHFi.jpg")</f>
        <v>http://pbs.twimg.com/media/Dh1cIVcXcAUGHFi.jpg</v>
      </c>
      <c r="N1363">
        <v>0</v>
      </c>
      <c r="O1363">
        <v>0</v>
      </c>
      <c r="P1363">
        <v>1</v>
      </c>
      <c r="Q1363">
        <v>0</v>
      </c>
    </row>
    <row r="1364" spans="1:17" x14ac:dyDescent="0.2">
      <c r="A1364" s="1" t="str">
        <f>HYPERLINK("http://www.twitter.com/Ugo_Roux/status/1016955870494666752", "1016955870494666752")</f>
        <v>1016955870494666752</v>
      </c>
      <c r="B1364" t="s">
        <v>97</v>
      </c>
      <c r="C1364" s="3">
        <v>43292.335046296299</v>
      </c>
      <c r="D1364" s="5" t="s">
        <v>17</v>
      </c>
      <c r="E1364">
        <v>0</v>
      </c>
      <c r="F1364">
        <v>0</v>
      </c>
      <c r="G1364">
        <v>0</v>
      </c>
      <c r="I1364" t="s">
        <v>1400</v>
      </c>
      <c r="J1364" t="str">
        <f>HYPERLINK("http://pbs.twimg.com/media/Dhzz-VrUYAAhNBl.png", "http://pbs.twimg.com/media/Dhzz-VrUYAAhNBl.png")</f>
        <v>http://pbs.twimg.com/media/Dhzz-VrUYAAhNBl.png</v>
      </c>
      <c r="N1364">
        <v>0</v>
      </c>
      <c r="O1364">
        <v>0</v>
      </c>
      <c r="P1364">
        <v>1</v>
      </c>
      <c r="Q1364">
        <v>0</v>
      </c>
    </row>
    <row r="1365" spans="1:17" x14ac:dyDescent="0.2">
      <c r="A1365" s="1" t="str">
        <f>HYPERLINK("http://www.twitter.com/Ugo_Roux/status/1016709429289541639", "1016709429289541639")</f>
        <v>1016709429289541639</v>
      </c>
      <c r="B1365" t="s">
        <v>16</v>
      </c>
      <c r="C1365" s="3">
        <v>43291.654999999999</v>
      </c>
      <c r="D1365" s="3" t="s">
        <v>28</v>
      </c>
      <c r="E1365">
        <v>0</v>
      </c>
      <c r="F1365">
        <v>1</v>
      </c>
      <c r="G1365">
        <v>0</v>
      </c>
      <c r="I1365" t="s">
        <v>1401</v>
      </c>
      <c r="J1365" t="str">
        <f>HYPERLINK("http://pbs.twimg.com/media/DhwTio9XcAAutad.jpg", "http://pbs.twimg.com/media/DhwTio9XcAAutad.jpg")</f>
        <v>http://pbs.twimg.com/media/DhwTio9XcAAutad.jpg</v>
      </c>
      <c r="N1365">
        <v>0</v>
      </c>
      <c r="O1365">
        <v>0</v>
      </c>
      <c r="P1365">
        <v>1</v>
      </c>
      <c r="Q1365">
        <v>0</v>
      </c>
    </row>
    <row r="1366" spans="1:17" x14ac:dyDescent="0.2">
      <c r="A1366" s="1" t="str">
        <f>HYPERLINK("http://www.twitter.com/Ugo_Roux/status/1016575417657028608", "1016575417657028608")</f>
        <v>1016575417657028608</v>
      </c>
      <c r="B1366" t="s">
        <v>285</v>
      </c>
      <c r="C1366" s="3">
        <v>43291.285196759258</v>
      </c>
      <c r="D1366" s="5" t="s">
        <v>17</v>
      </c>
      <c r="E1366">
        <v>0</v>
      </c>
      <c r="F1366">
        <v>0</v>
      </c>
      <c r="G1366">
        <v>0</v>
      </c>
      <c r="I1366" t="s">
        <v>1402</v>
      </c>
      <c r="N1366">
        <v>0</v>
      </c>
      <c r="O1366">
        <v>0</v>
      </c>
      <c r="P1366">
        <v>1</v>
      </c>
      <c r="Q1366">
        <v>0</v>
      </c>
    </row>
    <row r="1367" spans="1:17" x14ac:dyDescent="0.2">
      <c r="A1367" s="1" t="str">
        <f>HYPERLINK("http://www.twitter.com/Ugo_Roux/status/1016562819561676800", "1016562819561676800")</f>
        <v>1016562819561676800</v>
      </c>
      <c r="B1367" t="s">
        <v>471</v>
      </c>
      <c r="C1367" s="3">
        <v>43291.250428240739</v>
      </c>
      <c r="D1367" s="3" t="s">
        <v>28</v>
      </c>
      <c r="E1367">
        <v>8</v>
      </c>
      <c r="F1367">
        <v>2</v>
      </c>
      <c r="G1367">
        <v>0</v>
      </c>
      <c r="I1367" t="s">
        <v>1403</v>
      </c>
      <c r="J1367" t="str">
        <f>HYPERLINK("http://pbs.twimg.com/media/DhuOZXDX4AA0mP0.jpg", "http://pbs.twimg.com/media/DhuOZXDX4AA0mP0.jpg")</f>
        <v>http://pbs.twimg.com/media/DhuOZXDX4AA0mP0.jpg</v>
      </c>
      <c r="N1367">
        <v>0</v>
      </c>
      <c r="O1367">
        <v>0</v>
      </c>
      <c r="P1367">
        <v>1</v>
      </c>
      <c r="Q1367">
        <v>0</v>
      </c>
    </row>
    <row r="1368" spans="1:17" x14ac:dyDescent="0.2">
      <c r="A1368" s="1" t="str">
        <f>HYPERLINK("http://www.twitter.com/Ugo_Roux/status/1016366487920152576", "1016366487920152576")</f>
        <v>1016366487920152576</v>
      </c>
      <c r="B1368" t="s">
        <v>97</v>
      </c>
      <c r="C1368" s="3">
        <v>43290.708657407413</v>
      </c>
      <c r="D1368" s="5" t="s">
        <v>17</v>
      </c>
      <c r="E1368">
        <v>0</v>
      </c>
      <c r="F1368">
        <v>0</v>
      </c>
      <c r="G1368">
        <v>0</v>
      </c>
      <c r="I1368" t="s">
        <v>1404</v>
      </c>
      <c r="J1368" t="str">
        <f>HYPERLINK("http://pbs.twimg.com/media/Dhrb7wDUwAEWciC.png", "http://pbs.twimg.com/media/Dhrb7wDUwAEWciC.png")</f>
        <v>http://pbs.twimg.com/media/Dhrb7wDUwAEWciC.png</v>
      </c>
      <c r="N1368">
        <v>0</v>
      </c>
      <c r="O1368">
        <v>0</v>
      </c>
      <c r="P1368">
        <v>1</v>
      </c>
      <c r="Q1368">
        <v>0</v>
      </c>
    </row>
    <row r="1369" spans="1:17" x14ac:dyDescent="0.2">
      <c r="A1369" s="1" t="str">
        <f>HYPERLINK("http://www.twitter.com/Ugo_Roux/status/1015558436346527745", "1015558436346527745")</f>
        <v>1015558436346527745</v>
      </c>
      <c r="B1369" t="s">
        <v>97</v>
      </c>
      <c r="C1369" s="3">
        <v>43288.478865740741</v>
      </c>
      <c r="D1369" s="5" t="s">
        <v>17</v>
      </c>
      <c r="E1369">
        <v>0</v>
      </c>
      <c r="F1369">
        <v>0</v>
      </c>
      <c r="G1369">
        <v>0</v>
      </c>
      <c r="I1369" t="s">
        <v>1405</v>
      </c>
      <c r="J1369" t="str">
        <f>HYPERLINK("http://pbs.twimg.com/media/Dhf9A7-UwAEWjqL.png", "http://pbs.twimg.com/media/Dhf9A7-UwAEWjqL.png")</f>
        <v>http://pbs.twimg.com/media/Dhf9A7-UwAEWjqL.png</v>
      </c>
      <c r="N1369">
        <v>0</v>
      </c>
      <c r="O1369">
        <v>0</v>
      </c>
      <c r="P1369">
        <v>1</v>
      </c>
      <c r="Q1369">
        <v>0</v>
      </c>
    </row>
    <row r="1370" spans="1:17" x14ac:dyDescent="0.2">
      <c r="A1370" s="1" t="str">
        <f>HYPERLINK("http://www.twitter.com/Ugo_Roux/status/1015502914863927296", "1015502914863927296")</f>
        <v>1015502914863927296</v>
      </c>
      <c r="B1370" t="s">
        <v>414</v>
      </c>
      <c r="C1370" s="3">
        <v>43288.325648148151</v>
      </c>
      <c r="D1370" s="5" t="s">
        <v>28</v>
      </c>
      <c r="E1370">
        <v>0</v>
      </c>
      <c r="F1370">
        <v>0</v>
      </c>
      <c r="G1370">
        <v>1</v>
      </c>
      <c r="I1370" t="s">
        <v>1406</v>
      </c>
      <c r="J1370" t="str">
        <f>HYPERLINK("http://pbs.twimg.com/media/DhfKgeYWkAAAxTT.jpg", "http://pbs.twimg.com/media/DhfKgeYWkAAAxTT.jpg")</f>
        <v>http://pbs.twimg.com/media/DhfKgeYWkAAAxTT.jpg</v>
      </c>
      <c r="N1370">
        <v>0</v>
      </c>
      <c r="O1370">
        <v>0</v>
      </c>
      <c r="P1370">
        <v>1</v>
      </c>
      <c r="Q1370">
        <v>0</v>
      </c>
    </row>
    <row r="1371" spans="1:17" x14ac:dyDescent="0.2">
      <c r="A1371" s="1" t="str">
        <f>HYPERLINK("http://www.twitter.com/Ugo_Roux/status/1014796296534790149", "1014796296534790149")</f>
        <v>1014796296534790149</v>
      </c>
      <c r="B1371" t="s">
        <v>97</v>
      </c>
      <c r="C1371" s="3">
        <v>43286.375752314823</v>
      </c>
      <c r="D1371" s="5" t="s">
        <v>17</v>
      </c>
      <c r="E1371">
        <v>0</v>
      </c>
      <c r="F1371">
        <v>0</v>
      </c>
      <c r="G1371">
        <v>0</v>
      </c>
      <c r="I1371" t="s">
        <v>1407</v>
      </c>
      <c r="J1371" t="str">
        <f>HYPERLINK("http://pbs.twimg.com/media/DhVH2nTV4AASVqT.jpg", "http://pbs.twimg.com/media/DhVH2nTV4AASVqT.jpg")</f>
        <v>http://pbs.twimg.com/media/DhVH2nTV4AASVqT.jpg</v>
      </c>
      <c r="N1371">
        <v>0</v>
      </c>
      <c r="O1371">
        <v>0</v>
      </c>
      <c r="P1371">
        <v>1</v>
      </c>
      <c r="Q1371">
        <v>0</v>
      </c>
    </row>
    <row r="1372" spans="1:17" x14ac:dyDescent="0.2">
      <c r="A1372" s="1" t="str">
        <f>HYPERLINK("http://www.twitter.com/Ugo_Roux/status/1014582370450788352", "1014582370450788352")</f>
        <v>1014582370450788352</v>
      </c>
      <c r="B1372" t="s">
        <v>142</v>
      </c>
      <c r="C1372" s="3">
        <v>43285.785428240742</v>
      </c>
      <c r="D1372" s="5" t="s">
        <v>17</v>
      </c>
      <c r="E1372">
        <v>3</v>
      </c>
      <c r="F1372">
        <v>1</v>
      </c>
      <c r="G1372">
        <v>0</v>
      </c>
      <c r="I1372" t="s">
        <v>1408</v>
      </c>
      <c r="J1372" t="str">
        <f>HYPERLINK("http://pbs.twimg.com/media/DhSFRtdX0AYFvYV.jpg", "http://pbs.twimg.com/media/DhSFRtdX0AYFvYV.jpg")</f>
        <v>http://pbs.twimg.com/media/DhSFRtdX0AYFvYV.jpg</v>
      </c>
      <c r="N1372">
        <v>0</v>
      </c>
      <c r="O1372">
        <v>0</v>
      </c>
      <c r="P1372">
        <v>1</v>
      </c>
      <c r="Q1372">
        <v>0</v>
      </c>
    </row>
    <row r="1373" spans="1:17" x14ac:dyDescent="0.2">
      <c r="A1373" s="1" t="str">
        <f>HYPERLINK("http://www.twitter.com/Ugo_Roux/status/1014519035424378885", "1014519035424378885")</f>
        <v>1014519035424378885</v>
      </c>
      <c r="B1373" t="s">
        <v>47</v>
      </c>
      <c r="C1373" s="3">
        <v>43285.610659722217</v>
      </c>
      <c r="D1373" s="5" t="s">
        <v>28</v>
      </c>
      <c r="E1373">
        <v>6</v>
      </c>
      <c r="F1373">
        <v>0</v>
      </c>
      <c r="G1373">
        <v>1</v>
      </c>
      <c r="I1373" t="s">
        <v>1409</v>
      </c>
      <c r="N1373">
        <v>0</v>
      </c>
      <c r="O1373">
        <v>0</v>
      </c>
      <c r="P1373">
        <v>1</v>
      </c>
      <c r="Q1373">
        <v>0</v>
      </c>
    </row>
    <row r="1374" spans="1:17" x14ac:dyDescent="0.2">
      <c r="A1374" s="1" t="str">
        <f>HYPERLINK("http://www.twitter.com/Ugo_Roux/status/1014474810485768193", "1014474810485768193")</f>
        <v>1014474810485768193</v>
      </c>
      <c r="B1374" t="s">
        <v>456</v>
      </c>
      <c r="C1374" s="3">
        <v>43285.488622685189</v>
      </c>
      <c r="D1374" t="s">
        <v>28</v>
      </c>
      <c r="E1374">
        <v>3</v>
      </c>
      <c r="F1374">
        <v>1</v>
      </c>
      <c r="G1374">
        <v>0</v>
      </c>
      <c r="I1374" t="s">
        <v>1410</v>
      </c>
      <c r="J1374" t="str">
        <f>HYPERLINK("http://pbs.twimg.com/media/DhQjcgpXUAAV2mA.jpg", "http://pbs.twimg.com/media/DhQjcgpXUAAV2mA.jpg")</f>
        <v>http://pbs.twimg.com/media/DhQjcgpXUAAV2mA.jpg</v>
      </c>
      <c r="N1374">
        <v>0</v>
      </c>
      <c r="O1374">
        <v>0</v>
      </c>
      <c r="P1374">
        <v>1</v>
      </c>
      <c r="Q1374">
        <v>0</v>
      </c>
    </row>
    <row r="1375" spans="1:17" x14ac:dyDescent="0.2">
      <c r="A1375" s="1" t="str">
        <f>HYPERLINK("http://www.twitter.com/Ugo_Roux/status/1014116004954243073", "1014116004954243073")</f>
        <v>1014116004954243073</v>
      </c>
      <c r="B1375" t="s">
        <v>471</v>
      </c>
      <c r="C1375" s="3">
        <v>43284.498506944437</v>
      </c>
      <c r="D1375" s="3" t="s">
        <v>28</v>
      </c>
      <c r="E1375">
        <v>2</v>
      </c>
      <c r="F1375">
        <v>3</v>
      </c>
      <c r="G1375">
        <v>0</v>
      </c>
      <c r="I1375" t="s">
        <v>1411</v>
      </c>
      <c r="J1375" t="str">
        <f>HYPERLINK("http://pbs.twimg.com/media/DhLcqZXW4AAlHAC.jpg", "http://pbs.twimg.com/media/DhLcqZXW4AAlHAC.jpg")</f>
        <v>http://pbs.twimg.com/media/DhLcqZXW4AAlHAC.jpg</v>
      </c>
      <c r="K1375" t="str">
        <f>HYPERLINK("http://pbs.twimg.com/media/DhLctD1W0AAT9GI.jpg", "http://pbs.twimg.com/media/DhLctD1W0AAT9GI.jpg")</f>
        <v>http://pbs.twimg.com/media/DhLctD1W0AAT9GI.jpg</v>
      </c>
      <c r="L1375" t="str">
        <f>HYPERLINK("http://pbs.twimg.com/media/DhLcwXiWAAA_7Wj.jpg", "http://pbs.twimg.com/media/DhLcwXiWAAA_7Wj.jpg")</f>
        <v>http://pbs.twimg.com/media/DhLcwXiWAAA_7Wj.jpg</v>
      </c>
      <c r="M1375" t="str">
        <f>HYPERLINK("http://pbs.twimg.com/media/DhLcwXlWAAAgsgH.jpg", "http://pbs.twimg.com/media/DhLcwXlWAAAgsgH.jpg")</f>
        <v>http://pbs.twimg.com/media/DhLcwXlWAAAgsgH.jpg</v>
      </c>
      <c r="N1375">
        <v>0</v>
      </c>
      <c r="O1375">
        <v>0</v>
      </c>
      <c r="P1375">
        <v>1</v>
      </c>
      <c r="Q1375">
        <v>0</v>
      </c>
    </row>
    <row r="1376" spans="1:17" x14ac:dyDescent="0.2">
      <c r="A1376" s="1" t="str">
        <f>HYPERLINK("http://www.twitter.com/Ugo_Roux/status/1013387886304120833", "1013387886304120833")</f>
        <v>1013387886304120833</v>
      </c>
      <c r="B1376" t="s">
        <v>142</v>
      </c>
      <c r="C1376" s="3">
        <v>43282.489282407398</v>
      </c>
      <c r="D1376" s="5" t="s">
        <v>28</v>
      </c>
      <c r="E1376">
        <v>0</v>
      </c>
      <c r="F1376">
        <v>1</v>
      </c>
      <c r="G1376">
        <v>0</v>
      </c>
      <c r="I1376" t="s">
        <v>1412</v>
      </c>
      <c r="N1376">
        <v>0</v>
      </c>
      <c r="O1376">
        <v>0</v>
      </c>
      <c r="P1376">
        <v>1</v>
      </c>
      <c r="Q1376">
        <v>0</v>
      </c>
    </row>
    <row r="1377" spans="1:17" x14ac:dyDescent="0.2">
      <c r="A1377" s="1" t="str">
        <f>HYPERLINK("http://www.twitter.com/Ugo_Roux/status/1012967167896248320", "1012967167896248320")</f>
        <v>1012967167896248320</v>
      </c>
      <c r="B1377" t="s">
        <v>414</v>
      </c>
      <c r="C1377" s="3">
        <v>43281.328321759262</v>
      </c>
      <c r="D1377" s="5" t="s">
        <v>28</v>
      </c>
      <c r="E1377">
        <v>0</v>
      </c>
      <c r="F1377">
        <v>0</v>
      </c>
      <c r="G1377">
        <v>0</v>
      </c>
      <c r="I1377" t="s">
        <v>1413</v>
      </c>
      <c r="N1377">
        <v>0</v>
      </c>
      <c r="O1377">
        <v>0</v>
      </c>
      <c r="P1377">
        <v>1</v>
      </c>
      <c r="Q1377">
        <v>0</v>
      </c>
    </row>
    <row r="1378" spans="1:17" x14ac:dyDescent="0.2">
      <c r="A1378" s="1" t="str">
        <f>HYPERLINK("http://www.twitter.com/Ugo_Roux/status/1012954444319875072", "1012954444319875072")</f>
        <v>1012954444319875072</v>
      </c>
      <c r="B1378" t="s">
        <v>97</v>
      </c>
      <c r="C1378" s="3">
        <v>43281.293206018519</v>
      </c>
      <c r="D1378" s="5" t="s">
        <v>17</v>
      </c>
      <c r="E1378">
        <v>0</v>
      </c>
      <c r="F1378">
        <v>0</v>
      </c>
      <c r="G1378">
        <v>0</v>
      </c>
      <c r="I1378" t="s">
        <v>1414</v>
      </c>
      <c r="J1378" t="str">
        <f>HYPERLINK("http://pbs.twimg.com/media/Dg68sr5VMAAU_pl.png", "http://pbs.twimg.com/media/Dg68sr5VMAAU_pl.png")</f>
        <v>http://pbs.twimg.com/media/Dg68sr5VMAAU_pl.png</v>
      </c>
      <c r="N1378">
        <v>0.1007</v>
      </c>
      <c r="O1378">
        <v>0</v>
      </c>
      <c r="P1378">
        <v>0.83399999999999996</v>
      </c>
      <c r="Q1378">
        <v>0.16600000000000001</v>
      </c>
    </row>
    <row r="1379" spans="1:17" x14ac:dyDescent="0.2">
      <c r="A1379" s="1" t="str">
        <f>HYPERLINK("http://www.twitter.com/Ugo_Roux/status/1012695087346696192", "1012695087346696192")</f>
        <v>1012695087346696192</v>
      </c>
      <c r="B1379" t="s">
        <v>142</v>
      </c>
      <c r="C1379" s="3">
        <v>43280.577523148153</v>
      </c>
      <c r="D1379" s="5" t="s">
        <v>24</v>
      </c>
      <c r="E1379">
        <v>2</v>
      </c>
      <c r="F1379">
        <v>1</v>
      </c>
      <c r="G1379">
        <v>0</v>
      </c>
      <c r="I1379" t="s">
        <v>1415</v>
      </c>
      <c r="J1379" t="str">
        <f>HYPERLINK("http://pbs.twimg.com/media/Dg3Qz4cUEAE1luX.jpg", "http://pbs.twimg.com/media/Dg3Qz4cUEAE1luX.jpg")</f>
        <v>http://pbs.twimg.com/media/Dg3Qz4cUEAE1luX.jpg</v>
      </c>
      <c r="N1379">
        <v>0</v>
      </c>
      <c r="O1379">
        <v>0</v>
      </c>
      <c r="P1379">
        <v>1</v>
      </c>
      <c r="Q1379">
        <v>0</v>
      </c>
    </row>
    <row r="1380" spans="1:17" x14ac:dyDescent="0.2">
      <c r="A1380" s="1" t="str">
        <f>HYPERLINK("http://www.twitter.com/Ugo_Roux/status/1012676833995829250", "1012676833995829250")</f>
        <v>1012676833995829250</v>
      </c>
      <c r="B1380" t="s">
        <v>16</v>
      </c>
      <c r="C1380" s="3">
        <v>43280.52715277778</v>
      </c>
      <c r="D1380" s="3" t="s">
        <v>17</v>
      </c>
      <c r="E1380">
        <v>8</v>
      </c>
      <c r="F1380">
        <v>3</v>
      </c>
      <c r="G1380">
        <v>0</v>
      </c>
      <c r="I1380" t="s">
        <v>1416</v>
      </c>
      <c r="N1380">
        <v>0</v>
      </c>
      <c r="O1380">
        <v>0</v>
      </c>
      <c r="P1380">
        <v>1</v>
      </c>
      <c r="Q1380">
        <v>0</v>
      </c>
    </row>
    <row r="1381" spans="1:17" x14ac:dyDescent="0.2">
      <c r="A1381" s="1" t="str">
        <f>HYPERLINK("http://www.twitter.com/Ugo_Roux/status/1012616982611537927", "1012616982611537927")</f>
        <v>1012616982611537927</v>
      </c>
      <c r="B1381" t="s">
        <v>456</v>
      </c>
      <c r="C1381" s="3">
        <v>43280.361990740741</v>
      </c>
      <c r="D1381" t="s">
        <v>239</v>
      </c>
      <c r="E1381">
        <v>2</v>
      </c>
      <c r="F1381">
        <v>0</v>
      </c>
      <c r="G1381">
        <v>0</v>
      </c>
      <c r="I1381" t="s">
        <v>1417</v>
      </c>
      <c r="J1381" t="str">
        <f>HYPERLINK("http://pbs.twimg.com/media/Dg2JvTLWAAElZH2.jpg", "http://pbs.twimg.com/media/Dg2JvTLWAAElZH2.jpg")</f>
        <v>http://pbs.twimg.com/media/Dg2JvTLWAAElZH2.jpg</v>
      </c>
      <c r="N1381">
        <v>0</v>
      </c>
      <c r="O1381">
        <v>0</v>
      </c>
      <c r="P1381">
        <v>1</v>
      </c>
      <c r="Q1381">
        <v>0</v>
      </c>
    </row>
    <row r="1382" spans="1:17" x14ac:dyDescent="0.2">
      <c r="A1382" s="1" t="str">
        <f>HYPERLINK("http://www.twitter.com/Ugo_Roux/status/1012269874905796608", "1012269874905796608")</f>
        <v>1012269874905796608</v>
      </c>
      <c r="B1382" t="s">
        <v>456</v>
      </c>
      <c r="C1382" s="3">
        <v>43279.40415509259</v>
      </c>
      <c r="D1382" t="s">
        <v>24</v>
      </c>
      <c r="E1382">
        <v>1</v>
      </c>
      <c r="F1382">
        <v>0</v>
      </c>
      <c r="G1382">
        <v>0</v>
      </c>
      <c r="I1382" t="s">
        <v>1418</v>
      </c>
      <c r="J1382" t="str">
        <f>HYPERLINK("http://pbs.twimg.com/media/DgxOEuEXkAYWPhW.jpg", "http://pbs.twimg.com/media/DgxOEuEXkAYWPhW.jpg")</f>
        <v>http://pbs.twimg.com/media/DgxOEuEXkAYWPhW.jpg</v>
      </c>
      <c r="N1382">
        <v>0</v>
      </c>
      <c r="O1382">
        <v>0</v>
      </c>
      <c r="P1382">
        <v>1</v>
      </c>
      <c r="Q1382">
        <v>0</v>
      </c>
    </row>
    <row r="1383" spans="1:17" x14ac:dyDescent="0.2">
      <c r="A1383" s="1" t="str">
        <f>HYPERLINK("http://www.twitter.com/Ugo_Roux/status/1012268950246297602", "1012268950246297602")</f>
        <v>1012268950246297602</v>
      </c>
      <c r="B1383" t="s">
        <v>456</v>
      </c>
      <c r="C1383" s="3">
        <v>43279.401608796303</v>
      </c>
      <c r="D1383" t="s">
        <v>24</v>
      </c>
      <c r="E1383">
        <v>1</v>
      </c>
      <c r="F1383">
        <v>0</v>
      </c>
      <c r="G1383">
        <v>0</v>
      </c>
      <c r="I1383" t="s">
        <v>1419</v>
      </c>
      <c r="J1383" t="str">
        <f>HYPERLINK("http://pbs.twimg.com/media/DgxMop-X0AAz3r2.jpg", "http://pbs.twimg.com/media/DgxMop-X0AAz3r2.jpg")</f>
        <v>http://pbs.twimg.com/media/DgxMop-X0AAz3r2.jpg</v>
      </c>
      <c r="N1383">
        <v>-0.128</v>
      </c>
      <c r="O1383">
        <v>6.0999999999999999E-2</v>
      </c>
      <c r="P1383">
        <v>0.93899999999999995</v>
      </c>
      <c r="Q1383">
        <v>0</v>
      </c>
    </row>
    <row r="1384" spans="1:17" x14ac:dyDescent="0.2">
      <c r="A1384" s="1" t="str">
        <f>HYPERLINK("http://www.twitter.com/Ugo_Roux/status/1012006571176587264", "1012006571176587264")</f>
        <v>1012006571176587264</v>
      </c>
      <c r="B1384" t="s">
        <v>97</v>
      </c>
      <c r="C1384" s="3">
        <v>43278.677581018521</v>
      </c>
      <c r="D1384" s="5" t="s">
        <v>17</v>
      </c>
      <c r="E1384">
        <v>0</v>
      </c>
      <c r="F1384">
        <v>0</v>
      </c>
      <c r="G1384">
        <v>0</v>
      </c>
      <c r="I1384" t="s">
        <v>1420</v>
      </c>
      <c r="J1384" t="str">
        <f>HYPERLINK("http://pbs.twimg.com/media/DgtenMDVQAEjxSS.png", "http://pbs.twimg.com/media/DgtenMDVQAEjxSS.png")</f>
        <v>http://pbs.twimg.com/media/DgtenMDVQAEjxSS.png</v>
      </c>
      <c r="N1384">
        <v>0</v>
      </c>
      <c r="O1384">
        <v>0</v>
      </c>
      <c r="P1384">
        <v>1</v>
      </c>
      <c r="Q1384">
        <v>0</v>
      </c>
    </row>
    <row r="1385" spans="1:17" x14ac:dyDescent="0.2">
      <c r="A1385" s="1" t="str">
        <f>HYPERLINK("http://www.twitter.com/Ugo_Roux/status/1011914087721328640", "1011914087721328640")</f>
        <v>1011914087721328640</v>
      </c>
      <c r="B1385" t="s">
        <v>130</v>
      </c>
      <c r="C1385" s="3">
        <v>43278.422372685192</v>
      </c>
      <c r="D1385" s="5" t="s">
        <v>17</v>
      </c>
      <c r="E1385">
        <v>0</v>
      </c>
      <c r="F1385">
        <v>0</v>
      </c>
      <c r="G1385">
        <v>0</v>
      </c>
      <c r="I1385" t="s">
        <v>1421</v>
      </c>
      <c r="N1385">
        <v>0</v>
      </c>
      <c r="O1385">
        <v>0</v>
      </c>
      <c r="P1385">
        <v>1</v>
      </c>
      <c r="Q1385">
        <v>0</v>
      </c>
    </row>
    <row r="1386" spans="1:17" x14ac:dyDescent="0.2">
      <c r="A1386" s="1" t="str">
        <f>HYPERLINK("http://www.twitter.com/Ugo_Roux/status/1011870557917327360", "1011870557917327360")</f>
        <v>1011870557917327360</v>
      </c>
      <c r="B1386" t="s">
        <v>97</v>
      </c>
      <c r="C1386" s="3">
        <v>43278.302256944437</v>
      </c>
      <c r="D1386" s="5" t="s">
        <v>24</v>
      </c>
      <c r="E1386">
        <v>0</v>
      </c>
      <c r="F1386">
        <v>0</v>
      </c>
      <c r="G1386">
        <v>0</v>
      </c>
      <c r="I1386" t="s">
        <v>1422</v>
      </c>
      <c r="J1386" t="str">
        <f>HYPERLINK("http://pbs.twimg.com/media/Dgri6LmU0AENR21.jpg", "http://pbs.twimg.com/media/Dgri6LmU0AENR21.jpg")</f>
        <v>http://pbs.twimg.com/media/Dgri6LmU0AENR21.jpg</v>
      </c>
      <c r="N1386">
        <v>0</v>
      </c>
      <c r="O1386">
        <v>0</v>
      </c>
      <c r="P1386">
        <v>1</v>
      </c>
      <c r="Q1386">
        <v>0</v>
      </c>
    </row>
    <row r="1387" spans="1:17" x14ac:dyDescent="0.2">
      <c r="A1387" s="1" t="str">
        <f>HYPERLINK("http://www.twitter.com/Ugo_Roux/status/1011632789899415553", "1011632789899415553")</f>
        <v>1011632789899415553</v>
      </c>
      <c r="B1387" t="s">
        <v>414</v>
      </c>
      <c r="C1387" s="3">
        <v>43277.646134259259</v>
      </c>
      <c r="D1387" s="5" t="s">
        <v>28</v>
      </c>
      <c r="E1387">
        <v>0</v>
      </c>
      <c r="F1387">
        <v>0</v>
      </c>
      <c r="G1387">
        <v>0</v>
      </c>
      <c r="I1387" t="s">
        <v>1423</v>
      </c>
      <c r="N1387">
        <v>0</v>
      </c>
      <c r="O1387">
        <v>0</v>
      </c>
      <c r="P1387">
        <v>1</v>
      </c>
      <c r="Q1387">
        <v>0</v>
      </c>
    </row>
    <row r="1388" spans="1:17" x14ac:dyDescent="0.2">
      <c r="A1388" s="1" t="str">
        <f>HYPERLINK("http://www.twitter.com/Ugo_Roux/status/1011564510073716737", "1011564510073716737")</f>
        <v>1011564510073716737</v>
      </c>
      <c r="B1388" t="s">
        <v>456</v>
      </c>
      <c r="C1388" s="3">
        <v>43277.457719907397</v>
      </c>
      <c r="D1388" t="s">
        <v>28</v>
      </c>
      <c r="E1388">
        <v>1</v>
      </c>
      <c r="F1388">
        <v>0</v>
      </c>
      <c r="G1388">
        <v>0</v>
      </c>
      <c r="I1388" t="s">
        <v>1424</v>
      </c>
      <c r="J1388" t="str">
        <f>HYPERLINK("http://pbs.twimg.com/media/DgnMiqtXkAAlzb2.jpg", "http://pbs.twimg.com/media/DgnMiqtXkAAlzb2.jpg")</f>
        <v>http://pbs.twimg.com/media/DgnMiqtXkAAlzb2.jpg</v>
      </c>
      <c r="N1388">
        <v>0</v>
      </c>
      <c r="O1388">
        <v>0</v>
      </c>
      <c r="P1388">
        <v>1</v>
      </c>
      <c r="Q1388">
        <v>0</v>
      </c>
    </row>
    <row r="1389" spans="1:17" x14ac:dyDescent="0.2">
      <c r="A1389" s="1" t="str">
        <f>HYPERLINK("http://www.twitter.com/Ugo_Roux/status/1011489122001793025", "1011489122001793025")</f>
        <v>1011489122001793025</v>
      </c>
      <c r="B1389" t="s">
        <v>285</v>
      </c>
      <c r="C1389" s="3">
        <v>43277.2496875</v>
      </c>
      <c r="D1389" s="5" t="s">
        <v>28</v>
      </c>
      <c r="E1389">
        <v>1</v>
      </c>
      <c r="F1389">
        <v>1</v>
      </c>
      <c r="G1389">
        <v>0</v>
      </c>
      <c r="I1389" t="s">
        <v>1425</v>
      </c>
      <c r="J1389" t="str">
        <f>HYPERLINK("http://pbs.twimg.com/media/DgmH-i0W0AAm_Rc.jpg", "http://pbs.twimg.com/media/DgmH-i0W0AAm_Rc.jpg")</f>
        <v>http://pbs.twimg.com/media/DgmH-i0W0AAm_Rc.jpg</v>
      </c>
      <c r="N1389">
        <v>0</v>
      </c>
      <c r="O1389">
        <v>0</v>
      </c>
      <c r="P1389">
        <v>1</v>
      </c>
      <c r="Q1389">
        <v>0</v>
      </c>
    </row>
    <row r="1390" spans="1:17" x14ac:dyDescent="0.2">
      <c r="A1390" s="1" t="str">
        <f>HYPERLINK("http://www.twitter.com/Ugo_Roux/status/1010439037717565440", "1010439037717565440")</f>
        <v>1010439037717565440</v>
      </c>
      <c r="B1390" t="s">
        <v>456</v>
      </c>
      <c r="C1390" s="3">
        <v>43274.352013888893</v>
      </c>
      <c r="D1390" t="s">
        <v>17</v>
      </c>
      <c r="E1390">
        <v>2</v>
      </c>
      <c r="F1390">
        <v>2</v>
      </c>
      <c r="G1390">
        <v>0</v>
      </c>
      <c r="I1390" t="s">
        <v>1426</v>
      </c>
      <c r="N1390">
        <v>0</v>
      </c>
      <c r="O1390">
        <v>0</v>
      </c>
      <c r="P1390">
        <v>1</v>
      </c>
      <c r="Q1390">
        <v>0</v>
      </c>
    </row>
    <row r="1391" spans="1:17" x14ac:dyDescent="0.2">
      <c r="A1391" s="1" t="str">
        <f>HYPERLINK("http://www.twitter.com/Ugo_Roux/status/1009686042444795904", "1009686042444795904")</f>
        <v>1009686042444795904</v>
      </c>
      <c r="B1391" t="s">
        <v>142</v>
      </c>
      <c r="C1391" s="3">
        <v>43272.274143518523</v>
      </c>
      <c r="D1391" s="5" t="s">
        <v>17</v>
      </c>
      <c r="E1391">
        <v>3</v>
      </c>
      <c r="F1391">
        <v>0</v>
      </c>
      <c r="G1391">
        <v>0</v>
      </c>
      <c r="I1391" t="s">
        <v>1427</v>
      </c>
      <c r="J1391" t="str">
        <f>HYPERLINK("http://pbs.twimg.com/media/DgMgGLsX4AA_U7g.jpg", "http://pbs.twimg.com/media/DgMgGLsX4AA_U7g.jpg")</f>
        <v>http://pbs.twimg.com/media/DgMgGLsX4AA_U7g.jpg</v>
      </c>
      <c r="N1391">
        <v>0</v>
      </c>
      <c r="O1391">
        <v>0</v>
      </c>
      <c r="P1391">
        <v>1</v>
      </c>
      <c r="Q1391">
        <v>0</v>
      </c>
    </row>
    <row r="1392" spans="1:17" x14ac:dyDescent="0.2">
      <c r="A1392" s="1" t="str">
        <f>HYPERLINK("http://www.twitter.com/Ugo_Roux/status/1009682315629473793", "1009682315629473793")</f>
        <v>1009682315629473793</v>
      </c>
      <c r="B1392" t="s">
        <v>285</v>
      </c>
      <c r="C1392" s="3">
        <v>43272.263854166667</v>
      </c>
      <c r="D1392" s="5" t="s">
        <v>17</v>
      </c>
      <c r="E1392">
        <v>1</v>
      </c>
      <c r="F1392">
        <v>0</v>
      </c>
      <c r="G1392">
        <v>0</v>
      </c>
      <c r="I1392" t="s">
        <v>1428</v>
      </c>
      <c r="J1392" t="str">
        <f>HYPERLINK("http://pbs.twimg.com/media/DgMcr9UX0AE1YjD.jpg", "http://pbs.twimg.com/media/DgMcr9UX0AE1YjD.jpg")</f>
        <v>http://pbs.twimg.com/media/DgMcr9UX0AE1YjD.jpg</v>
      </c>
      <c r="N1392">
        <v>0.45879999999999999</v>
      </c>
      <c r="O1392">
        <v>0</v>
      </c>
      <c r="P1392">
        <v>0.85</v>
      </c>
      <c r="Q1392">
        <v>0.15</v>
      </c>
    </row>
    <row r="1393" spans="1:17" x14ac:dyDescent="0.2">
      <c r="A1393" s="1" t="str">
        <f>HYPERLINK("http://www.twitter.com/Ugo_Roux/status/1009463642373414912", "1009463642373414912")</f>
        <v>1009463642373414912</v>
      </c>
      <c r="B1393" t="s">
        <v>206</v>
      </c>
      <c r="C1393" s="3">
        <v>43271.660428240742</v>
      </c>
      <c r="D1393" s="5" t="s">
        <v>41</v>
      </c>
      <c r="E1393">
        <v>1</v>
      </c>
      <c r="F1393">
        <v>1</v>
      </c>
      <c r="G1393">
        <v>0</v>
      </c>
      <c r="I1393" t="s">
        <v>1429</v>
      </c>
      <c r="J1393" t="str">
        <f>HYPERLINK("http://pbs.twimg.com/media/DgJV00eWsAEDYbo.jpg", "http://pbs.twimg.com/media/DgJV00eWsAEDYbo.jpg")</f>
        <v>http://pbs.twimg.com/media/DgJV00eWsAEDYbo.jpg</v>
      </c>
      <c r="K1393" t="str">
        <f>HYPERLINK("http://pbs.twimg.com/media/DgJV00kWsAAvbVr.jpg", "http://pbs.twimg.com/media/DgJV00kWsAAvbVr.jpg")</f>
        <v>http://pbs.twimg.com/media/DgJV00kWsAAvbVr.jpg</v>
      </c>
      <c r="L1393" t="str">
        <f>HYPERLINK("http://pbs.twimg.com/media/DgJV006XkAISZ-8.jpg", "http://pbs.twimg.com/media/DgJV006XkAISZ-8.jpg")</f>
        <v>http://pbs.twimg.com/media/DgJV006XkAISZ-8.jpg</v>
      </c>
      <c r="N1393">
        <v>0.33650000000000002</v>
      </c>
      <c r="O1393">
        <v>0</v>
      </c>
      <c r="P1393">
        <v>0.90600000000000003</v>
      </c>
      <c r="Q1393">
        <v>9.4E-2</v>
      </c>
    </row>
    <row r="1394" spans="1:17" x14ac:dyDescent="0.2">
      <c r="A1394" s="1" t="str">
        <f>HYPERLINK("http://www.twitter.com/Ugo_Roux/status/1009355797279756288", "1009355797279756288")</f>
        <v>1009355797279756288</v>
      </c>
      <c r="B1394" t="s">
        <v>370</v>
      </c>
      <c r="C1394" s="3">
        <v>43271.362835648149</v>
      </c>
      <c r="D1394" s="3" t="s">
        <v>24</v>
      </c>
      <c r="E1394">
        <v>0</v>
      </c>
      <c r="F1394">
        <v>0</v>
      </c>
      <c r="G1394">
        <v>0</v>
      </c>
      <c r="I1394" t="s">
        <v>1430</v>
      </c>
      <c r="J1394" t="str">
        <f>HYPERLINK("http://pbs.twimg.com/media/DgHzv4LUcAA6W0R.png", "http://pbs.twimg.com/media/DgHzv4LUcAA6W0R.png")</f>
        <v>http://pbs.twimg.com/media/DgHzv4LUcAA6W0R.png</v>
      </c>
      <c r="N1394">
        <v>0</v>
      </c>
      <c r="O1394">
        <v>0</v>
      </c>
      <c r="P1394">
        <v>1</v>
      </c>
      <c r="Q1394">
        <v>0</v>
      </c>
    </row>
    <row r="1395" spans="1:17" x14ac:dyDescent="0.2">
      <c r="A1395" s="1" t="str">
        <f>HYPERLINK("http://www.twitter.com/Ugo_Roux/status/1009346435731607552", "1009346435731607552")</f>
        <v>1009346435731607552</v>
      </c>
      <c r="B1395" t="s">
        <v>456</v>
      </c>
      <c r="C1395" s="3">
        <v>43271.337002314824</v>
      </c>
      <c r="D1395" t="s">
        <v>41</v>
      </c>
      <c r="E1395">
        <v>2</v>
      </c>
      <c r="F1395">
        <v>1</v>
      </c>
      <c r="G1395">
        <v>0</v>
      </c>
      <c r="I1395" t="s">
        <v>1431</v>
      </c>
      <c r="J1395" t="str">
        <f>HYPERLINK("http://pbs.twimg.com/media/DgHqirUWsAAiYFP.jpg", "http://pbs.twimg.com/media/DgHqirUWsAAiYFP.jpg")</f>
        <v>http://pbs.twimg.com/media/DgHqirUWsAAiYFP.jpg</v>
      </c>
      <c r="K1395" t="str">
        <f>HYPERLINK("http://pbs.twimg.com/media/DgHqrnQXcAEMMSF.jpg", "http://pbs.twimg.com/media/DgHqrnQXcAEMMSF.jpg")</f>
        <v>http://pbs.twimg.com/media/DgHqrnQXcAEMMSF.jpg</v>
      </c>
      <c r="N1395">
        <v>0</v>
      </c>
      <c r="O1395">
        <v>0</v>
      </c>
      <c r="P1395">
        <v>1</v>
      </c>
      <c r="Q1395">
        <v>0</v>
      </c>
    </row>
    <row r="1396" spans="1:17" x14ac:dyDescent="0.2">
      <c r="A1396" s="1" t="str">
        <f>HYPERLINK("http://www.twitter.com/Ugo_Roux/status/1009132214079098880", "1009132214079098880")</f>
        <v>1009132214079098880</v>
      </c>
      <c r="B1396" t="s">
        <v>142</v>
      </c>
      <c r="C1396" s="3">
        <v>43270.745868055557</v>
      </c>
      <c r="D1396" s="5" t="s">
        <v>41</v>
      </c>
      <c r="E1396">
        <v>5</v>
      </c>
      <c r="F1396">
        <v>3</v>
      </c>
      <c r="G1396">
        <v>0</v>
      </c>
      <c r="I1396" t="s">
        <v>1432</v>
      </c>
      <c r="J1396" t="str">
        <f>HYPERLINK("http://pbs.twimg.com/media/DgEoZY3WkAAp-ki.jpg", "http://pbs.twimg.com/media/DgEoZY3WkAAp-ki.jpg")</f>
        <v>http://pbs.twimg.com/media/DgEoZY3WkAAp-ki.jpg</v>
      </c>
      <c r="K1396" t="str">
        <f>HYPERLINK("http://pbs.twimg.com/media/DgEoZYkWAAcOgd5.jpg", "http://pbs.twimg.com/media/DgEoZYkWAAcOgd5.jpg")</f>
        <v>http://pbs.twimg.com/media/DgEoZYkWAAcOgd5.jpg</v>
      </c>
      <c r="N1396">
        <v>0</v>
      </c>
      <c r="O1396">
        <v>0</v>
      </c>
      <c r="P1396">
        <v>1</v>
      </c>
      <c r="Q1396">
        <v>0</v>
      </c>
    </row>
    <row r="1397" spans="1:17" x14ac:dyDescent="0.2">
      <c r="A1397" s="1" t="str">
        <f>HYPERLINK("http://www.twitter.com/Ugo_Roux/status/1008677673449803776", "1008677673449803776")</f>
        <v>1008677673449803776</v>
      </c>
      <c r="B1397" t="s">
        <v>206</v>
      </c>
      <c r="C1397" s="3">
        <v>43269.491574074083</v>
      </c>
      <c r="D1397" s="5" t="s">
        <v>17</v>
      </c>
      <c r="E1397">
        <v>13</v>
      </c>
      <c r="F1397">
        <v>11</v>
      </c>
      <c r="G1397">
        <v>2</v>
      </c>
      <c r="I1397" t="s">
        <v>1433</v>
      </c>
      <c r="J1397" t="str">
        <f>HYPERLINK("http://pbs.twimg.com/media/Df-K_fNXkAIyITM.jpg", "http://pbs.twimg.com/media/Df-K_fNXkAIyITM.jpg")</f>
        <v>http://pbs.twimg.com/media/Df-K_fNXkAIyITM.jpg</v>
      </c>
      <c r="K1397" t="str">
        <f>HYPERLINK("http://pbs.twimg.com/media/Df-K_fkWAAAabXn.jpg", "http://pbs.twimg.com/media/Df-K_fkWAAAabXn.jpg")</f>
        <v>http://pbs.twimg.com/media/Df-K_fkWAAAabXn.jpg</v>
      </c>
      <c r="N1397">
        <v>0</v>
      </c>
      <c r="O1397">
        <v>0</v>
      </c>
      <c r="P1397">
        <v>1</v>
      </c>
      <c r="Q1397">
        <v>0</v>
      </c>
    </row>
    <row r="1398" spans="1:17" x14ac:dyDescent="0.2">
      <c r="A1398" s="1" t="str">
        <f>HYPERLINK("http://www.twitter.com/Ugo_Roux/status/1008227746135396352", "1008227746135396352")</f>
        <v>1008227746135396352</v>
      </c>
      <c r="B1398" t="s">
        <v>16</v>
      </c>
      <c r="C1398" s="3">
        <v>43268.250011574077</v>
      </c>
      <c r="D1398" s="3" t="s">
        <v>17</v>
      </c>
      <c r="E1398">
        <v>2</v>
      </c>
      <c r="F1398">
        <v>0</v>
      </c>
      <c r="G1398">
        <v>0</v>
      </c>
      <c r="I1398" t="s">
        <v>1434</v>
      </c>
      <c r="J1398" t="str">
        <f>HYPERLINK("http://pbs.twimg.com/media/DfzBknhW4AAYtUZ.jpg", "http://pbs.twimg.com/media/DfzBknhW4AAYtUZ.jpg")</f>
        <v>http://pbs.twimg.com/media/DfzBknhW4AAYtUZ.jpg</v>
      </c>
      <c r="N1398">
        <v>0</v>
      </c>
      <c r="O1398">
        <v>0</v>
      </c>
      <c r="P1398">
        <v>1</v>
      </c>
      <c r="Q1398">
        <v>0</v>
      </c>
    </row>
    <row r="1399" spans="1:17" x14ac:dyDescent="0.2">
      <c r="A1399" s="1" t="str">
        <f>HYPERLINK("http://www.twitter.com/Ugo_Roux/status/1007956212766343169", "1007956212766343169")</f>
        <v>1007956212766343169</v>
      </c>
      <c r="B1399" t="s">
        <v>206</v>
      </c>
      <c r="C1399" s="3">
        <v>43267.500717592593</v>
      </c>
      <c r="D1399" s="5" t="s">
        <v>41</v>
      </c>
      <c r="E1399">
        <v>2</v>
      </c>
      <c r="F1399">
        <v>1</v>
      </c>
      <c r="G1399">
        <v>0</v>
      </c>
      <c r="I1399" t="s">
        <v>1435</v>
      </c>
      <c r="J1399" t="str">
        <f>HYPERLINK("http://pbs.twimg.com/media/Dfz61C7W0AAObIf.jpg", "http://pbs.twimg.com/media/Dfz61C7W0AAObIf.jpg")</f>
        <v>http://pbs.twimg.com/media/Dfz61C7W0AAObIf.jpg</v>
      </c>
      <c r="K1399" t="str">
        <f>HYPERLINK("http://pbs.twimg.com/media/Dfz61DDWkAA3aIa.jpg", "http://pbs.twimg.com/media/Dfz61DDWkAA3aIa.jpg")</f>
        <v>http://pbs.twimg.com/media/Dfz61DDWkAA3aIa.jpg</v>
      </c>
      <c r="N1399">
        <v>0.63900000000000001</v>
      </c>
      <c r="O1399">
        <v>0</v>
      </c>
      <c r="P1399">
        <v>0.755</v>
      </c>
      <c r="Q1399">
        <v>0.245</v>
      </c>
    </row>
    <row r="1400" spans="1:17" x14ac:dyDescent="0.2">
      <c r="A1400" s="1" t="str">
        <f>HYPERLINK("http://www.twitter.com/Ugo_Roux/status/1007506605552947200", "1007506605552947200")</f>
        <v>1007506605552947200</v>
      </c>
      <c r="B1400" t="s">
        <v>285</v>
      </c>
      <c r="C1400" s="3">
        <v>43266.260034722232</v>
      </c>
      <c r="D1400" s="5" t="s">
        <v>17</v>
      </c>
      <c r="E1400">
        <v>2</v>
      </c>
      <c r="F1400">
        <v>0</v>
      </c>
      <c r="G1400">
        <v>0</v>
      </c>
      <c r="I1400" t="s">
        <v>1436</v>
      </c>
      <c r="J1400" t="str">
        <f>HYPERLINK("http://pbs.twimg.com/media/DftglRRW0AAw_c2.jpg", "http://pbs.twimg.com/media/DftglRRW0AAw_c2.jpg")</f>
        <v>http://pbs.twimg.com/media/DftglRRW0AAw_c2.jpg</v>
      </c>
      <c r="N1400">
        <v>0</v>
      </c>
      <c r="O1400">
        <v>0</v>
      </c>
      <c r="P1400">
        <v>1</v>
      </c>
      <c r="Q1400">
        <v>0</v>
      </c>
    </row>
    <row r="1401" spans="1:17" x14ac:dyDescent="0.2">
      <c r="A1401" s="1" t="str">
        <f>HYPERLINK("http://www.twitter.com/Ugo_Roux/status/1007248919498297345", "1007248919498297345")</f>
        <v>1007248919498297345</v>
      </c>
      <c r="B1401" t="s">
        <v>285</v>
      </c>
      <c r="C1401" s="3">
        <v>43265.548958333333</v>
      </c>
      <c r="D1401" s="5" t="s">
        <v>239</v>
      </c>
      <c r="E1401">
        <v>1</v>
      </c>
      <c r="F1401">
        <v>0</v>
      </c>
      <c r="G1401">
        <v>0</v>
      </c>
      <c r="I1401" t="s">
        <v>1437</v>
      </c>
      <c r="N1401">
        <v>0</v>
      </c>
      <c r="O1401">
        <v>0</v>
      </c>
      <c r="P1401">
        <v>1</v>
      </c>
      <c r="Q1401">
        <v>0</v>
      </c>
    </row>
    <row r="1402" spans="1:17" x14ac:dyDescent="0.2">
      <c r="A1402" s="1" t="str">
        <f>HYPERLINK("http://www.twitter.com/Ugo_Roux/status/1007179072580018176", "1007179072580018176")</f>
        <v>1007179072580018176</v>
      </c>
      <c r="B1402" t="s">
        <v>142</v>
      </c>
      <c r="C1402" s="3">
        <v>43265.356226851851</v>
      </c>
      <c r="D1402" s="5" t="s">
        <v>625</v>
      </c>
      <c r="E1402">
        <v>1</v>
      </c>
      <c r="F1402">
        <v>1</v>
      </c>
      <c r="G1402">
        <v>0</v>
      </c>
      <c r="I1402" t="s">
        <v>1438</v>
      </c>
      <c r="N1402">
        <v>0</v>
      </c>
      <c r="O1402">
        <v>0</v>
      </c>
      <c r="P1402">
        <v>1</v>
      </c>
      <c r="Q1402">
        <v>0</v>
      </c>
    </row>
    <row r="1403" spans="1:17" x14ac:dyDescent="0.2">
      <c r="A1403" s="1" t="str">
        <f>HYPERLINK("http://www.twitter.com/Ugo_Roux/status/1007171133777547265", "1007171133777547265")</f>
        <v>1007171133777547265</v>
      </c>
      <c r="B1403" t="s">
        <v>456</v>
      </c>
      <c r="C1403" s="3">
        <v>43265.334317129629</v>
      </c>
      <c r="D1403" t="s">
        <v>515</v>
      </c>
      <c r="E1403">
        <v>1</v>
      </c>
      <c r="F1403">
        <v>1</v>
      </c>
      <c r="G1403">
        <v>0</v>
      </c>
      <c r="I1403" t="s">
        <v>1439</v>
      </c>
      <c r="J1403" t="str">
        <f>HYPERLINK("http://pbs.twimg.com/media/Dfowzc3XUAIP2jO.jpg", "http://pbs.twimg.com/media/Dfowzc3XUAIP2jO.jpg")</f>
        <v>http://pbs.twimg.com/media/Dfowzc3XUAIP2jO.jpg</v>
      </c>
      <c r="N1403">
        <v>0</v>
      </c>
      <c r="O1403">
        <v>0</v>
      </c>
      <c r="P1403">
        <v>1</v>
      </c>
      <c r="Q1403">
        <v>0</v>
      </c>
    </row>
    <row r="1404" spans="1:17" x14ac:dyDescent="0.2">
      <c r="A1404" s="1" t="str">
        <f>HYPERLINK("http://www.twitter.com/Ugo_Roux/status/1007146389049106432", "1007146389049106432")</f>
        <v>1007146389049106432</v>
      </c>
      <c r="B1404" t="s">
        <v>285</v>
      </c>
      <c r="C1404" s="3">
        <v>43265.266030092593</v>
      </c>
      <c r="D1404" s="5" t="s">
        <v>28</v>
      </c>
      <c r="E1404">
        <v>0</v>
      </c>
      <c r="F1404">
        <v>0</v>
      </c>
      <c r="G1404">
        <v>0</v>
      </c>
      <c r="I1404" t="s">
        <v>1440</v>
      </c>
      <c r="J1404" t="str">
        <f>HYPERLINK("http://pbs.twimg.com/media/DfoaSanWAAA1I4o.jpg", "http://pbs.twimg.com/media/DfoaSanWAAA1I4o.jpg")</f>
        <v>http://pbs.twimg.com/media/DfoaSanWAAA1I4o.jpg</v>
      </c>
      <c r="N1404">
        <v>0</v>
      </c>
      <c r="O1404">
        <v>0</v>
      </c>
      <c r="P1404">
        <v>1</v>
      </c>
      <c r="Q1404">
        <v>0</v>
      </c>
    </row>
    <row r="1405" spans="1:17" x14ac:dyDescent="0.2">
      <c r="A1405" s="1" t="str">
        <f>HYPERLINK("http://www.twitter.com/Ugo_Roux/status/1007145858780024832", "1007145858780024832")</f>
        <v>1007145858780024832</v>
      </c>
      <c r="B1405" t="s">
        <v>285</v>
      </c>
      <c r="C1405" s="3">
        <v>43265.26457175926</v>
      </c>
      <c r="D1405" s="5" t="s">
        <v>28</v>
      </c>
      <c r="E1405">
        <v>0</v>
      </c>
      <c r="F1405">
        <v>0</v>
      </c>
      <c r="G1405">
        <v>0</v>
      </c>
      <c r="I1405" t="s">
        <v>1441</v>
      </c>
      <c r="J1405" t="str">
        <f>HYPERLINK("http://pbs.twimg.com/media/DfoZy4eXkAABeMO.jpg", "http://pbs.twimg.com/media/DfoZy4eXkAABeMO.jpg")</f>
        <v>http://pbs.twimg.com/media/DfoZy4eXkAABeMO.jpg</v>
      </c>
      <c r="N1405">
        <v>0</v>
      </c>
      <c r="O1405">
        <v>0</v>
      </c>
      <c r="P1405">
        <v>1</v>
      </c>
      <c r="Q1405">
        <v>0</v>
      </c>
    </row>
    <row r="1406" spans="1:17" x14ac:dyDescent="0.2">
      <c r="A1406" s="1" t="str">
        <f>HYPERLINK("http://www.twitter.com/Ugo_Roux/status/1006905388632100865", "1006905388632100865")</f>
        <v>1006905388632100865</v>
      </c>
      <c r="B1406" t="s">
        <v>370</v>
      </c>
      <c r="C1406" s="3">
        <v>43264.600995370369</v>
      </c>
      <c r="D1406" s="3" t="s">
        <v>28</v>
      </c>
      <c r="E1406">
        <v>0</v>
      </c>
      <c r="F1406">
        <v>0</v>
      </c>
      <c r="G1406">
        <v>0</v>
      </c>
      <c r="I1406" t="s">
        <v>1442</v>
      </c>
      <c r="J1406" t="str">
        <f>HYPERLINK("http://pbs.twimg.com/media/Dfk_HSxUwAAWhiH.jpg", "http://pbs.twimg.com/media/Dfk_HSxUwAAWhiH.jpg")</f>
        <v>http://pbs.twimg.com/media/Dfk_HSxUwAAWhiH.jpg</v>
      </c>
      <c r="N1406">
        <v>0</v>
      </c>
      <c r="O1406">
        <v>0</v>
      </c>
      <c r="P1406">
        <v>1</v>
      </c>
      <c r="Q1406">
        <v>0</v>
      </c>
    </row>
    <row r="1407" spans="1:17" x14ac:dyDescent="0.2">
      <c r="A1407" s="1" t="str">
        <f>HYPERLINK("http://www.twitter.com/Ugo_Roux/status/1006902091670085632", "1006902091670085632")</f>
        <v>1006902091670085632</v>
      </c>
      <c r="B1407" t="s">
        <v>370</v>
      </c>
      <c r="C1407" s="3">
        <v>43264.591898148137</v>
      </c>
      <c r="D1407" s="3" t="s">
        <v>28</v>
      </c>
      <c r="E1407">
        <v>0</v>
      </c>
      <c r="F1407">
        <v>0</v>
      </c>
      <c r="G1407">
        <v>0</v>
      </c>
      <c r="I1407" t="s">
        <v>1443</v>
      </c>
      <c r="J1407" t="str">
        <f>HYPERLINK("http://pbs.twimg.com/media/Dfk8HZLVAAAuIxl.jpg", "http://pbs.twimg.com/media/Dfk8HZLVAAAuIxl.jpg")</f>
        <v>http://pbs.twimg.com/media/Dfk8HZLVAAAuIxl.jpg</v>
      </c>
      <c r="N1407">
        <v>0</v>
      </c>
      <c r="O1407">
        <v>0</v>
      </c>
      <c r="P1407">
        <v>1</v>
      </c>
      <c r="Q1407">
        <v>0</v>
      </c>
    </row>
    <row r="1408" spans="1:17" x14ac:dyDescent="0.2">
      <c r="A1408" s="1" t="str">
        <f>HYPERLINK("http://www.twitter.com/Ugo_Roux/status/1006894850938044416", "1006894850938044416")</f>
        <v>1006894850938044416</v>
      </c>
      <c r="B1408" t="s">
        <v>456</v>
      </c>
      <c r="C1408" s="3">
        <v>43264.571921296287</v>
      </c>
      <c r="D1408" t="s">
        <v>515</v>
      </c>
      <c r="E1408">
        <v>1</v>
      </c>
      <c r="F1408">
        <v>0</v>
      </c>
      <c r="G1408">
        <v>0</v>
      </c>
      <c r="I1408" t="s">
        <v>1444</v>
      </c>
      <c r="J1408" t="str">
        <f>HYPERLINK("http://pbs.twimg.com/media/Dfk1S1aVMAMfO43.jpg", "http://pbs.twimg.com/media/Dfk1S1aVMAMfO43.jpg")</f>
        <v>http://pbs.twimg.com/media/Dfk1S1aVMAMfO43.jpg</v>
      </c>
      <c r="N1408">
        <v>0</v>
      </c>
      <c r="O1408">
        <v>0</v>
      </c>
      <c r="P1408">
        <v>1</v>
      </c>
      <c r="Q1408">
        <v>0</v>
      </c>
    </row>
    <row r="1409" spans="1:17" x14ac:dyDescent="0.2">
      <c r="A1409" s="1" t="str">
        <f>HYPERLINK("http://www.twitter.com/Ugo_Roux/status/1006894134035021824", "1006894134035021824")</f>
        <v>1006894134035021824</v>
      </c>
      <c r="B1409" t="s">
        <v>456</v>
      </c>
      <c r="C1409" s="3">
        <v>43264.56994212963</v>
      </c>
      <c r="D1409" t="s">
        <v>515</v>
      </c>
      <c r="E1409">
        <v>1</v>
      </c>
      <c r="F1409">
        <v>0</v>
      </c>
      <c r="G1409">
        <v>0</v>
      </c>
      <c r="I1409" t="s">
        <v>1445</v>
      </c>
      <c r="J1409" t="str">
        <f>HYPERLINK("http://pbs.twimg.com/media/Dfk0z42U0AEdewn.jpg", "http://pbs.twimg.com/media/Dfk0z42U0AEdewn.jpg")</f>
        <v>http://pbs.twimg.com/media/Dfk0z42U0AEdewn.jpg</v>
      </c>
      <c r="N1409">
        <v>0</v>
      </c>
      <c r="O1409">
        <v>0</v>
      </c>
      <c r="P1409">
        <v>1</v>
      </c>
      <c r="Q1409">
        <v>0</v>
      </c>
    </row>
    <row r="1410" spans="1:17" x14ac:dyDescent="0.2">
      <c r="A1410" s="1" t="str">
        <f>HYPERLINK("http://www.twitter.com/Ugo_Roux/status/1006881923686379526", "1006881923686379526")</f>
        <v>1006881923686379526</v>
      </c>
      <c r="B1410" t="s">
        <v>456</v>
      </c>
      <c r="C1410" s="3">
        <v>43264.536249999997</v>
      </c>
      <c r="D1410" t="s">
        <v>24</v>
      </c>
      <c r="E1410">
        <v>1</v>
      </c>
      <c r="F1410">
        <v>0</v>
      </c>
      <c r="G1410">
        <v>0</v>
      </c>
      <c r="I1410" t="s">
        <v>1446</v>
      </c>
      <c r="J1410" t="str">
        <f>HYPERLINK("http://pbs.twimg.com/media/DfkppDrWsAAuB72.jpg", "http://pbs.twimg.com/media/DfkppDrWsAAuB72.jpg")</f>
        <v>http://pbs.twimg.com/media/DfkppDrWsAAuB72.jpg</v>
      </c>
      <c r="N1410">
        <v>0</v>
      </c>
      <c r="O1410">
        <v>0</v>
      </c>
      <c r="P1410">
        <v>1</v>
      </c>
      <c r="Q1410">
        <v>0</v>
      </c>
    </row>
    <row r="1411" spans="1:17" x14ac:dyDescent="0.2">
      <c r="A1411" s="1" t="str">
        <f>HYPERLINK("http://www.twitter.com/Ugo_Roux/status/1006556736289828864", "1006556736289828864")</f>
        <v>1006556736289828864</v>
      </c>
      <c r="B1411" t="s">
        <v>16</v>
      </c>
      <c r="C1411" s="3">
        <v>43263.63890046296</v>
      </c>
      <c r="D1411" s="3" t="s">
        <v>17</v>
      </c>
      <c r="E1411">
        <v>2</v>
      </c>
      <c r="F1411">
        <v>0</v>
      </c>
      <c r="G1411">
        <v>0</v>
      </c>
      <c r="I1411" t="s">
        <v>1447</v>
      </c>
      <c r="J1411" t="str">
        <f>HYPERLINK("http://pbs.twimg.com/media/Dffvdy-WkAY-rja.jpg", "http://pbs.twimg.com/media/Dffvdy-WkAY-rja.jpg")</f>
        <v>http://pbs.twimg.com/media/Dffvdy-WkAY-rja.jpg</v>
      </c>
      <c r="N1411">
        <v>0.29420000000000002</v>
      </c>
      <c r="O1411">
        <v>0</v>
      </c>
      <c r="P1411">
        <v>0.94099999999999995</v>
      </c>
      <c r="Q1411">
        <v>5.8999999999999997E-2</v>
      </c>
    </row>
    <row r="1412" spans="1:17" x14ac:dyDescent="0.2">
      <c r="A1412" s="1" t="str">
        <f>HYPERLINK("http://www.twitter.com/Ugo_Roux/status/1006515934104825856", "1006515934104825856")</f>
        <v>1006515934104825856</v>
      </c>
      <c r="B1412" t="s">
        <v>206</v>
      </c>
      <c r="C1412" s="3">
        <v>43263.526307870372</v>
      </c>
      <c r="D1412" s="5" t="s">
        <v>28</v>
      </c>
      <c r="E1412">
        <v>9</v>
      </c>
      <c r="F1412">
        <v>2</v>
      </c>
      <c r="G1412">
        <v>0</v>
      </c>
      <c r="I1412" t="s">
        <v>1448</v>
      </c>
      <c r="J1412" t="str">
        <f>HYPERLINK("http://pbs.twimg.com/media/DffaxJSXkAELQMu.jpg", "http://pbs.twimg.com/media/DffaxJSXkAELQMu.jpg")</f>
        <v>http://pbs.twimg.com/media/DffaxJSXkAELQMu.jpg</v>
      </c>
      <c r="N1412">
        <v>0.59619999999999995</v>
      </c>
      <c r="O1412">
        <v>0</v>
      </c>
      <c r="P1412">
        <v>0.91700000000000004</v>
      </c>
      <c r="Q1412">
        <v>8.3000000000000004E-2</v>
      </c>
    </row>
    <row r="1413" spans="1:17" x14ac:dyDescent="0.2">
      <c r="A1413" s="1" t="str">
        <f>HYPERLINK("http://www.twitter.com/Ugo_Roux/status/1006444893030567936", "1006444893030567936")</f>
        <v>1006444893030567936</v>
      </c>
      <c r="B1413" t="s">
        <v>285</v>
      </c>
      <c r="C1413" s="3">
        <v>43263.330266203702</v>
      </c>
      <c r="D1413" s="5" t="s">
        <v>17</v>
      </c>
      <c r="E1413">
        <v>1</v>
      </c>
      <c r="F1413">
        <v>0</v>
      </c>
      <c r="G1413">
        <v>0</v>
      </c>
      <c r="I1413" t="s">
        <v>1449</v>
      </c>
      <c r="N1413">
        <v>0</v>
      </c>
      <c r="O1413">
        <v>0</v>
      </c>
      <c r="P1413">
        <v>1</v>
      </c>
      <c r="Q1413">
        <v>0</v>
      </c>
    </row>
    <row r="1414" spans="1:17" x14ac:dyDescent="0.2">
      <c r="A1414" s="1" t="str">
        <f>HYPERLINK("http://www.twitter.com/Ugo_Roux/status/1006432138718302208", "1006432138718302208")</f>
        <v>1006432138718302208</v>
      </c>
      <c r="B1414" t="s">
        <v>476</v>
      </c>
      <c r="C1414" s="3">
        <v>43263.295081018521</v>
      </c>
      <c r="D1414" s="5" t="s">
        <v>17</v>
      </c>
      <c r="E1414">
        <v>0</v>
      </c>
      <c r="F1414">
        <v>0</v>
      </c>
      <c r="G1414">
        <v>0</v>
      </c>
      <c r="I1414" t="s">
        <v>1450</v>
      </c>
      <c r="N1414">
        <v>0</v>
      </c>
      <c r="O1414">
        <v>0</v>
      </c>
      <c r="P1414">
        <v>1</v>
      </c>
      <c r="Q1414">
        <v>0</v>
      </c>
    </row>
    <row r="1415" spans="1:17" x14ac:dyDescent="0.2">
      <c r="A1415" s="1" t="str">
        <f>HYPERLINK("http://www.twitter.com/Ugo_Roux/status/1006089766293696512", "1006089766293696512")</f>
        <v>1006089766293696512</v>
      </c>
      <c r="B1415" t="s">
        <v>142</v>
      </c>
      <c r="C1415" s="3">
        <v>43262.350312499999</v>
      </c>
      <c r="D1415" s="5" t="s">
        <v>28</v>
      </c>
      <c r="E1415">
        <v>1</v>
      </c>
      <c r="F1415">
        <v>1</v>
      </c>
      <c r="G1415">
        <v>0</v>
      </c>
      <c r="I1415" t="s">
        <v>1451</v>
      </c>
      <c r="N1415">
        <v>0</v>
      </c>
      <c r="O1415">
        <v>0</v>
      </c>
      <c r="P1415">
        <v>1</v>
      </c>
      <c r="Q1415">
        <v>0</v>
      </c>
    </row>
    <row r="1416" spans="1:17" x14ac:dyDescent="0.2">
      <c r="A1416" s="1" t="str">
        <f>HYPERLINK("http://www.twitter.com/Ugo_Roux/status/1006076235431194624", "1006076235431194624")</f>
        <v>1006076235431194624</v>
      </c>
      <c r="B1416" t="s">
        <v>142</v>
      </c>
      <c r="C1416" s="3">
        <v>43262.312974537039</v>
      </c>
      <c r="D1416" s="5" t="s">
        <v>28</v>
      </c>
      <c r="E1416">
        <v>1</v>
      </c>
      <c r="F1416">
        <v>0</v>
      </c>
      <c r="G1416">
        <v>0</v>
      </c>
      <c r="I1416" t="s">
        <v>1452</v>
      </c>
      <c r="N1416">
        <v>0</v>
      </c>
      <c r="O1416">
        <v>0</v>
      </c>
      <c r="P1416">
        <v>1</v>
      </c>
      <c r="Q1416">
        <v>0</v>
      </c>
    </row>
    <row r="1417" spans="1:17" x14ac:dyDescent="0.2">
      <c r="A1417" s="1" t="str">
        <f>HYPERLINK("http://www.twitter.com/Ugo_Roux/status/1005437751032975360", "1005437751032975360")</f>
        <v>1005437751032975360</v>
      </c>
      <c r="B1417" t="s">
        <v>414</v>
      </c>
      <c r="C1417" s="3">
        <v>43260.551087962973</v>
      </c>
      <c r="D1417" s="5" t="s">
        <v>41</v>
      </c>
      <c r="E1417">
        <v>2</v>
      </c>
      <c r="F1417">
        <v>3</v>
      </c>
      <c r="G1417">
        <v>0</v>
      </c>
      <c r="I1417" t="s">
        <v>1453</v>
      </c>
      <c r="J1417" t="str">
        <f>HYPERLINK("http://pbs.twimg.com/media/DfQISa7XkAAperV.jpg", "http://pbs.twimg.com/media/DfQISa7XkAAperV.jpg")</f>
        <v>http://pbs.twimg.com/media/DfQISa7XkAAperV.jpg</v>
      </c>
      <c r="N1417">
        <v>0</v>
      </c>
      <c r="O1417">
        <v>0</v>
      </c>
      <c r="P1417">
        <v>1</v>
      </c>
      <c r="Q1417">
        <v>0</v>
      </c>
    </row>
    <row r="1418" spans="1:17" x14ac:dyDescent="0.2">
      <c r="A1418" s="1" t="str">
        <f>HYPERLINK("http://www.twitter.com/Ugo_Roux/status/1005426796467286016", "1005426796467286016")</f>
        <v>1005426796467286016</v>
      </c>
      <c r="B1418" t="s">
        <v>97</v>
      </c>
      <c r="C1418" s="3">
        <v>43260.520856481482</v>
      </c>
      <c r="D1418" s="5" t="s">
        <v>17</v>
      </c>
      <c r="E1418">
        <v>0</v>
      </c>
      <c r="F1418">
        <v>0</v>
      </c>
      <c r="G1418">
        <v>0</v>
      </c>
      <c r="I1418" t="s">
        <v>1454</v>
      </c>
      <c r="J1418" t="str">
        <f>HYPERLINK("http://pbs.twimg.com/media/DfP-V51VAAE6JvS.jpg", "http://pbs.twimg.com/media/DfP-V51VAAE6JvS.jpg")</f>
        <v>http://pbs.twimg.com/media/DfP-V51VAAE6JvS.jpg</v>
      </c>
      <c r="N1418">
        <v>0</v>
      </c>
      <c r="O1418">
        <v>0</v>
      </c>
      <c r="P1418">
        <v>1</v>
      </c>
      <c r="Q1418">
        <v>0</v>
      </c>
    </row>
    <row r="1419" spans="1:17" x14ac:dyDescent="0.2">
      <c r="A1419" s="1" t="str">
        <f>HYPERLINK("http://www.twitter.com/Ugo_Roux/status/1005424797315223552", "1005424797315223552")</f>
        <v>1005424797315223552</v>
      </c>
      <c r="B1419" t="s">
        <v>206</v>
      </c>
      <c r="C1419" s="3">
        <v>43260.515347222223</v>
      </c>
      <c r="D1419" s="5" t="s">
        <v>28</v>
      </c>
      <c r="E1419">
        <v>2</v>
      </c>
      <c r="F1419">
        <v>1</v>
      </c>
      <c r="G1419">
        <v>0</v>
      </c>
      <c r="I1419" t="s">
        <v>1455</v>
      </c>
      <c r="J1419" t="str">
        <f>HYPERLINK("http://pbs.twimg.com/media/DfP4vj3XkAAOmlZ.jpg", "http://pbs.twimg.com/media/DfP4vj3XkAAOmlZ.jpg")</f>
        <v>http://pbs.twimg.com/media/DfP4vj3XkAAOmlZ.jpg</v>
      </c>
      <c r="N1419">
        <v>-0.39560000000000001</v>
      </c>
      <c r="O1419">
        <v>5.8000000000000003E-2</v>
      </c>
      <c r="P1419">
        <v>0.94199999999999995</v>
      </c>
      <c r="Q1419">
        <v>0</v>
      </c>
    </row>
    <row r="1420" spans="1:17" x14ac:dyDescent="0.2">
      <c r="A1420" s="1" t="str">
        <f>HYPERLINK("http://www.twitter.com/Ugo_Roux/status/1005376415481716736", "1005376415481716736")</f>
        <v>1005376415481716736</v>
      </c>
      <c r="B1420" t="s">
        <v>414</v>
      </c>
      <c r="C1420" s="3">
        <v>43260.381840277783</v>
      </c>
      <c r="D1420" s="5" t="s">
        <v>28</v>
      </c>
      <c r="E1420">
        <v>1</v>
      </c>
      <c r="F1420">
        <v>2</v>
      </c>
      <c r="G1420">
        <v>0</v>
      </c>
      <c r="I1420" t="s">
        <v>1456</v>
      </c>
      <c r="J1420" t="str">
        <f>HYPERLINK("http://pbs.twimg.com/media/DfPP-8UX0AIeqJm.jpg", "http://pbs.twimg.com/media/DfPP-8UX0AIeqJm.jpg")</f>
        <v>http://pbs.twimg.com/media/DfPP-8UX0AIeqJm.jpg</v>
      </c>
      <c r="N1420">
        <v>0</v>
      </c>
      <c r="O1420">
        <v>0</v>
      </c>
      <c r="P1420">
        <v>1</v>
      </c>
      <c r="Q1420">
        <v>0</v>
      </c>
    </row>
    <row r="1421" spans="1:17" x14ac:dyDescent="0.2">
      <c r="A1421" s="1" t="str">
        <f>HYPERLINK("http://www.twitter.com/Ugo_Roux/status/1005009061182672896", "1005009061182672896")</f>
        <v>1005009061182672896</v>
      </c>
      <c r="B1421" t="s">
        <v>456</v>
      </c>
      <c r="C1421" s="3">
        <v>43259.368136574078</v>
      </c>
      <c r="D1421" t="s">
        <v>1187</v>
      </c>
      <c r="E1421">
        <v>1</v>
      </c>
      <c r="F1421">
        <v>0</v>
      </c>
      <c r="G1421">
        <v>0</v>
      </c>
      <c r="I1421" t="s">
        <v>1457</v>
      </c>
      <c r="J1421" t="str">
        <f>HYPERLINK("http://pbs.twimg.com/media/DfKCWqxXUAAoySe.jpg", "http://pbs.twimg.com/media/DfKCWqxXUAAoySe.jpg")</f>
        <v>http://pbs.twimg.com/media/DfKCWqxXUAAoySe.jpg</v>
      </c>
      <c r="N1421">
        <v>0</v>
      </c>
      <c r="O1421">
        <v>0</v>
      </c>
      <c r="P1421">
        <v>1</v>
      </c>
      <c r="Q1421">
        <v>0</v>
      </c>
    </row>
    <row r="1422" spans="1:17" x14ac:dyDescent="0.2">
      <c r="A1422" s="1" t="str">
        <f>HYPERLINK("http://www.twitter.com/Ugo_Roux/status/1004982095779979264", "1004982095779979264")</f>
        <v>1004982095779979264</v>
      </c>
      <c r="B1422" t="s">
        <v>285</v>
      </c>
      <c r="C1422" s="3">
        <v>43259.293715277781</v>
      </c>
      <c r="D1422" s="5" t="s">
        <v>17</v>
      </c>
      <c r="E1422">
        <v>1</v>
      </c>
      <c r="F1422">
        <v>1</v>
      </c>
      <c r="G1422">
        <v>0</v>
      </c>
      <c r="I1422" t="s">
        <v>1458</v>
      </c>
      <c r="J1422" t="str">
        <f>HYPERLINK("http://pbs.twimg.com/media/DfJphd0XkAA4Gdc.jpg", "http://pbs.twimg.com/media/DfJphd0XkAA4Gdc.jpg")</f>
        <v>http://pbs.twimg.com/media/DfJphd0XkAA4Gdc.jpg</v>
      </c>
      <c r="K1422" t="str">
        <f>HYPERLINK("http://pbs.twimg.com/media/DfJpiZOWAAApm96.jpg", "http://pbs.twimg.com/media/DfJpiZOWAAApm96.jpg")</f>
        <v>http://pbs.twimg.com/media/DfJpiZOWAAApm96.jpg</v>
      </c>
      <c r="L1422" t="str">
        <f>HYPERLINK("http://pbs.twimg.com/media/DfJpjQGX4AAobbx.jpg", "http://pbs.twimg.com/media/DfJpjQGX4AAobbx.jpg")</f>
        <v>http://pbs.twimg.com/media/DfJpjQGX4AAobbx.jpg</v>
      </c>
      <c r="N1422">
        <v>0</v>
      </c>
      <c r="O1422">
        <v>0</v>
      </c>
      <c r="P1422">
        <v>1</v>
      </c>
      <c r="Q1422">
        <v>0</v>
      </c>
    </row>
    <row r="1423" spans="1:17" x14ac:dyDescent="0.2">
      <c r="A1423" s="1" t="str">
        <f>HYPERLINK("http://www.twitter.com/Ugo_Roux/status/1004702845248196608", "1004702845248196608")</f>
        <v>1004702845248196608</v>
      </c>
      <c r="B1423" t="s">
        <v>471</v>
      </c>
      <c r="C1423" s="3">
        <v>43258.523136574076</v>
      </c>
      <c r="D1423" s="3" t="s">
        <v>28</v>
      </c>
      <c r="E1423">
        <v>1</v>
      </c>
      <c r="F1423">
        <v>0</v>
      </c>
      <c r="G1423">
        <v>0</v>
      </c>
      <c r="I1423" t="s">
        <v>1459</v>
      </c>
      <c r="J1423" t="str">
        <f>HYPERLINK("http://pbs.twimg.com/media/DfFr5GhXUAAp6l5.jpg", "http://pbs.twimg.com/media/DfFr5GhXUAAp6l5.jpg")</f>
        <v>http://pbs.twimg.com/media/DfFr5GhXUAAp6l5.jpg</v>
      </c>
      <c r="N1423">
        <v>0</v>
      </c>
      <c r="O1423">
        <v>0</v>
      </c>
      <c r="P1423">
        <v>1</v>
      </c>
      <c r="Q1423">
        <v>0</v>
      </c>
    </row>
    <row r="1424" spans="1:17" x14ac:dyDescent="0.2">
      <c r="A1424" s="1" t="str">
        <f>HYPERLINK("http://www.twitter.com/Ugo_Roux/status/1004615830666186753", "1004615830666186753")</f>
        <v>1004615830666186753</v>
      </c>
      <c r="B1424" t="s">
        <v>456</v>
      </c>
      <c r="C1424" s="3">
        <v>43258.283020833333</v>
      </c>
      <c r="D1424" t="s">
        <v>41</v>
      </c>
      <c r="E1424">
        <v>0</v>
      </c>
      <c r="F1424">
        <v>0</v>
      </c>
      <c r="G1424">
        <v>0</v>
      </c>
      <c r="I1424" t="s">
        <v>1460</v>
      </c>
      <c r="J1424" t="str">
        <f>HYPERLINK("http://pbs.twimg.com/media/DfEcwgdWsAAJMay.jpg", "http://pbs.twimg.com/media/DfEcwgdWsAAJMay.jpg")</f>
        <v>http://pbs.twimg.com/media/DfEcwgdWsAAJMay.jpg</v>
      </c>
      <c r="N1424">
        <v>0</v>
      </c>
      <c r="O1424">
        <v>0</v>
      </c>
      <c r="P1424">
        <v>1</v>
      </c>
      <c r="Q1424">
        <v>0</v>
      </c>
    </row>
    <row r="1425" spans="1:17" x14ac:dyDescent="0.2">
      <c r="A1425" s="1" t="str">
        <f>HYPERLINK("http://www.twitter.com/Ugo_Roux/status/1004356179705892864", "1004356179705892864")</f>
        <v>1004356179705892864</v>
      </c>
      <c r="B1425" t="s">
        <v>456</v>
      </c>
      <c r="C1425" s="3">
        <v>43257.566516203697</v>
      </c>
      <c r="D1425" t="s">
        <v>28</v>
      </c>
      <c r="E1425">
        <v>2</v>
      </c>
      <c r="F1425">
        <v>0</v>
      </c>
      <c r="G1425">
        <v>0</v>
      </c>
      <c r="I1425" t="s">
        <v>1461</v>
      </c>
      <c r="J1425" t="str">
        <f>HYPERLINK("http://pbs.twimg.com/media/DfAwT5pWsAAkuVp.jpg", "http://pbs.twimg.com/media/DfAwT5pWsAAkuVp.jpg")</f>
        <v>http://pbs.twimg.com/media/DfAwT5pWsAAkuVp.jpg</v>
      </c>
      <c r="N1425">
        <v>0</v>
      </c>
      <c r="O1425">
        <v>0</v>
      </c>
      <c r="P1425">
        <v>1</v>
      </c>
      <c r="Q1425">
        <v>0</v>
      </c>
    </row>
    <row r="1426" spans="1:17" x14ac:dyDescent="0.2">
      <c r="A1426" s="1" t="str">
        <f>HYPERLINK("http://www.twitter.com/Ugo_Roux/status/1004313392813871104", "1004313392813871104")</f>
        <v>1004313392813871104</v>
      </c>
      <c r="B1426" t="s">
        <v>370</v>
      </c>
      <c r="C1426" s="3">
        <v>43257.448449074072</v>
      </c>
      <c r="D1426" s="5" t="s">
        <v>28</v>
      </c>
      <c r="E1426">
        <v>0</v>
      </c>
      <c r="F1426">
        <v>0</v>
      </c>
      <c r="G1426">
        <v>0</v>
      </c>
      <c r="I1426" t="s">
        <v>1462</v>
      </c>
      <c r="J1426" t="str">
        <f>HYPERLINK("http://pbs.twimg.com/media/DfAJtUqVMAE0Ow4.jpg", "http://pbs.twimg.com/media/DfAJtUqVMAE0Ow4.jpg")</f>
        <v>http://pbs.twimg.com/media/DfAJtUqVMAE0Ow4.jpg</v>
      </c>
      <c r="N1426">
        <v>0</v>
      </c>
      <c r="O1426">
        <v>0</v>
      </c>
      <c r="P1426">
        <v>1</v>
      </c>
      <c r="Q1426">
        <v>0</v>
      </c>
    </row>
    <row r="1427" spans="1:17" x14ac:dyDescent="0.2">
      <c r="A1427" s="1" t="str">
        <f>HYPERLINK("http://www.twitter.com/Ugo_Roux/status/1004265479546994688", "1004265479546994688")</f>
        <v>1004265479546994688</v>
      </c>
      <c r="B1427" t="s">
        <v>285</v>
      </c>
      <c r="C1427" s="3">
        <v>43257.316238425927</v>
      </c>
      <c r="D1427" s="5" t="s">
        <v>17</v>
      </c>
      <c r="E1427">
        <v>0</v>
      </c>
      <c r="F1427">
        <v>0</v>
      </c>
      <c r="G1427">
        <v>0</v>
      </c>
      <c r="I1427" t="s">
        <v>1463</v>
      </c>
      <c r="J1427" t="str">
        <f>HYPERLINK("http://pbs.twimg.com/media/De_eBctXkAA4Hyw.jpg", "http://pbs.twimg.com/media/De_eBctXkAA4Hyw.jpg")</f>
        <v>http://pbs.twimg.com/media/De_eBctXkAA4Hyw.jpg</v>
      </c>
      <c r="N1427">
        <v>0</v>
      </c>
      <c r="O1427">
        <v>0</v>
      </c>
      <c r="P1427">
        <v>1</v>
      </c>
      <c r="Q1427">
        <v>0</v>
      </c>
    </row>
    <row r="1428" spans="1:17" x14ac:dyDescent="0.2">
      <c r="A1428" s="1" t="str">
        <f>HYPERLINK("http://www.twitter.com/Ugo_Roux/status/1003946118353387520", "1003946118353387520")</f>
        <v>1003946118353387520</v>
      </c>
      <c r="B1428" t="s">
        <v>16</v>
      </c>
      <c r="C1428" s="3">
        <v>43256.434965277767</v>
      </c>
      <c r="D1428" s="3" t="s">
        <v>17</v>
      </c>
      <c r="E1428">
        <v>7</v>
      </c>
      <c r="F1428">
        <v>3</v>
      </c>
      <c r="G1428">
        <v>1</v>
      </c>
      <c r="I1428" t="s">
        <v>1464</v>
      </c>
      <c r="J1428" t="str">
        <f>HYPERLINK("http://pbs.twimg.com/media/De67c6-X4AI_j0Q.jpg", "http://pbs.twimg.com/media/De67c6-X4AI_j0Q.jpg")</f>
        <v>http://pbs.twimg.com/media/De67c6-X4AI_j0Q.jpg</v>
      </c>
      <c r="N1428">
        <v>-0.128</v>
      </c>
      <c r="O1428">
        <v>3.5999999999999997E-2</v>
      </c>
      <c r="P1428">
        <v>0.96399999999999997</v>
      </c>
      <c r="Q1428">
        <v>0</v>
      </c>
    </row>
    <row r="1429" spans="1:17" x14ac:dyDescent="0.2">
      <c r="A1429" s="1" t="str">
        <f>HYPERLINK("http://www.twitter.com/Ugo_Roux/status/1002516829192048640", "1002516829192048640")</f>
        <v>1002516829192048640</v>
      </c>
      <c r="B1429" t="s">
        <v>142</v>
      </c>
      <c r="C1429" s="3">
        <v>43252.490879629629</v>
      </c>
      <c r="D1429" s="5" t="s">
        <v>17</v>
      </c>
      <c r="E1429">
        <v>1</v>
      </c>
      <c r="F1429">
        <v>1</v>
      </c>
      <c r="G1429">
        <v>0</v>
      </c>
      <c r="I1429" t="s">
        <v>1465</v>
      </c>
      <c r="J1429" t="str">
        <f>HYPERLINK("http://pbs.twimg.com/media/DemnvW5WsAEmdpJ.jpg", "http://pbs.twimg.com/media/DemnvW5WsAEmdpJ.jpg")</f>
        <v>http://pbs.twimg.com/media/DemnvW5WsAEmdpJ.jpg</v>
      </c>
      <c r="N1429">
        <v>-0.128</v>
      </c>
      <c r="O1429">
        <v>4.2000000000000003E-2</v>
      </c>
      <c r="P1429">
        <v>0.95799999999999996</v>
      </c>
      <c r="Q1429">
        <v>0</v>
      </c>
    </row>
    <row r="1430" spans="1:17" x14ac:dyDescent="0.2">
      <c r="A1430" s="1" t="str">
        <f>HYPERLINK("http://www.twitter.com/Ugo_Roux/status/1002455048629170176", "1002455048629170176")</f>
        <v>1002455048629170176</v>
      </c>
      <c r="B1430" t="s">
        <v>476</v>
      </c>
      <c r="C1430" s="3">
        <v>43252.320393518523</v>
      </c>
      <c r="D1430" s="5" t="s">
        <v>28</v>
      </c>
      <c r="E1430">
        <v>0</v>
      </c>
      <c r="F1430">
        <v>0</v>
      </c>
      <c r="G1430">
        <v>0</v>
      </c>
      <c r="I1430" t="s">
        <v>1466</v>
      </c>
      <c r="N1430">
        <v>0</v>
      </c>
      <c r="O1430">
        <v>0</v>
      </c>
      <c r="P1430">
        <v>1</v>
      </c>
      <c r="Q1430">
        <v>0</v>
      </c>
    </row>
    <row r="1431" spans="1:17" x14ac:dyDescent="0.2">
      <c r="A1431" s="1" t="str">
        <f>HYPERLINK("http://www.twitter.com/Ugo_Roux/status/1002219645200490496", "1002219645200490496")</f>
        <v>1002219645200490496</v>
      </c>
      <c r="B1431" t="s">
        <v>142</v>
      </c>
      <c r="C1431" s="3">
        <v>43251.670810185176</v>
      </c>
      <c r="D1431" s="5" t="s">
        <v>17</v>
      </c>
      <c r="E1431">
        <v>0</v>
      </c>
      <c r="F1431">
        <v>1</v>
      </c>
      <c r="G1431">
        <v>0</v>
      </c>
      <c r="I1431" t="s">
        <v>1467</v>
      </c>
      <c r="N1431">
        <v>0</v>
      </c>
      <c r="O1431">
        <v>0</v>
      </c>
      <c r="P1431">
        <v>1</v>
      </c>
      <c r="Q1431">
        <v>0</v>
      </c>
    </row>
    <row r="1432" spans="1:17" x14ac:dyDescent="0.2">
      <c r="A1432" s="1" t="str">
        <f>HYPERLINK("http://www.twitter.com/Ugo_Roux/status/1002104509856858113", "1002104509856858113")</f>
        <v>1002104509856858113</v>
      </c>
      <c r="B1432" t="s">
        <v>456</v>
      </c>
      <c r="C1432" s="3">
        <v>43251.353101851862</v>
      </c>
      <c r="D1432" t="s">
        <v>515</v>
      </c>
      <c r="E1432">
        <v>2</v>
      </c>
      <c r="F1432">
        <v>3</v>
      </c>
      <c r="G1432">
        <v>0</v>
      </c>
      <c r="I1432" t="s">
        <v>1468</v>
      </c>
      <c r="J1432" t="str">
        <f>HYPERLINK("http://pbs.twimg.com/media/DegwrpLXcAAU1lW.jpg", "http://pbs.twimg.com/media/DegwrpLXcAAU1lW.jpg")</f>
        <v>http://pbs.twimg.com/media/DegwrpLXcAAU1lW.jpg</v>
      </c>
      <c r="N1432">
        <v>0</v>
      </c>
      <c r="O1432">
        <v>0</v>
      </c>
      <c r="P1432">
        <v>1</v>
      </c>
      <c r="Q1432">
        <v>0</v>
      </c>
    </row>
    <row r="1433" spans="1:17" x14ac:dyDescent="0.2">
      <c r="A1433" s="1" t="str">
        <f>HYPERLINK("http://www.twitter.com/Ugo_Roux/status/1002104337093537792", "1002104337093537792")</f>
        <v>1002104337093537792</v>
      </c>
      <c r="B1433" t="s">
        <v>414</v>
      </c>
      <c r="C1433" s="3">
        <v>43251.35261574074</v>
      </c>
      <c r="D1433" s="5" t="s">
        <v>28</v>
      </c>
      <c r="E1433">
        <v>0</v>
      </c>
      <c r="F1433">
        <v>0</v>
      </c>
      <c r="G1433">
        <v>0</v>
      </c>
      <c r="I1433" t="s">
        <v>1469</v>
      </c>
      <c r="J1433" t="str">
        <f>HYPERLINK("http://pbs.twimg.com/media/DegwbkOXcAAuP-I.jpg", "http://pbs.twimg.com/media/DegwbkOXcAAuP-I.jpg")</f>
        <v>http://pbs.twimg.com/media/DegwbkOXcAAuP-I.jpg</v>
      </c>
      <c r="N1433">
        <v>0</v>
      </c>
      <c r="O1433">
        <v>0</v>
      </c>
      <c r="P1433">
        <v>1</v>
      </c>
      <c r="Q1433">
        <v>0</v>
      </c>
    </row>
    <row r="1434" spans="1:17" x14ac:dyDescent="0.2">
      <c r="A1434" s="1" t="str">
        <f>HYPERLINK("http://www.twitter.com/Ugo_Roux/status/1002071648927920128", "1002071648927920128")</f>
        <v>1002071648927920128</v>
      </c>
      <c r="B1434" t="s">
        <v>285</v>
      </c>
      <c r="C1434" s="3">
        <v>43251.262418981481</v>
      </c>
      <c r="D1434" s="5" t="s">
        <v>28</v>
      </c>
      <c r="E1434">
        <v>1</v>
      </c>
      <c r="F1434">
        <v>3</v>
      </c>
      <c r="G1434">
        <v>0</v>
      </c>
      <c r="I1434" t="s">
        <v>1470</v>
      </c>
      <c r="J1434" t="str">
        <f>HYPERLINK("http://pbs.twimg.com/media/DegSybcXkAATXWR.jpg", "http://pbs.twimg.com/media/DegSybcXkAATXWR.jpg")</f>
        <v>http://pbs.twimg.com/media/DegSybcXkAATXWR.jpg</v>
      </c>
      <c r="N1434">
        <v>0</v>
      </c>
      <c r="O1434">
        <v>0</v>
      </c>
      <c r="P1434">
        <v>1</v>
      </c>
      <c r="Q1434">
        <v>0</v>
      </c>
    </row>
    <row r="1435" spans="1:17" x14ac:dyDescent="0.2">
      <c r="A1435" s="1" t="str">
        <f>HYPERLINK("http://www.twitter.com/Ugo_Roux/status/1001835381145456640", "1001835381145456640")</f>
        <v>1001835381145456640</v>
      </c>
      <c r="B1435" t="s">
        <v>370</v>
      </c>
      <c r="C1435" s="3">
        <v>43250.610439814824</v>
      </c>
      <c r="D1435" s="5" t="s">
        <v>28</v>
      </c>
      <c r="E1435">
        <v>0</v>
      </c>
      <c r="F1435">
        <v>0</v>
      </c>
      <c r="G1435">
        <v>0</v>
      </c>
      <c r="I1435" t="s">
        <v>1471</v>
      </c>
      <c r="J1435" t="str">
        <f>HYPERLINK("http://pbs.twimg.com/media/Dec79_gUwAElt-2.jpg", "http://pbs.twimg.com/media/Dec79_gUwAElt-2.jpg")</f>
        <v>http://pbs.twimg.com/media/Dec79_gUwAElt-2.jpg</v>
      </c>
      <c r="N1435">
        <v>0</v>
      </c>
      <c r="O1435">
        <v>0</v>
      </c>
      <c r="P1435">
        <v>1</v>
      </c>
      <c r="Q1435">
        <v>0</v>
      </c>
    </row>
    <row r="1436" spans="1:17" x14ac:dyDescent="0.2">
      <c r="A1436" s="1" t="str">
        <f>HYPERLINK("http://www.twitter.com/Ugo_Roux/status/1001835376355528709", "1001835376355528709")</f>
        <v>1001835376355528709</v>
      </c>
      <c r="B1436" t="s">
        <v>370</v>
      </c>
      <c r="C1436" s="3">
        <v>43250.61042824074</v>
      </c>
      <c r="D1436" s="5" t="s">
        <v>28</v>
      </c>
      <c r="E1436">
        <v>0</v>
      </c>
      <c r="F1436">
        <v>0</v>
      </c>
      <c r="G1436">
        <v>0</v>
      </c>
      <c r="I1436" t="s">
        <v>1472</v>
      </c>
      <c r="J1436" t="str">
        <f>HYPERLINK("http://pbs.twimg.com/media/Dec79xKVMAAo6ov.jpg", "http://pbs.twimg.com/media/Dec79xKVMAAo6ov.jpg")</f>
        <v>http://pbs.twimg.com/media/Dec79xKVMAAo6ov.jpg</v>
      </c>
      <c r="N1436">
        <v>0</v>
      </c>
      <c r="O1436">
        <v>0</v>
      </c>
      <c r="P1436">
        <v>1</v>
      </c>
      <c r="Q1436">
        <v>0</v>
      </c>
    </row>
    <row r="1437" spans="1:17" x14ac:dyDescent="0.2">
      <c r="A1437" s="1" t="str">
        <f>HYPERLINK("http://www.twitter.com/Ugo_Roux/status/1001738511714848769", "1001738511714848769")</f>
        <v>1001738511714848769</v>
      </c>
      <c r="B1437" t="s">
        <v>414</v>
      </c>
      <c r="C1437" s="3">
        <v>43250.343136574083</v>
      </c>
      <c r="D1437" s="5" t="s">
        <v>17</v>
      </c>
      <c r="E1437">
        <v>0</v>
      </c>
      <c r="F1437">
        <v>0</v>
      </c>
      <c r="G1437">
        <v>0</v>
      </c>
      <c r="I1437" t="s">
        <v>1473</v>
      </c>
      <c r="J1437" t="str">
        <f>HYPERLINK("http://pbs.twimg.com/media/Debj2U_X0AA8pcU.jpg", "http://pbs.twimg.com/media/Debj2U_X0AA8pcU.jpg")</f>
        <v>http://pbs.twimg.com/media/Debj2U_X0AA8pcU.jpg</v>
      </c>
      <c r="N1437">
        <v>0</v>
      </c>
      <c r="O1437">
        <v>0</v>
      </c>
      <c r="P1437">
        <v>1</v>
      </c>
      <c r="Q1437">
        <v>0</v>
      </c>
    </row>
    <row r="1438" spans="1:17" x14ac:dyDescent="0.2">
      <c r="A1438" s="1" t="str">
        <f>HYPERLINK("http://www.twitter.com/Ugo_Roux/status/1001732341792935938", "1001732341792935938")</f>
        <v>1001732341792935938</v>
      </c>
      <c r="B1438" t="s">
        <v>476</v>
      </c>
      <c r="C1438" s="3">
        <v>43250.326111111113</v>
      </c>
      <c r="D1438" s="5" t="s">
        <v>17</v>
      </c>
      <c r="E1438">
        <v>1</v>
      </c>
      <c r="F1438">
        <v>1</v>
      </c>
      <c r="G1438">
        <v>0</v>
      </c>
      <c r="I1438" t="s">
        <v>1474</v>
      </c>
      <c r="J1438" t="str">
        <f>HYPERLINK("http://pbs.twimg.com/media/DebeHDwWkAAvHa9.jpg", "http://pbs.twimg.com/media/DebeHDwWkAAvHa9.jpg")</f>
        <v>http://pbs.twimg.com/media/DebeHDwWkAAvHa9.jpg</v>
      </c>
      <c r="N1438">
        <v>0</v>
      </c>
      <c r="O1438">
        <v>0</v>
      </c>
      <c r="P1438">
        <v>1</v>
      </c>
      <c r="Q1438">
        <v>0</v>
      </c>
    </row>
    <row r="1439" spans="1:17" x14ac:dyDescent="0.2">
      <c r="A1439" s="1" t="str">
        <f>HYPERLINK("http://www.twitter.com/Ugo_Roux/status/1001716886629961733", "1001716886629961733")</f>
        <v>1001716886629961733</v>
      </c>
      <c r="B1439" t="s">
        <v>285</v>
      </c>
      <c r="C1439" s="3">
        <v>43250.283460648148</v>
      </c>
      <c r="D1439" s="5" t="s">
        <v>17</v>
      </c>
      <c r="E1439">
        <v>0</v>
      </c>
      <c r="F1439">
        <v>0</v>
      </c>
      <c r="G1439">
        <v>0</v>
      </c>
      <c r="I1439" t="s">
        <v>1475</v>
      </c>
      <c r="J1439" t="str">
        <f>HYPERLINK("http://pbs.twimg.com/media/DebQLSaW4AAR3zN.jpg", "http://pbs.twimg.com/media/DebQLSaW4AAR3zN.jpg")</f>
        <v>http://pbs.twimg.com/media/DebQLSaW4AAR3zN.jpg</v>
      </c>
      <c r="N1439">
        <v>0</v>
      </c>
      <c r="O1439">
        <v>0</v>
      </c>
      <c r="P1439">
        <v>1</v>
      </c>
      <c r="Q1439">
        <v>0</v>
      </c>
    </row>
    <row r="1440" spans="1:17" x14ac:dyDescent="0.2">
      <c r="A1440" s="1" t="str">
        <f>HYPERLINK("http://www.twitter.com/Ugo_Roux/status/1001491119908311040", "1001491119908311040")</f>
        <v>1001491119908311040</v>
      </c>
      <c r="B1440" t="s">
        <v>47</v>
      </c>
      <c r="C1440" s="3">
        <v>43249.660462962973</v>
      </c>
      <c r="D1440" s="3" t="s">
        <v>17</v>
      </c>
      <c r="E1440">
        <v>0</v>
      </c>
      <c r="F1440">
        <v>0</v>
      </c>
      <c r="G1440">
        <v>0</v>
      </c>
      <c r="I1440" t="s">
        <v>1476</v>
      </c>
      <c r="N1440">
        <v>0</v>
      </c>
      <c r="O1440">
        <v>0</v>
      </c>
      <c r="P1440">
        <v>1</v>
      </c>
      <c r="Q1440">
        <v>0</v>
      </c>
    </row>
    <row r="1441" spans="1:17" x14ac:dyDescent="0.2">
      <c r="A1441" s="1" t="str">
        <f>HYPERLINK("http://www.twitter.com/Ugo_Roux/status/1001485390216384512", "1001485390216384512")</f>
        <v>1001485390216384512</v>
      </c>
      <c r="B1441" t="s">
        <v>206</v>
      </c>
      <c r="C1441" s="3">
        <v>43249.644652777781</v>
      </c>
      <c r="D1441" s="5" t="s">
        <v>41</v>
      </c>
      <c r="E1441">
        <v>4</v>
      </c>
      <c r="F1441">
        <v>2</v>
      </c>
      <c r="G1441">
        <v>0</v>
      </c>
      <c r="I1441" t="s">
        <v>1477</v>
      </c>
      <c r="N1441">
        <v>0</v>
      </c>
      <c r="O1441">
        <v>0</v>
      </c>
      <c r="P1441">
        <v>1</v>
      </c>
      <c r="Q1441">
        <v>0</v>
      </c>
    </row>
    <row r="1442" spans="1:17" x14ac:dyDescent="0.2">
      <c r="A1442" s="1" t="str">
        <f>HYPERLINK("http://www.twitter.com/Ugo_Roux/status/1001464208192622592", "1001464208192622592")</f>
        <v>1001464208192622592</v>
      </c>
      <c r="B1442" t="s">
        <v>370</v>
      </c>
      <c r="C1442" s="3">
        <v>43249.5862037037</v>
      </c>
      <c r="D1442" s="5" t="s">
        <v>28</v>
      </c>
      <c r="E1442">
        <v>0</v>
      </c>
      <c r="F1442">
        <v>0</v>
      </c>
      <c r="G1442">
        <v>0</v>
      </c>
      <c r="I1442" t="s">
        <v>1478</v>
      </c>
      <c r="J1442" t="str">
        <f>HYPERLINK("http://pbs.twimg.com/media/DeXqY62VAAAVQka.jpg", "http://pbs.twimg.com/media/DeXqY62VAAAVQka.jpg")</f>
        <v>http://pbs.twimg.com/media/DeXqY62VAAAVQka.jpg</v>
      </c>
      <c r="N1442">
        <v>0</v>
      </c>
      <c r="O1442">
        <v>0</v>
      </c>
      <c r="P1442">
        <v>1</v>
      </c>
      <c r="Q1442">
        <v>0</v>
      </c>
    </row>
    <row r="1443" spans="1:17" x14ac:dyDescent="0.2">
      <c r="A1443" s="1" t="str">
        <f>HYPERLINK("http://www.twitter.com/Ugo_Roux/status/1001430985706295298", "1001430985706295298")</f>
        <v>1001430985706295298</v>
      </c>
      <c r="B1443" t="s">
        <v>16</v>
      </c>
      <c r="C1443" s="3">
        <v>43249.494525462957</v>
      </c>
      <c r="D1443" s="3" t="s">
        <v>28</v>
      </c>
      <c r="E1443">
        <v>0</v>
      </c>
      <c r="F1443">
        <v>0</v>
      </c>
      <c r="G1443">
        <v>0</v>
      </c>
      <c r="I1443" t="s">
        <v>1479</v>
      </c>
      <c r="N1443">
        <v>0</v>
      </c>
      <c r="O1443">
        <v>0</v>
      </c>
      <c r="P1443">
        <v>1</v>
      </c>
      <c r="Q1443">
        <v>0</v>
      </c>
    </row>
    <row r="1444" spans="1:17" x14ac:dyDescent="0.2">
      <c r="A1444" s="1" t="str">
        <f>HYPERLINK("http://www.twitter.com/Ugo_Roux/status/1001386346546630656", "1001386346546630656")</f>
        <v>1001386346546630656</v>
      </c>
      <c r="B1444" t="s">
        <v>285</v>
      </c>
      <c r="C1444" s="3">
        <v>43249.371342592603</v>
      </c>
      <c r="D1444" s="5" t="s">
        <v>17</v>
      </c>
      <c r="E1444">
        <v>0</v>
      </c>
      <c r="F1444">
        <v>0</v>
      </c>
      <c r="G1444">
        <v>0</v>
      </c>
      <c r="I1444" t="s">
        <v>1480</v>
      </c>
      <c r="N1444">
        <v>0</v>
      </c>
      <c r="O1444">
        <v>0</v>
      </c>
      <c r="P1444">
        <v>1</v>
      </c>
      <c r="Q1444">
        <v>0</v>
      </c>
    </row>
    <row r="1445" spans="1:17" x14ac:dyDescent="0.2">
      <c r="A1445" s="1" t="str">
        <f>HYPERLINK("http://www.twitter.com/Ugo_Roux/status/1000381523336548353", "1000381523336548353")</f>
        <v>1000381523336548353</v>
      </c>
      <c r="B1445" t="s">
        <v>16</v>
      </c>
      <c r="C1445" s="3">
        <v>43246.598564814813</v>
      </c>
      <c r="D1445" s="3" t="s">
        <v>17</v>
      </c>
      <c r="E1445">
        <v>4</v>
      </c>
      <c r="F1445">
        <v>0</v>
      </c>
      <c r="G1445">
        <v>1</v>
      </c>
      <c r="I1445" t="s">
        <v>1481</v>
      </c>
      <c r="J1445" t="str">
        <f>HYPERLINK("http://pbs.twimg.com/media/DeIRmrWX4AAM2G3.jpg", "http://pbs.twimg.com/media/DeIRmrWX4AAM2G3.jpg")</f>
        <v>http://pbs.twimg.com/media/DeIRmrWX4AAM2G3.jpg</v>
      </c>
      <c r="K1445" t="str">
        <f>HYPERLINK("http://pbs.twimg.com/media/DeIRoZWX0AI_391.jpg", "http://pbs.twimg.com/media/DeIRoZWX0AI_391.jpg")</f>
        <v>http://pbs.twimg.com/media/DeIRoZWX0AI_391.jpg</v>
      </c>
      <c r="N1445">
        <v>0</v>
      </c>
      <c r="O1445">
        <v>0</v>
      </c>
      <c r="P1445">
        <v>1</v>
      </c>
      <c r="Q1445">
        <v>0</v>
      </c>
    </row>
    <row r="1446" spans="1:17" x14ac:dyDescent="0.2">
      <c r="A1446" s="1" t="str">
        <f>HYPERLINK("http://www.twitter.com/Ugo_Roux/status/1000292811323867141", "1000292811323867141")</f>
        <v>1000292811323867141</v>
      </c>
      <c r="B1446" t="s">
        <v>414</v>
      </c>
      <c r="C1446" s="3">
        <v>43246.353761574072</v>
      </c>
      <c r="D1446" s="5" t="s">
        <v>28</v>
      </c>
      <c r="E1446">
        <v>0</v>
      </c>
      <c r="F1446">
        <v>0</v>
      </c>
      <c r="G1446">
        <v>0</v>
      </c>
      <c r="I1446" t="s">
        <v>1482</v>
      </c>
      <c r="J1446" t="str">
        <f>HYPERLINK("http://pbs.twimg.com/media/DeHA9jgWsAA_WnY.jpg", "http://pbs.twimg.com/media/DeHA9jgWsAA_WnY.jpg")</f>
        <v>http://pbs.twimg.com/media/DeHA9jgWsAA_WnY.jpg</v>
      </c>
      <c r="N1446">
        <v>0</v>
      </c>
      <c r="O1446">
        <v>0</v>
      </c>
      <c r="P1446">
        <v>1</v>
      </c>
      <c r="Q1446">
        <v>0</v>
      </c>
    </row>
    <row r="1447" spans="1:17" x14ac:dyDescent="0.2">
      <c r="A1447" s="1" t="str">
        <f>HYPERLINK("http://www.twitter.com/Ugo_Roux/status/1000278429378506752", "1000278429378506752")</f>
        <v>1000278429378506752</v>
      </c>
      <c r="B1447" t="s">
        <v>285</v>
      </c>
      <c r="C1447" s="3">
        <v>43246.314074074071</v>
      </c>
      <c r="D1447" s="5" t="s">
        <v>28</v>
      </c>
      <c r="E1447">
        <v>0</v>
      </c>
      <c r="F1447">
        <v>0</v>
      </c>
      <c r="G1447">
        <v>0</v>
      </c>
      <c r="I1447" t="s">
        <v>1483</v>
      </c>
      <c r="J1447" t="str">
        <f>HYPERLINK("http://pbs.twimg.com/media/DeGz5PQW4AEkIux.jpg", "http://pbs.twimg.com/media/DeGz5PQW4AEkIux.jpg")</f>
        <v>http://pbs.twimg.com/media/DeGz5PQW4AEkIux.jpg</v>
      </c>
      <c r="N1447">
        <v>0</v>
      </c>
      <c r="O1447">
        <v>0</v>
      </c>
      <c r="P1447">
        <v>1</v>
      </c>
      <c r="Q1447">
        <v>0</v>
      </c>
    </row>
    <row r="1448" spans="1:17" x14ac:dyDescent="0.2">
      <c r="A1448" s="1" t="str">
        <f>HYPERLINK("http://www.twitter.com/Ugo_Roux/status/1000261505164759040", "1000261505164759040")</f>
        <v>1000261505164759040</v>
      </c>
      <c r="B1448" t="s">
        <v>456</v>
      </c>
      <c r="C1448" s="3">
        <v>43246.267372685194</v>
      </c>
      <c r="D1448" t="s">
        <v>515</v>
      </c>
      <c r="E1448">
        <v>19</v>
      </c>
      <c r="F1448">
        <v>3</v>
      </c>
      <c r="G1448">
        <v>0</v>
      </c>
      <c r="I1448" t="s">
        <v>1484</v>
      </c>
      <c r="J1448" t="str">
        <f>HYPERLINK("http://pbs.twimg.com/media/DeGkhvMXkAE8dF6.jpg", "http://pbs.twimg.com/media/DeGkhvMXkAE8dF6.jpg")</f>
        <v>http://pbs.twimg.com/media/DeGkhvMXkAE8dF6.jpg</v>
      </c>
      <c r="N1448">
        <v>0</v>
      </c>
      <c r="O1448">
        <v>0</v>
      </c>
      <c r="P1448">
        <v>1</v>
      </c>
      <c r="Q1448">
        <v>0</v>
      </c>
    </row>
    <row r="1449" spans="1:17" x14ac:dyDescent="0.2">
      <c r="A1449" s="1" t="str">
        <f>HYPERLINK("http://www.twitter.com/Ugo_Roux/status/999990059540602881", "999990059540602881")</f>
        <v>999990059540602881</v>
      </c>
      <c r="B1449" t="s">
        <v>142</v>
      </c>
      <c r="C1449" s="3">
        <v>43245.518321759257</v>
      </c>
      <c r="D1449" s="5" t="s">
        <v>28</v>
      </c>
      <c r="E1449">
        <v>1</v>
      </c>
      <c r="F1449">
        <v>0</v>
      </c>
      <c r="G1449">
        <v>0</v>
      </c>
      <c r="I1449" t="s">
        <v>1485</v>
      </c>
      <c r="N1449">
        <v>0</v>
      </c>
      <c r="O1449">
        <v>0</v>
      </c>
      <c r="P1449">
        <v>1</v>
      </c>
      <c r="Q1449">
        <v>0</v>
      </c>
    </row>
    <row r="1450" spans="1:17" x14ac:dyDescent="0.2">
      <c r="A1450" s="1" t="str">
        <f>HYPERLINK("http://www.twitter.com/Ugo_Roux/status/999985377623642112", "999985377623642112")</f>
        <v>999985377623642112</v>
      </c>
      <c r="B1450" t="s">
        <v>142</v>
      </c>
      <c r="C1450" s="3">
        <v>43245.50540509259</v>
      </c>
      <c r="D1450" s="5" t="s">
        <v>17</v>
      </c>
      <c r="E1450">
        <v>0</v>
      </c>
      <c r="F1450">
        <v>0</v>
      </c>
      <c r="G1450">
        <v>0</v>
      </c>
      <c r="I1450" t="s">
        <v>1486</v>
      </c>
      <c r="J1450" t="str">
        <f>HYPERLINK("http://pbs.twimg.com/media/DeCpYw3WsAEPjH6.jpg", "http://pbs.twimg.com/media/DeCpYw3WsAEPjH6.jpg")</f>
        <v>http://pbs.twimg.com/media/DeCpYw3WsAEPjH6.jpg</v>
      </c>
      <c r="N1450">
        <v>0</v>
      </c>
      <c r="O1450">
        <v>0</v>
      </c>
      <c r="P1450">
        <v>1</v>
      </c>
      <c r="Q1450">
        <v>0</v>
      </c>
    </row>
    <row r="1451" spans="1:17" x14ac:dyDescent="0.2">
      <c r="A1451" s="1" t="str">
        <f>HYPERLINK("http://www.twitter.com/Ugo_Roux/status/999626106264268800", "999626106264268800")</f>
        <v>999626106264268800</v>
      </c>
      <c r="B1451" t="s">
        <v>414</v>
      </c>
      <c r="C1451" s="3">
        <v>43244.514004629629</v>
      </c>
      <c r="D1451" s="5" t="s">
        <v>28</v>
      </c>
      <c r="E1451">
        <v>1</v>
      </c>
      <c r="F1451">
        <v>0</v>
      </c>
      <c r="G1451">
        <v>0</v>
      </c>
      <c r="I1451" t="s">
        <v>1487</v>
      </c>
      <c r="J1451" t="str">
        <f>HYPERLINK("http://pbs.twimg.com/media/Dd9iXFzV0AA96t9.jpg", "http://pbs.twimg.com/media/Dd9iXFzV0AA96t9.jpg")</f>
        <v>http://pbs.twimg.com/media/Dd9iXFzV0AA96t9.jpg</v>
      </c>
      <c r="K1451" t="str">
        <f>HYPERLINK("http://pbs.twimg.com/media/Dd9ianNUwAEFjhS.jpg", "http://pbs.twimg.com/media/Dd9ianNUwAEFjhS.jpg")</f>
        <v>http://pbs.twimg.com/media/Dd9ianNUwAEFjhS.jpg</v>
      </c>
      <c r="L1451" t="str">
        <f>HYPERLINK("http://pbs.twimg.com/media/Dd9igEsUQAAisOl.jpg", "http://pbs.twimg.com/media/Dd9igEsUQAAisOl.jpg")</f>
        <v>http://pbs.twimg.com/media/Dd9igEsUQAAisOl.jpg</v>
      </c>
      <c r="N1451">
        <v>0</v>
      </c>
      <c r="O1451">
        <v>0</v>
      </c>
      <c r="P1451">
        <v>1</v>
      </c>
      <c r="Q1451">
        <v>0</v>
      </c>
    </row>
    <row r="1452" spans="1:17" x14ac:dyDescent="0.2">
      <c r="A1452" s="1" t="str">
        <f>HYPERLINK("http://www.twitter.com/Ugo_Roux/status/999577121768001537", "999577121768001537")</f>
        <v>999577121768001537</v>
      </c>
      <c r="B1452" t="s">
        <v>456</v>
      </c>
      <c r="C1452" s="3">
        <v>43244.378831018519</v>
      </c>
      <c r="D1452" t="s">
        <v>28</v>
      </c>
      <c r="E1452">
        <v>6</v>
      </c>
      <c r="F1452">
        <v>3</v>
      </c>
      <c r="G1452">
        <v>0</v>
      </c>
      <c r="I1452" t="s">
        <v>1488</v>
      </c>
      <c r="J1452" t="str">
        <f>HYPERLINK("http://pbs.twimg.com/media/Dd817xKVMAAID2z.jpg", "http://pbs.twimg.com/media/Dd817xKVMAAID2z.jpg")</f>
        <v>http://pbs.twimg.com/media/Dd817xKVMAAID2z.jpg</v>
      </c>
      <c r="N1452">
        <v>0</v>
      </c>
      <c r="O1452">
        <v>0</v>
      </c>
      <c r="P1452">
        <v>1</v>
      </c>
      <c r="Q1452">
        <v>0</v>
      </c>
    </row>
    <row r="1453" spans="1:17" x14ac:dyDescent="0.2">
      <c r="A1453" s="1" t="str">
        <f>HYPERLINK("http://www.twitter.com/Ugo_Roux/status/999558149567807489", "999558149567807489")</f>
        <v>999558149567807489</v>
      </c>
      <c r="B1453" t="s">
        <v>16</v>
      </c>
      <c r="C1453" s="3">
        <v>43244.326481481483</v>
      </c>
      <c r="D1453" s="3" t="s">
        <v>17</v>
      </c>
      <c r="E1453">
        <v>5</v>
      </c>
      <c r="F1453">
        <v>0</v>
      </c>
      <c r="G1453">
        <v>0</v>
      </c>
      <c r="I1453" t="s">
        <v>1489</v>
      </c>
      <c r="J1453" t="str">
        <f>HYPERLINK("http://pbs.twimg.com/media/Dd8gonWUQAABn9k.jpg", "http://pbs.twimg.com/media/Dd8gonWUQAABn9k.jpg")</f>
        <v>http://pbs.twimg.com/media/Dd8gonWUQAABn9k.jpg</v>
      </c>
      <c r="N1453">
        <v>0.42149999999999999</v>
      </c>
      <c r="O1453">
        <v>0</v>
      </c>
      <c r="P1453">
        <v>0.93100000000000005</v>
      </c>
      <c r="Q1453">
        <v>6.9000000000000006E-2</v>
      </c>
    </row>
    <row r="1454" spans="1:17" x14ac:dyDescent="0.2">
      <c r="A1454" s="1" t="str">
        <f>HYPERLINK("http://www.twitter.com/Ugo_Roux/status/999330658962018304", "999330658962018304")</f>
        <v>999330658962018304</v>
      </c>
      <c r="B1454" t="s">
        <v>206</v>
      </c>
      <c r="C1454" s="3">
        <v>43243.69872685185</v>
      </c>
      <c r="D1454" s="5" t="s">
        <v>41</v>
      </c>
      <c r="E1454">
        <v>5</v>
      </c>
      <c r="F1454">
        <v>3</v>
      </c>
      <c r="G1454">
        <v>0</v>
      </c>
      <c r="I1454" t="s">
        <v>1490</v>
      </c>
      <c r="J1454" t="str">
        <f>HYPERLINK("http://pbs.twimg.com/media/Dd5VbDJU8AAGY3C.jpg", "http://pbs.twimg.com/media/Dd5VbDJU8AAGY3C.jpg")</f>
        <v>http://pbs.twimg.com/media/Dd5VbDJU8AAGY3C.jpg</v>
      </c>
      <c r="K1454" t="str">
        <f>HYPERLINK("http://pbs.twimg.com/media/Dd5VhD1U8AE0mUI.jpg", "http://pbs.twimg.com/media/Dd5VhD1U8AE0mUI.jpg")</f>
        <v>http://pbs.twimg.com/media/Dd5VhD1U8AE0mUI.jpg</v>
      </c>
      <c r="L1454" t="str">
        <f>HYPERLINK("http://pbs.twimg.com/media/Dd5Vie7V0AEMrKl.jpg", "http://pbs.twimg.com/media/Dd5Vie7V0AEMrKl.jpg")</f>
        <v>http://pbs.twimg.com/media/Dd5Vie7V0AEMrKl.jpg</v>
      </c>
      <c r="M1454" t="str">
        <f>HYPERLINK("http://pbs.twimg.com/media/Dd5VmRxUwAAqZG1.jpg", "http://pbs.twimg.com/media/Dd5VmRxUwAAqZG1.jpg")</f>
        <v>http://pbs.twimg.com/media/Dd5VmRxUwAAqZG1.jpg</v>
      </c>
      <c r="N1454">
        <v>0</v>
      </c>
      <c r="O1454">
        <v>0</v>
      </c>
      <c r="P1454">
        <v>1</v>
      </c>
      <c r="Q1454">
        <v>0</v>
      </c>
    </row>
    <row r="1455" spans="1:17" x14ac:dyDescent="0.2">
      <c r="A1455" s="1" t="str">
        <f>HYPERLINK("http://www.twitter.com/Ugo_Roux/status/998953080912740352", "998953080912740352")</f>
        <v>998953080912740352</v>
      </c>
      <c r="B1455" t="s">
        <v>476</v>
      </c>
      <c r="C1455" s="3">
        <v>43242.656805555547</v>
      </c>
      <c r="D1455" s="5" t="s">
        <v>28</v>
      </c>
      <c r="E1455">
        <v>1</v>
      </c>
      <c r="F1455">
        <v>0</v>
      </c>
      <c r="G1455">
        <v>0</v>
      </c>
      <c r="I1455" t="s">
        <v>1491</v>
      </c>
      <c r="J1455" t="str">
        <f>HYPERLINK("http://pbs.twimg.com/media/Ddz-SUfVwAEL-nr.jpg", "http://pbs.twimg.com/media/Ddz-SUfVwAEL-nr.jpg")</f>
        <v>http://pbs.twimg.com/media/Ddz-SUfVwAEL-nr.jpg</v>
      </c>
      <c r="N1455">
        <v>0</v>
      </c>
      <c r="O1455">
        <v>0</v>
      </c>
      <c r="P1455">
        <v>1</v>
      </c>
      <c r="Q1455">
        <v>0</v>
      </c>
    </row>
    <row r="1456" spans="1:17" x14ac:dyDescent="0.2">
      <c r="A1456" s="1" t="str">
        <f>HYPERLINK("http://www.twitter.com/Ugo_Roux/status/998917950894673921", "998917950894673921")</f>
        <v>998917950894673921</v>
      </c>
      <c r="B1456" t="s">
        <v>130</v>
      </c>
      <c r="C1456" s="3">
        <v>43242.559872685182</v>
      </c>
      <c r="D1456" s="5" t="s">
        <v>17</v>
      </c>
      <c r="E1456">
        <v>1</v>
      </c>
      <c r="F1456">
        <v>0</v>
      </c>
      <c r="G1456">
        <v>0</v>
      </c>
      <c r="I1456" t="s">
        <v>1492</v>
      </c>
      <c r="N1456">
        <v>0</v>
      </c>
      <c r="O1456">
        <v>0</v>
      </c>
      <c r="P1456">
        <v>1</v>
      </c>
      <c r="Q1456">
        <v>0</v>
      </c>
    </row>
    <row r="1457" spans="1:17" x14ac:dyDescent="0.2">
      <c r="A1457" s="1" t="str">
        <f>HYPERLINK("http://www.twitter.com/Ugo_Roux/status/998901081701801984", "998901081701801984")</f>
        <v>998901081701801984</v>
      </c>
      <c r="B1457" t="s">
        <v>142</v>
      </c>
      <c r="C1457" s="3">
        <v>43242.513321759259</v>
      </c>
      <c r="D1457" s="5" t="s">
        <v>17</v>
      </c>
      <c r="E1457">
        <v>1</v>
      </c>
      <c r="F1457">
        <v>2</v>
      </c>
      <c r="G1457">
        <v>0</v>
      </c>
      <c r="I1457" t="s">
        <v>1493</v>
      </c>
      <c r="N1457">
        <v>0</v>
      </c>
      <c r="O1457">
        <v>0</v>
      </c>
      <c r="P1457">
        <v>1</v>
      </c>
      <c r="Q1457">
        <v>0</v>
      </c>
    </row>
    <row r="1458" spans="1:17" x14ac:dyDescent="0.2">
      <c r="A1458" s="1" t="str">
        <f>HYPERLINK("http://www.twitter.com/Ugo_Roux/status/998476147984912384", "998476147984912384")</f>
        <v>998476147984912384</v>
      </c>
      <c r="B1458" t="s">
        <v>142</v>
      </c>
      <c r="C1458" s="3">
        <v>43241.340729166674</v>
      </c>
      <c r="D1458" s="5" t="s">
        <v>17</v>
      </c>
      <c r="E1458">
        <v>3</v>
      </c>
      <c r="F1458">
        <v>3</v>
      </c>
      <c r="G1458">
        <v>0</v>
      </c>
      <c r="I1458" t="s">
        <v>1494</v>
      </c>
      <c r="N1458">
        <v>0</v>
      </c>
      <c r="O1458">
        <v>0</v>
      </c>
      <c r="P1458">
        <v>1</v>
      </c>
      <c r="Q1458">
        <v>0</v>
      </c>
    </row>
    <row r="1459" spans="1:17" x14ac:dyDescent="0.2">
      <c r="A1459" s="1" t="str">
        <f>HYPERLINK("http://www.twitter.com/Ugo_Roux/status/998468727015436289", "998468727015436289")</f>
        <v>998468727015436289</v>
      </c>
      <c r="B1459" t="s">
        <v>285</v>
      </c>
      <c r="C1459" s="3">
        <v>43241.320243055547</v>
      </c>
      <c r="D1459" s="5" t="s">
        <v>28</v>
      </c>
      <c r="E1459">
        <v>1</v>
      </c>
      <c r="F1459">
        <v>0</v>
      </c>
      <c r="G1459">
        <v>0</v>
      </c>
      <c r="I1459" t="s">
        <v>1495</v>
      </c>
      <c r="J1459" t="str">
        <f>HYPERLINK("http://pbs.twimg.com/media/DdtF28XU0AA79aN.jpg", "http://pbs.twimg.com/media/DdtF28XU0AA79aN.jpg")</f>
        <v>http://pbs.twimg.com/media/DdtF28XU0AA79aN.jpg</v>
      </c>
      <c r="N1459">
        <v>0</v>
      </c>
      <c r="O1459">
        <v>0</v>
      </c>
      <c r="P1459">
        <v>1</v>
      </c>
      <c r="Q1459">
        <v>0</v>
      </c>
    </row>
    <row r="1460" spans="1:17" x14ac:dyDescent="0.2">
      <c r="A1460" s="1" t="str">
        <f>HYPERLINK("http://www.twitter.com/Ugo_Roux/status/997473535210721285", "997473535210721285")</f>
        <v>997473535210721285</v>
      </c>
      <c r="B1460" t="s">
        <v>456</v>
      </c>
      <c r="C1460" s="3">
        <v>43238.57403935185</v>
      </c>
      <c r="D1460" t="s">
        <v>28</v>
      </c>
      <c r="E1460">
        <v>4</v>
      </c>
      <c r="F1460">
        <v>1</v>
      </c>
      <c r="G1460">
        <v>0</v>
      </c>
      <c r="I1460" t="s">
        <v>1496</v>
      </c>
      <c r="J1460" t="str">
        <f>HYPERLINK("http://pbs.twimg.com/media/Dde84HZUQAAuQmg.jpg", "http://pbs.twimg.com/media/Dde84HZUQAAuQmg.jpg")</f>
        <v>http://pbs.twimg.com/media/Dde84HZUQAAuQmg.jpg</v>
      </c>
      <c r="N1460">
        <v>0</v>
      </c>
      <c r="O1460">
        <v>0</v>
      </c>
      <c r="P1460">
        <v>1</v>
      </c>
      <c r="Q1460">
        <v>0</v>
      </c>
    </row>
    <row r="1461" spans="1:17" x14ac:dyDescent="0.2">
      <c r="A1461" s="1" t="str">
        <f>HYPERLINK("http://www.twitter.com/Ugo_Roux/status/997029817823387648", "997029817823387648")</f>
        <v>997029817823387648</v>
      </c>
      <c r="B1461" t="s">
        <v>97</v>
      </c>
      <c r="C1461" s="3">
        <v>43237.349618055552</v>
      </c>
      <c r="D1461" s="5" t="s">
        <v>28</v>
      </c>
      <c r="E1461">
        <v>0</v>
      </c>
      <c r="F1461">
        <v>0</v>
      </c>
      <c r="G1461">
        <v>0</v>
      </c>
      <c r="I1461" t="s">
        <v>1497</v>
      </c>
      <c r="J1461" t="str">
        <f>HYPERLINK("http://pbs.twimg.com/media/DdYpVXqUQAEqW2-.jpg", "http://pbs.twimg.com/media/DdYpVXqUQAEqW2-.jpg")</f>
        <v>http://pbs.twimg.com/media/DdYpVXqUQAEqW2-.jpg</v>
      </c>
      <c r="N1461">
        <v>0</v>
      </c>
      <c r="O1461">
        <v>0</v>
      </c>
      <c r="P1461">
        <v>1</v>
      </c>
      <c r="Q1461">
        <v>0</v>
      </c>
    </row>
    <row r="1462" spans="1:17" x14ac:dyDescent="0.2">
      <c r="A1462" s="1" t="str">
        <f>HYPERLINK("http://www.twitter.com/Ugo_Roux/status/996777537807273984", "996777537807273984")</f>
        <v>996777537807273984</v>
      </c>
      <c r="B1462" t="s">
        <v>471</v>
      </c>
      <c r="C1462" s="3">
        <v>43236.653449074067</v>
      </c>
      <c r="D1462" s="3" t="s">
        <v>41</v>
      </c>
      <c r="E1462">
        <v>1</v>
      </c>
      <c r="F1462">
        <v>1</v>
      </c>
      <c r="G1462">
        <v>0</v>
      </c>
      <c r="I1462" t="s">
        <v>1498</v>
      </c>
      <c r="J1462" t="str">
        <f>HYPERLINK("http://pbs.twimg.com/media/DdVD0U6XUAEtH7i.jpg", "http://pbs.twimg.com/media/DdVD0U6XUAEtH7i.jpg")</f>
        <v>http://pbs.twimg.com/media/DdVD0U6XUAEtH7i.jpg</v>
      </c>
      <c r="N1462">
        <v>0</v>
      </c>
      <c r="O1462">
        <v>0</v>
      </c>
      <c r="P1462">
        <v>1</v>
      </c>
      <c r="Q1462">
        <v>0</v>
      </c>
    </row>
    <row r="1463" spans="1:17" x14ac:dyDescent="0.2">
      <c r="A1463" s="1" t="str">
        <f>HYPERLINK("http://www.twitter.com/Ugo_Roux/status/996758805676548096", "996758805676548096")</f>
        <v>996758805676548096</v>
      </c>
      <c r="B1463" t="s">
        <v>414</v>
      </c>
      <c r="C1463" s="3">
        <v>43236.601759259262</v>
      </c>
      <c r="D1463" s="5" t="s">
        <v>460</v>
      </c>
      <c r="E1463">
        <v>1</v>
      </c>
      <c r="F1463">
        <v>1</v>
      </c>
      <c r="G1463">
        <v>0</v>
      </c>
      <c r="I1463" t="s">
        <v>1499</v>
      </c>
      <c r="N1463">
        <v>0.45879999999999999</v>
      </c>
      <c r="O1463">
        <v>0</v>
      </c>
      <c r="P1463">
        <v>0.25</v>
      </c>
      <c r="Q1463">
        <v>0.75</v>
      </c>
    </row>
    <row r="1464" spans="1:17" x14ac:dyDescent="0.2">
      <c r="A1464" s="1" t="str">
        <f>HYPERLINK("http://www.twitter.com/Ugo_Roux/status/996740585456357376", "996740585456357376")</f>
        <v>996740585456357376</v>
      </c>
      <c r="B1464" t="s">
        <v>16</v>
      </c>
      <c r="C1464" s="3">
        <v>43236.551481481481</v>
      </c>
      <c r="D1464" s="3" t="s">
        <v>17</v>
      </c>
      <c r="E1464">
        <v>12</v>
      </c>
      <c r="F1464">
        <v>1</v>
      </c>
      <c r="G1464">
        <v>0</v>
      </c>
      <c r="I1464" t="s">
        <v>1500</v>
      </c>
      <c r="J1464" t="str">
        <f>HYPERLINK("http://pbs.twimg.com/media/DdUhtgmW4AA5u92.jpg", "http://pbs.twimg.com/media/DdUhtgmW4AA5u92.jpg")</f>
        <v>http://pbs.twimg.com/media/DdUhtgmW4AA5u92.jpg</v>
      </c>
      <c r="N1464">
        <v>0.44040000000000001</v>
      </c>
      <c r="O1464">
        <v>0</v>
      </c>
      <c r="P1464">
        <v>0.92100000000000004</v>
      </c>
      <c r="Q1464">
        <v>7.9000000000000001E-2</v>
      </c>
    </row>
    <row r="1465" spans="1:17" x14ac:dyDescent="0.2">
      <c r="A1465" s="1" t="str">
        <f>HYPERLINK("http://www.twitter.com/Ugo_Roux/status/996665969975193600", "996665969975193600")</f>
        <v>996665969975193600</v>
      </c>
      <c r="B1465" t="s">
        <v>414</v>
      </c>
      <c r="C1465" s="3">
        <v>43236.345590277779</v>
      </c>
      <c r="D1465" s="5" t="s">
        <v>28</v>
      </c>
      <c r="E1465">
        <v>0</v>
      </c>
      <c r="F1465">
        <v>0</v>
      </c>
      <c r="G1465">
        <v>0</v>
      </c>
      <c r="I1465" t="s">
        <v>1501</v>
      </c>
      <c r="J1465" t="str">
        <f>HYPERLINK("http://pbs.twimg.com/media/DdTeDCoWkAA8RBt.jpg", "http://pbs.twimg.com/media/DdTeDCoWkAA8RBt.jpg")</f>
        <v>http://pbs.twimg.com/media/DdTeDCoWkAA8RBt.jpg</v>
      </c>
      <c r="K1465" t="str">
        <f>HYPERLINK("http://pbs.twimg.com/media/DdTeDGnWkAAhU8d.jpg", "http://pbs.twimg.com/media/DdTeDGnWkAAhU8d.jpg")</f>
        <v>http://pbs.twimg.com/media/DdTeDGnWkAAhU8d.jpg</v>
      </c>
      <c r="L1465" t="str">
        <f>HYPERLINK("http://pbs.twimg.com/media/DdTeDGnXcAA-pZ0.jpg", "http://pbs.twimg.com/media/DdTeDGnXcAA-pZ0.jpg")</f>
        <v>http://pbs.twimg.com/media/DdTeDGnXcAA-pZ0.jpg</v>
      </c>
      <c r="N1465">
        <v>-0.128</v>
      </c>
      <c r="O1465">
        <v>9.0999999999999998E-2</v>
      </c>
      <c r="P1465">
        <v>0.90900000000000003</v>
      </c>
      <c r="Q1465">
        <v>0</v>
      </c>
    </row>
    <row r="1466" spans="1:17" x14ac:dyDescent="0.2">
      <c r="A1466" s="1" t="str">
        <f>HYPERLINK("http://www.twitter.com/Ugo_Roux/status/996327202756100096", "996327202756100096")</f>
        <v>996327202756100096</v>
      </c>
      <c r="B1466" t="s">
        <v>206</v>
      </c>
      <c r="C1466" s="3">
        <v>43235.410763888889</v>
      </c>
      <c r="D1466" s="5" t="s">
        <v>1187</v>
      </c>
      <c r="E1466">
        <v>4</v>
      </c>
      <c r="F1466">
        <v>1</v>
      </c>
      <c r="G1466">
        <v>0</v>
      </c>
      <c r="I1466" t="s">
        <v>1502</v>
      </c>
      <c r="J1466" t="str">
        <f>HYPERLINK("http://pbs.twimg.com/media/DdOqPvdX0AAOx9P.jpg", "http://pbs.twimg.com/media/DdOqPvdX0AAOx9P.jpg")</f>
        <v>http://pbs.twimg.com/media/DdOqPvdX0AAOx9P.jpg</v>
      </c>
      <c r="N1466">
        <v>0</v>
      </c>
      <c r="O1466">
        <v>0</v>
      </c>
      <c r="P1466">
        <v>1</v>
      </c>
      <c r="Q1466">
        <v>0</v>
      </c>
    </row>
    <row r="1467" spans="1:17" x14ac:dyDescent="0.2">
      <c r="A1467" s="1" t="str">
        <f>HYPERLINK("http://www.twitter.com/Ugo_Roux/status/996307119140950016", "996307119140950016")</f>
        <v>996307119140950016</v>
      </c>
      <c r="B1467" t="s">
        <v>414</v>
      </c>
      <c r="C1467" s="3">
        <v>43235.355347222219</v>
      </c>
      <c r="D1467" s="5" t="s">
        <v>460</v>
      </c>
      <c r="E1467">
        <v>0</v>
      </c>
      <c r="F1467">
        <v>0</v>
      </c>
      <c r="G1467">
        <v>0</v>
      </c>
      <c r="I1467" t="s">
        <v>1503</v>
      </c>
      <c r="J1467" t="str">
        <f>HYPERLINK("http://pbs.twimg.com/media/DdOYCTzWsAACBgP.jpg", "http://pbs.twimg.com/media/DdOYCTzWsAACBgP.jpg")</f>
        <v>http://pbs.twimg.com/media/DdOYCTzWsAACBgP.jpg</v>
      </c>
      <c r="N1467">
        <v>0</v>
      </c>
      <c r="O1467">
        <v>0</v>
      </c>
      <c r="P1467">
        <v>1</v>
      </c>
      <c r="Q1467">
        <v>0</v>
      </c>
    </row>
    <row r="1468" spans="1:17" x14ac:dyDescent="0.2">
      <c r="A1468" s="1" t="str">
        <f>HYPERLINK("http://www.twitter.com/Ugo_Roux/status/995310907327729664", "995310907327729664")</f>
        <v>995310907327729664</v>
      </c>
      <c r="B1468" t="s">
        <v>130</v>
      </c>
      <c r="C1468" s="3">
        <v>43232.606319444443</v>
      </c>
      <c r="D1468" s="5" t="s">
        <v>17</v>
      </c>
      <c r="E1468">
        <v>0</v>
      </c>
      <c r="F1468">
        <v>0</v>
      </c>
      <c r="G1468">
        <v>0</v>
      </c>
      <c r="I1468" t="s">
        <v>1504</v>
      </c>
      <c r="N1468">
        <v>0</v>
      </c>
      <c r="O1468">
        <v>0</v>
      </c>
      <c r="P1468">
        <v>1</v>
      </c>
      <c r="Q1468">
        <v>0</v>
      </c>
    </row>
    <row r="1469" spans="1:17" x14ac:dyDescent="0.2">
      <c r="A1469" s="1" t="str">
        <f>HYPERLINK("http://www.twitter.com/Ugo_Roux/status/995227941356429317", "995227941356429317")</f>
        <v>995227941356429317</v>
      </c>
      <c r="B1469" t="s">
        <v>370</v>
      </c>
      <c r="C1469" s="3">
        <v>43232.377384259264</v>
      </c>
      <c r="D1469" s="3" t="s">
        <v>28</v>
      </c>
      <c r="E1469">
        <v>0</v>
      </c>
      <c r="F1469">
        <v>0</v>
      </c>
      <c r="G1469">
        <v>0</v>
      </c>
      <c r="I1469" t="s">
        <v>1505</v>
      </c>
      <c r="J1469" t="str">
        <f>HYPERLINK("http://pbs.twimg.com/media/Dc_CibkUQAAbd6_.jpg", "http://pbs.twimg.com/media/Dc_CibkUQAAbd6_.jpg")</f>
        <v>http://pbs.twimg.com/media/Dc_CibkUQAAbd6_.jpg</v>
      </c>
      <c r="N1469">
        <v>0</v>
      </c>
      <c r="O1469">
        <v>0</v>
      </c>
      <c r="P1469">
        <v>1</v>
      </c>
      <c r="Q1469">
        <v>0</v>
      </c>
    </row>
    <row r="1470" spans="1:17" x14ac:dyDescent="0.2">
      <c r="A1470" s="1" t="str">
        <f>HYPERLINK("http://www.twitter.com/Ugo_Roux/status/994953848749002753", "994953848749002753")</f>
        <v>994953848749002753</v>
      </c>
      <c r="B1470" t="s">
        <v>16</v>
      </c>
      <c r="C1470" s="3">
        <v>43231.621030092603</v>
      </c>
      <c r="D1470" s="3" t="s">
        <v>515</v>
      </c>
      <c r="E1470">
        <v>1</v>
      </c>
      <c r="F1470">
        <v>0</v>
      </c>
      <c r="G1470">
        <v>0</v>
      </c>
      <c r="I1470" t="s">
        <v>1506</v>
      </c>
      <c r="J1470" t="str">
        <f>HYPERLINK("http://pbs.twimg.com/media/Dc7IOi2W0AAmG6z.jpg", "http://pbs.twimg.com/media/Dc7IOi2W0AAmG6z.jpg")</f>
        <v>http://pbs.twimg.com/media/Dc7IOi2W0AAmG6z.jpg</v>
      </c>
      <c r="N1470">
        <v>0</v>
      </c>
      <c r="O1470">
        <v>0</v>
      </c>
      <c r="P1470">
        <v>1</v>
      </c>
      <c r="Q1470">
        <v>0</v>
      </c>
    </row>
    <row r="1471" spans="1:17" x14ac:dyDescent="0.2">
      <c r="A1471" s="1" t="str">
        <f>HYPERLINK("http://www.twitter.com/Ugo_Roux/status/994920283181142016", "994920283181142016")</f>
        <v>994920283181142016</v>
      </c>
      <c r="B1471" t="s">
        <v>414</v>
      </c>
      <c r="C1471" s="3">
        <v>43231.528402777767</v>
      </c>
      <c r="D1471" s="5" t="s">
        <v>28</v>
      </c>
      <c r="E1471">
        <v>0</v>
      </c>
      <c r="F1471">
        <v>0</v>
      </c>
      <c r="G1471">
        <v>0</v>
      </c>
      <c r="I1471" t="s">
        <v>1507</v>
      </c>
      <c r="J1471" t="str">
        <f>HYPERLINK("http://pbs.twimg.com/media/Dc6qqAXWsAIUYMW.jpg", "http://pbs.twimg.com/media/Dc6qqAXWsAIUYMW.jpg")</f>
        <v>http://pbs.twimg.com/media/Dc6qqAXWsAIUYMW.jpg</v>
      </c>
      <c r="K1471" t="str">
        <f>HYPERLINK("http://pbs.twimg.com/media/Dc6qrQpW0AIwPNC.jpg", "http://pbs.twimg.com/media/Dc6qrQpW0AIwPNC.jpg")</f>
        <v>http://pbs.twimg.com/media/Dc6qrQpW0AIwPNC.jpg</v>
      </c>
      <c r="N1471">
        <v>0</v>
      </c>
      <c r="O1471">
        <v>0</v>
      </c>
      <c r="P1471">
        <v>1</v>
      </c>
      <c r="Q1471">
        <v>0</v>
      </c>
    </row>
    <row r="1472" spans="1:17" x14ac:dyDescent="0.2">
      <c r="A1472" s="1" t="str">
        <f>HYPERLINK("http://www.twitter.com/Ugo_Roux/status/994139430058414080", "994139430058414080")</f>
        <v>994139430058414080</v>
      </c>
      <c r="B1472" t="s">
        <v>370</v>
      </c>
      <c r="C1472" s="3">
        <v>43229.373668981483</v>
      </c>
      <c r="D1472" s="5" t="s">
        <v>28</v>
      </c>
      <c r="E1472">
        <v>0</v>
      </c>
      <c r="F1472">
        <v>0</v>
      </c>
      <c r="G1472">
        <v>0</v>
      </c>
      <c r="I1472" t="s">
        <v>1508</v>
      </c>
      <c r="J1472" t="str">
        <f>HYPERLINK("http://pbs.twimg.com/media/DcvkirdU8AEsNf5.jpg", "http://pbs.twimg.com/media/DcvkirdU8AEsNf5.jpg")</f>
        <v>http://pbs.twimg.com/media/DcvkirdU8AEsNf5.jpg</v>
      </c>
      <c r="N1472">
        <v>0</v>
      </c>
      <c r="O1472">
        <v>0</v>
      </c>
      <c r="P1472">
        <v>1</v>
      </c>
      <c r="Q1472">
        <v>0</v>
      </c>
    </row>
    <row r="1473" spans="1:17" x14ac:dyDescent="0.2">
      <c r="A1473" s="1" t="str">
        <f>HYPERLINK("http://www.twitter.com/Ugo_Roux/status/994104624251572224", "994104624251572224")</f>
        <v>994104624251572224</v>
      </c>
      <c r="B1473" t="s">
        <v>285</v>
      </c>
      <c r="C1473" s="3">
        <v>43229.277615740742</v>
      </c>
      <c r="D1473" s="5" t="s">
        <v>28</v>
      </c>
      <c r="E1473">
        <v>0</v>
      </c>
      <c r="F1473">
        <v>0</v>
      </c>
      <c r="G1473">
        <v>0</v>
      </c>
      <c r="I1473" t="s">
        <v>1509</v>
      </c>
      <c r="J1473" t="str">
        <f>HYPERLINK("http://pbs.twimg.com/media/DcvE2Y4W0AAWTdk.jpg", "http://pbs.twimg.com/media/DcvE2Y4W0AAWTdk.jpg")</f>
        <v>http://pbs.twimg.com/media/DcvE2Y4W0AAWTdk.jpg</v>
      </c>
      <c r="N1473">
        <v>0</v>
      </c>
      <c r="O1473">
        <v>0</v>
      </c>
      <c r="P1473">
        <v>1</v>
      </c>
      <c r="Q1473">
        <v>0</v>
      </c>
    </row>
    <row r="1474" spans="1:17" x14ac:dyDescent="0.2">
      <c r="A1474" s="1" t="str">
        <f>HYPERLINK("http://www.twitter.com/Ugo_Roux/status/993762823804194816", "993762823804194816")</f>
        <v>993762823804194816</v>
      </c>
      <c r="B1474" t="s">
        <v>142</v>
      </c>
      <c r="C1474" s="3">
        <v>43228.334432870368</v>
      </c>
      <c r="D1474" s="5" t="s">
        <v>24</v>
      </c>
      <c r="E1474">
        <v>0</v>
      </c>
      <c r="F1474">
        <v>0</v>
      </c>
      <c r="G1474">
        <v>0</v>
      </c>
      <c r="I1474" t="s">
        <v>1510</v>
      </c>
      <c r="N1474">
        <v>0</v>
      </c>
      <c r="O1474">
        <v>0</v>
      </c>
      <c r="P1474">
        <v>1</v>
      </c>
      <c r="Q1474">
        <v>0</v>
      </c>
    </row>
    <row r="1475" spans="1:17" x14ac:dyDescent="0.2">
      <c r="A1475" s="1" t="str">
        <f>HYPERLINK("http://www.twitter.com/Ugo_Roux/status/992714294474264576", "992714294474264576")</f>
        <v>992714294474264576</v>
      </c>
      <c r="B1475" t="s">
        <v>97</v>
      </c>
      <c r="C1475" s="3">
        <v>43225.441041666672</v>
      </c>
      <c r="D1475" s="5" t="s">
        <v>28</v>
      </c>
      <c r="E1475">
        <v>0</v>
      </c>
      <c r="F1475">
        <v>0</v>
      </c>
      <c r="G1475">
        <v>0</v>
      </c>
      <c r="I1475" t="s">
        <v>1511</v>
      </c>
      <c r="J1475" t="str">
        <f>HYPERLINK("http://pbs.twimg.com/media/DcbUY3IVAAAGxyC.jpg", "http://pbs.twimg.com/media/DcbUY3IVAAAGxyC.jpg")</f>
        <v>http://pbs.twimg.com/media/DcbUY3IVAAAGxyC.jpg</v>
      </c>
      <c r="N1475">
        <v>0</v>
      </c>
      <c r="O1475">
        <v>0</v>
      </c>
      <c r="P1475">
        <v>1</v>
      </c>
      <c r="Q1475">
        <v>0</v>
      </c>
    </row>
    <row r="1476" spans="1:17" x14ac:dyDescent="0.2">
      <c r="A1476" s="1" t="str">
        <f>HYPERLINK("http://www.twitter.com/Ugo_Roux/status/992349284493418496", "992349284493418496")</f>
        <v>992349284493418496</v>
      </c>
      <c r="B1476" t="s">
        <v>456</v>
      </c>
      <c r="C1476" s="3">
        <v>43224.433807870373</v>
      </c>
      <c r="D1476" t="s">
        <v>24</v>
      </c>
      <c r="E1476">
        <v>2</v>
      </c>
      <c r="F1476">
        <v>0</v>
      </c>
      <c r="G1476">
        <v>0</v>
      </c>
      <c r="I1476" t="s">
        <v>1512</v>
      </c>
      <c r="N1476">
        <v>0</v>
      </c>
      <c r="O1476">
        <v>0</v>
      </c>
      <c r="P1476">
        <v>1</v>
      </c>
      <c r="Q1476">
        <v>0</v>
      </c>
    </row>
    <row r="1477" spans="1:17" x14ac:dyDescent="0.2">
      <c r="A1477" s="1" t="str">
        <f>HYPERLINK("http://www.twitter.com/Ugo_Roux/status/992344745195253760", "992344745195253760")</f>
        <v>992344745195253760</v>
      </c>
      <c r="B1477" t="s">
        <v>476</v>
      </c>
      <c r="C1477" s="3">
        <v>43224.421273148153</v>
      </c>
      <c r="D1477" s="5" t="s">
        <v>28</v>
      </c>
      <c r="E1477">
        <v>0</v>
      </c>
      <c r="F1477">
        <v>0</v>
      </c>
      <c r="G1477">
        <v>0</v>
      </c>
      <c r="I1477" t="s">
        <v>1513</v>
      </c>
      <c r="J1477" t="str">
        <f>HYPERLINK("http://pbs.twimg.com/media/DcWDQSfW0AEVZXP.jpg", "http://pbs.twimg.com/media/DcWDQSfW0AEVZXP.jpg")</f>
        <v>http://pbs.twimg.com/media/DcWDQSfW0AEVZXP.jpg</v>
      </c>
      <c r="N1477">
        <v>0.35949999999999999</v>
      </c>
      <c r="O1477">
        <v>0</v>
      </c>
      <c r="P1477">
        <v>0.92300000000000004</v>
      </c>
      <c r="Q1477">
        <v>7.6999999999999999E-2</v>
      </c>
    </row>
    <row r="1478" spans="1:17" x14ac:dyDescent="0.2">
      <c r="A1478" s="1" t="str">
        <f>HYPERLINK("http://www.twitter.com/Ugo_Roux/status/992044182184349696", "992044182184349696")</f>
        <v>992044182184349696</v>
      </c>
      <c r="B1478" t="s">
        <v>456</v>
      </c>
      <c r="C1478" s="3">
        <v>43223.591874999998</v>
      </c>
      <c r="D1478" t="s">
        <v>24</v>
      </c>
      <c r="E1478">
        <v>0</v>
      </c>
      <c r="F1478">
        <v>0</v>
      </c>
      <c r="G1478">
        <v>0</v>
      </c>
      <c r="I1478" t="s">
        <v>1514</v>
      </c>
      <c r="J1478" t="str">
        <f>HYPERLINK("http://pbs.twimg.com/media/DcRy6hWWAAACz1A.jpg", "http://pbs.twimg.com/media/DcRy6hWWAAACz1A.jpg")</f>
        <v>http://pbs.twimg.com/media/DcRy6hWWAAACz1A.jpg</v>
      </c>
      <c r="N1478">
        <v>0</v>
      </c>
      <c r="O1478">
        <v>0</v>
      </c>
      <c r="P1478">
        <v>1</v>
      </c>
      <c r="Q1478">
        <v>0</v>
      </c>
    </row>
    <row r="1479" spans="1:17" x14ac:dyDescent="0.2">
      <c r="A1479" s="1" t="str">
        <f>HYPERLINK("http://www.twitter.com/Ugo_Roux/status/991985423173017601", "991985423173017601")</f>
        <v>991985423173017601</v>
      </c>
      <c r="B1479" t="s">
        <v>456</v>
      </c>
      <c r="C1479" s="3">
        <v>43223.4297337963</v>
      </c>
      <c r="D1479" t="s">
        <v>28</v>
      </c>
      <c r="E1479">
        <v>0</v>
      </c>
      <c r="F1479">
        <v>0</v>
      </c>
      <c r="G1479">
        <v>0</v>
      </c>
      <c r="I1479" t="s">
        <v>1515</v>
      </c>
      <c r="J1479" t="str">
        <f>HYPERLINK("http://pbs.twimg.com/media/DcQ81_3WsAEwpod.jpg", "http://pbs.twimg.com/media/DcQ81_3WsAEwpod.jpg")</f>
        <v>http://pbs.twimg.com/media/DcQ81_3WsAEwpod.jpg</v>
      </c>
      <c r="N1479">
        <v>0</v>
      </c>
      <c r="O1479">
        <v>0</v>
      </c>
      <c r="P1479">
        <v>1</v>
      </c>
      <c r="Q1479">
        <v>0</v>
      </c>
    </row>
    <row r="1480" spans="1:17" x14ac:dyDescent="0.2">
      <c r="A1480" s="1" t="str">
        <f>HYPERLINK("http://www.twitter.com/Ugo_Roux/status/991576388955144192", "991576388955144192")</f>
        <v>991576388955144192</v>
      </c>
      <c r="B1480" t="s">
        <v>285</v>
      </c>
      <c r="C1480" s="3">
        <v>43222.301018518519</v>
      </c>
      <c r="D1480" s="5" t="s">
        <v>17</v>
      </c>
      <c r="E1480">
        <v>1</v>
      </c>
      <c r="F1480">
        <v>0</v>
      </c>
      <c r="G1480">
        <v>0</v>
      </c>
      <c r="I1480" t="s">
        <v>1516</v>
      </c>
      <c r="J1480" t="str">
        <f>HYPERLINK("http://pbs.twimg.com/media/DcLJc4tWkAAUBZx.jpg", "http://pbs.twimg.com/media/DcLJc4tWkAAUBZx.jpg")</f>
        <v>http://pbs.twimg.com/media/DcLJc4tWkAAUBZx.jpg</v>
      </c>
      <c r="N1480">
        <v>0</v>
      </c>
      <c r="O1480">
        <v>0</v>
      </c>
      <c r="P1480">
        <v>1</v>
      </c>
      <c r="Q1480">
        <v>0</v>
      </c>
    </row>
    <row r="1481" spans="1:17" x14ac:dyDescent="0.2">
      <c r="A1481" s="1" t="str">
        <f>HYPERLINK("http://www.twitter.com/Ugo_Roux/status/991274737472073729", "991274737472073729")</f>
        <v>991274737472073729</v>
      </c>
      <c r="B1481" t="s">
        <v>142</v>
      </c>
      <c r="C1481" s="3">
        <v>43221.468622685177</v>
      </c>
      <c r="D1481" s="5" t="s">
        <v>17</v>
      </c>
      <c r="E1481">
        <v>0</v>
      </c>
      <c r="F1481">
        <v>4</v>
      </c>
      <c r="G1481">
        <v>0</v>
      </c>
      <c r="I1481" t="s">
        <v>1517</v>
      </c>
      <c r="J1481" t="str">
        <f>HYPERLINK("http://pbs.twimg.com/media/DcG3Hg7WkAEI1C3.jpg", "http://pbs.twimg.com/media/DcG3Hg7WkAEI1C3.jpg")</f>
        <v>http://pbs.twimg.com/media/DcG3Hg7WkAEI1C3.jpg</v>
      </c>
      <c r="N1481">
        <v>0</v>
      </c>
      <c r="O1481">
        <v>0</v>
      </c>
      <c r="P1481">
        <v>1</v>
      </c>
      <c r="Q1481">
        <v>0</v>
      </c>
    </row>
    <row r="1482" spans="1:17" x14ac:dyDescent="0.2">
      <c r="A1482" s="1" t="str">
        <f>HYPERLINK("http://www.twitter.com/Ugo_Roux/status/989773649405083648", "989773649405083648")</f>
        <v>989773649405083648</v>
      </c>
      <c r="B1482" t="s">
        <v>456</v>
      </c>
      <c r="C1482" s="3">
        <v>43217.32640046296</v>
      </c>
      <c r="D1482" t="s">
        <v>28</v>
      </c>
      <c r="E1482">
        <v>1</v>
      </c>
      <c r="F1482">
        <v>0</v>
      </c>
      <c r="G1482">
        <v>0</v>
      </c>
      <c r="I1482" t="s">
        <v>1518</v>
      </c>
      <c r="J1482" t="str">
        <f>HYPERLINK("http://pbs.twimg.com/media/Dbxh4d7V4AE2Pzt.jpg", "http://pbs.twimg.com/media/Dbxh4d7V4AE2Pzt.jpg")</f>
        <v>http://pbs.twimg.com/media/Dbxh4d7V4AE2Pzt.jpg</v>
      </c>
      <c r="N1482">
        <v>0.49390000000000001</v>
      </c>
      <c r="O1482">
        <v>0</v>
      </c>
      <c r="P1482">
        <v>0.90900000000000003</v>
      </c>
      <c r="Q1482">
        <v>9.0999999999999998E-2</v>
      </c>
    </row>
    <row r="1483" spans="1:17" x14ac:dyDescent="0.2">
      <c r="A1483" s="1" t="str">
        <f>HYPERLINK("http://www.twitter.com/Ugo_Roux/status/989750449518477312", "989750449518477312")</f>
        <v>989750449518477312</v>
      </c>
      <c r="B1483" t="s">
        <v>285</v>
      </c>
      <c r="C1483" s="3">
        <v>43217.262384259258</v>
      </c>
      <c r="D1483" s="5" t="s">
        <v>17</v>
      </c>
      <c r="E1483">
        <v>2</v>
      </c>
      <c r="F1483">
        <v>0</v>
      </c>
      <c r="G1483">
        <v>0</v>
      </c>
      <c r="I1483" t="s">
        <v>1519</v>
      </c>
      <c r="J1483" t="str">
        <f>HYPERLINK("http://pbs.twimg.com/media/DbxMl0wVMAAwMly.jpg", "http://pbs.twimg.com/media/DbxMl0wVMAAwMly.jpg")</f>
        <v>http://pbs.twimg.com/media/DbxMl0wVMAAwMly.jpg</v>
      </c>
      <c r="K1483" t="str">
        <f>HYPERLINK("http://pbs.twimg.com/media/DbxMl0WVQAE3A-u.jpg", "http://pbs.twimg.com/media/DbxMl0WVQAE3A-u.jpg")</f>
        <v>http://pbs.twimg.com/media/DbxMl0WVQAE3A-u.jpg</v>
      </c>
      <c r="L1483" t="str">
        <f>HYPERLINK("http://pbs.twimg.com/media/DbxMnXZVwAAVaTy.jpg", "http://pbs.twimg.com/media/DbxMnXZVwAAVaTy.jpg")</f>
        <v>http://pbs.twimg.com/media/DbxMnXZVwAAVaTy.jpg</v>
      </c>
      <c r="N1483">
        <v>0</v>
      </c>
      <c r="O1483">
        <v>0</v>
      </c>
      <c r="P1483">
        <v>1</v>
      </c>
      <c r="Q1483">
        <v>0</v>
      </c>
    </row>
    <row r="1484" spans="1:17" x14ac:dyDescent="0.2">
      <c r="A1484" s="1" t="str">
        <f>HYPERLINK("http://www.twitter.com/Ugo_Roux/status/988811773326381059", "988811773326381059")</f>
        <v>988811773326381059</v>
      </c>
      <c r="B1484" t="s">
        <v>142</v>
      </c>
      <c r="C1484" s="3">
        <v>43214.672129629631</v>
      </c>
      <c r="D1484" s="5" t="s">
        <v>17</v>
      </c>
      <c r="E1484">
        <v>9</v>
      </c>
      <c r="F1484">
        <v>2</v>
      </c>
      <c r="G1484">
        <v>0</v>
      </c>
      <c r="I1484" t="s">
        <v>1520</v>
      </c>
      <c r="N1484">
        <v>0</v>
      </c>
      <c r="O1484">
        <v>0</v>
      </c>
      <c r="P1484">
        <v>1</v>
      </c>
      <c r="Q1484">
        <v>0</v>
      </c>
    </row>
    <row r="1485" spans="1:17" x14ac:dyDescent="0.2">
      <c r="A1485" s="1" t="str">
        <f>HYPERLINK("http://www.twitter.com/Ugo_Roux/status/988785158177292289", "988785158177292289")</f>
        <v>988785158177292289</v>
      </c>
      <c r="B1485" t="s">
        <v>206</v>
      </c>
      <c r="C1485" s="3">
        <v>43214.598692129628</v>
      </c>
      <c r="D1485" s="5" t="s">
        <v>17</v>
      </c>
      <c r="E1485">
        <v>6</v>
      </c>
      <c r="F1485">
        <v>1</v>
      </c>
      <c r="G1485">
        <v>0</v>
      </c>
      <c r="I1485" t="s">
        <v>1521</v>
      </c>
      <c r="N1485">
        <v>0</v>
      </c>
      <c r="O1485">
        <v>0</v>
      </c>
      <c r="P1485">
        <v>1</v>
      </c>
      <c r="Q1485">
        <v>0</v>
      </c>
    </row>
    <row r="1486" spans="1:17" x14ac:dyDescent="0.2">
      <c r="A1486" s="1" t="str">
        <f>HYPERLINK("http://www.twitter.com/Ugo_Roux/status/988704577192153088", "988704577192153088")</f>
        <v>988704577192153088</v>
      </c>
      <c r="B1486" t="s">
        <v>476</v>
      </c>
      <c r="C1486" s="3">
        <v>43214.376331018517</v>
      </c>
      <c r="D1486" s="5" t="s">
        <v>28</v>
      </c>
      <c r="E1486">
        <v>2</v>
      </c>
      <c r="F1486">
        <v>0</v>
      </c>
      <c r="G1486">
        <v>0</v>
      </c>
      <c r="I1486" t="s">
        <v>1522</v>
      </c>
      <c r="J1486" t="str">
        <f>HYPERLINK("http://pbs.twimg.com/media/DbiVjMYW4AE80Bs.jpg", "http://pbs.twimg.com/media/DbiVjMYW4AE80Bs.jpg")</f>
        <v>http://pbs.twimg.com/media/DbiVjMYW4AE80Bs.jpg</v>
      </c>
      <c r="N1486">
        <v>0</v>
      </c>
      <c r="O1486">
        <v>0</v>
      </c>
      <c r="P1486">
        <v>1</v>
      </c>
      <c r="Q1486">
        <v>0</v>
      </c>
    </row>
    <row r="1487" spans="1:17" x14ac:dyDescent="0.2">
      <c r="A1487" s="1" t="str">
        <f>HYPERLINK("http://www.twitter.com/Ugo_Roux/status/988691632102019072", "988691632102019072")</f>
        <v>988691632102019072</v>
      </c>
      <c r="B1487" t="s">
        <v>285</v>
      </c>
      <c r="C1487" s="3">
        <v>43214.340601851851</v>
      </c>
      <c r="D1487" s="5" t="s">
        <v>28</v>
      </c>
      <c r="E1487">
        <v>0</v>
      </c>
      <c r="F1487">
        <v>0</v>
      </c>
      <c r="G1487">
        <v>0</v>
      </c>
      <c r="I1487" t="s">
        <v>1523</v>
      </c>
      <c r="J1487" t="str">
        <f>HYPERLINK("http://pbs.twimg.com/media/DbiJxPzX0AAWvfs.jpg", "http://pbs.twimg.com/media/DbiJxPzX0AAWvfs.jpg")</f>
        <v>http://pbs.twimg.com/media/DbiJxPzX0AAWvfs.jpg</v>
      </c>
      <c r="N1487">
        <v>0</v>
      </c>
      <c r="O1487">
        <v>0</v>
      </c>
      <c r="P1487">
        <v>1</v>
      </c>
      <c r="Q1487">
        <v>0</v>
      </c>
    </row>
    <row r="1488" spans="1:17" x14ac:dyDescent="0.2">
      <c r="A1488" s="1" t="str">
        <f>HYPERLINK("http://www.twitter.com/Ugo_Roux/status/987663304284889088", "987663304284889088")</f>
        <v>987663304284889088</v>
      </c>
      <c r="B1488" t="s">
        <v>97</v>
      </c>
      <c r="C1488" s="3">
        <v>43211.502962962957</v>
      </c>
      <c r="D1488" s="5" t="s">
        <v>1187</v>
      </c>
      <c r="E1488">
        <v>0</v>
      </c>
      <c r="F1488">
        <v>0</v>
      </c>
      <c r="G1488">
        <v>0</v>
      </c>
      <c r="I1488" t="s">
        <v>1524</v>
      </c>
      <c r="J1488" t="str">
        <f>HYPERLINK("http://pbs.twimg.com/media/DbTiimfVMAA0RvT.jpg", "http://pbs.twimg.com/media/DbTiimfVMAA0RvT.jpg")</f>
        <v>http://pbs.twimg.com/media/DbTiimfVMAA0RvT.jpg</v>
      </c>
      <c r="N1488">
        <v>0</v>
      </c>
      <c r="O1488">
        <v>0</v>
      </c>
      <c r="P1488">
        <v>1</v>
      </c>
      <c r="Q1488">
        <v>0</v>
      </c>
    </row>
    <row r="1489" spans="1:17" x14ac:dyDescent="0.2">
      <c r="A1489" s="1" t="str">
        <f>HYPERLINK("http://www.twitter.com/Ugo_Roux/status/987375337364492290", "987375337364492290")</f>
        <v>987375337364492290</v>
      </c>
      <c r="B1489" t="s">
        <v>370</v>
      </c>
      <c r="C1489" s="3">
        <v>43210.708321759259</v>
      </c>
      <c r="D1489" s="5" t="s">
        <v>28</v>
      </c>
      <c r="E1489">
        <v>1</v>
      </c>
      <c r="F1489">
        <v>0</v>
      </c>
      <c r="G1489">
        <v>0</v>
      </c>
      <c r="I1489" t="s">
        <v>1525</v>
      </c>
      <c r="J1489" t="str">
        <f>HYPERLINK("http://pbs.twimg.com/media/DbPcotoUMAA7AgY.jpg", "http://pbs.twimg.com/media/DbPcotoUMAA7AgY.jpg")</f>
        <v>http://pbs.twimg.com/media/DbPcotoUMAA7AgY.jpg</v>
      </c>
      <c r="N1489">
        <v>0</v>
      </c>
      <c r="O1489">
        <v>0</v>
      </c>
      <c r="P1489">
        <v>1</v>
      </c>
      <c r="Q1489">
        <v>0</v>
      </c>
    </row>
    <row r="1490" spans="1:17" x14ac:dyDescent="0.2">
      <c r="A1490" s="1" t="str">
        <f>HYPERLINK("http://www.twitter.com/Ugo_Roux/status/987210673275928576", "987210673275928576")</f>
        <v>987210673275928576</v>
      </c>
      <c r="B1490" t="s">
        <v>414</v>
      </c>
      <c r="C1490" s="3">
        <v>43210.253935185188</v>
      </c>
      <c r="D1490" s="5" t="s">
        <v>28</v>
      </c>
      <c r="E1490">
        <v>0</v>
      </c>
      <c r="F1490">
        <v>0</v>
      </c>
      <c r="G1490">
        <v>0</v>
      </c>
      <c r="I1490" t="s">
        <v>1526</v>
      </c>
      <c r="J1490" t="str">
        <f>HYPERLINK("http://pbs.twimg.com/media/DbNG2amW0AA4TFH.jpg", "http://pbs.twimg.com/media/DbNG2amW0AA4TFH.jpg")</f>
        <v>http://pbs.twimg.com/media/DbNG2amW0AA4TFH.jpg</v>
      </c>
      <c r="N1490">
        <v>0</v>
      </c>
      <c r="O1490">
        <v>0</v>
      </c>
      <c r="P1490">
        <v>1</v>
      </c>
      <c r="Q1490">
        <v>0</v>
      </c>
    </row>
    <row r="1491" spans="1:17" x14ac:dyDescent="0.2">
      <c r="A1491" s="1" t="str">
        <f>HYPERLINK("http://www.twitter.com/Ugo_Roux/status/986929405967699970", "986929405967699970")</f>
        <v>986929405967699970</v>
      </c>
      <c r="B1491" t="s">
        <v>142</v>
      </c>
      <c r="C1491" s="3">
        <v>43209.477789351848</v>
      </c>
      <c r="D1491" s="5" t="s">
        <v>17</v>
      </c>
      <c r="E1491">
        <v>5</v>
      </c>
      <c r="F1491">
        <v>4</v>
      </c>
      <c r="G1491">
        <v>0</v>
      </c>
      <c r="I1491" t="s">
        <v>1527</v>
      </c>
      <c r="J1491" t="str">
        <f>HYPERLINK("http://pbs.twimg.com/media/DbJHD5SXUAEkSlN.jpg", "http://pbs.twimg.com/media/DbJHD5SXUAEkSlN.jpg")</f>
        <v>http://pbs.twimg.com/media/DbJHD5SXUAEkSlN.jpg</v>
      </c>
      <c r="N1491">
        <v>0</v>
      </c>
      <c r="O1491">
        <v>0</v>
      </c>
      <c r="P1491">
        <v>1</v>
      </c>
      <c r="Q1491">
        <v>0</v>
      </c>
    </row>
    <row r="1492" spans="1:17" x14ac:dyDescent="0.2">
      <c r="A1492" s="1" t="str">
        <f>HYPERLINK("http://www.twitter.com/Ugo_Roux/status/986855631251525632", "986855631251525632")</f>
        <v>986855631251525632</v>
      </c>
      <c r="B1492" t="s">
        <v>285</v>
      </c>
      <c r="C1492" s="3">
        <v>43209.274212962962</v>
      </c>
      <c r="D1492" s="5" t="s">
        <v>28</v>
      </c>
      <c r="E1492">
        <v>1</v>
      </c>
      <c r="F1492">
        <v>0</v>
      </c>
      <c r="G1492">
        <v>0</v>
      </c>
      <c r="I1492" t="s">
        <v>1528</v>
      </c>
      <c r="J1492" t="str">
        <f>HYPERLINK("http://pbs.twimg.com/media/DbID2amX4AAxMgW.jpg", "http://pbs.twimg.com/media/DbID2amX4AAxMgW.jpg")</f>
        <v>http://pbs.twimg.com/media/DbID2amX4AAxMgW.jpg</v>
      </c>
      <c r="N1492">
        <v>0</v>
      </c>
      <c r="O1492">
        <v>0</v>
      </c>
      <c r="P1492">
        <v>1</v>
      </c>
      <c r="Q1492">
        <v>0</v>
      </c>
    </row>
    <row r="1493" spans="1:17" x14ac:dyDescent="0.2">
      <c r="A1493" s="1" t="str">
        <f>HYPERLINK("http://www.twitter.com/Ugo_Roux/status/986509966084313090", "986509966084313090")</f>
        <v>986509966084313090</v>
      </c>
      <c r="B1493" t="s">
        <v>476</v>
      </c>
      <c r="C1493" s="3">
        <v>43208.3203587963</v>
      </c>
      <c r="D1493" s="5" t="s">
        <v>17</v>
      </c>
      <c r="E1493">
        <v>0</v>
      </c>
      <c r="F1493">
        <v>0</v>
      </c>
      <c r="G1493">
        <v>0</v>
      </c>
      <c r="I1493" t="s">
        <v>1529</v>
      </c>
      <c r="N1493">
        <v>0</v>
      </c>
      <c r="O1493">
        <v>0</v>
      </c>
      <c r="P1493">
        <v>1</v>
      </c>
      <c r="Q1493">
        <v>0</v>
      </c>
    </row>
    <row r="1494" spans="1:17" x14ac:dyDescent="0.2">
      <c r="A1494" s="1" t="str">
        <f>HYPERLINK("http://www.twitter.com/Ugo_Roux/status/986209265798041600", "986209265798041600")</f>
        <v>986209265798041600</v>
      </c>
      <c r="B1494" t="s">
        <v>471</v>
      </c>
      <c r="C1494" s="3">
        <v>43207.490578703713</v>
      </c>
      <c r="D1494" s="3" t="s">
        <v>28</v>
      </c>
      <c r="E1494">
        <v>0</v>
      </c>
      <c r="F1494">
        <v>0</v>
      </c>
      <c r="G1494">
        <v>0</v>
      </c>
      <c r="I1494" t="s">
        <v>1530</v>
      </c>
      <c r="J1494" t="str">
        <f>HYPERLINK("http://pbs.twimg.com/media/Da-4Fn6W0AAUBGO.jpg", "http://pbs.twimg.com/media/Da-4Fn6W0AAUBGO.jpg")</f>
        <v>http://pbs.twimg.com/media/Da-4Fn6W0AAUBGO.jpg</v>
      </c>
      <c r="N1494">
        <v>0</v>
      </c>
      <c r="O1494">
        <v>0</v>
      </c>
      <c r="P1494">
        <v>1</v>
      </c>
      <c r="Q1494">
        <v>0</v>
      </c>
    </row>
    <row r="1495" spans="1:17" x14ac:dyDescent="0.2">
      <c r="A1495" s="1" t="str">
        <f>HYPERLINK("http://www.twitter.com/Ugo_Roux/status/985576609066471427", "985576609066471427")</f>
        <v>985576609066471427</v>
      </c>
      <c r="B1495" t="s">
        <v>142</v>
      </c>
      <c r="C1495" s="3">
        <v>43205.744780092587</v>
      </c>
      <c r="D1495" s="5" t="s">
        <v>28</v>
      </c>
      <c r="E1495">
        <v>5</v>
      </c>
      <c r="F1495">
        <v>1</v>
      </c>
      <c r="G1495">
        <v>0</v>
      </c>
      <c r="I1495" t="s">
        <v>1531</v>
      </c>
      <c r="J1495" t="str">
        <f>HYPERLINK("http://pbs.twimg.com/media/Da14rxHWsAAWn9M.jpg", "http://pbs.twimg.com/media/Da14rxHWsAAWn9M.jpg")</f>
        <v>http://pbs.twimg.com/media/Da14rxHWsAAWn9M.jpg</v>
      </c>
      <c r="N1495">
        <v>0</v>
      </c>
      <c r="O1495">
        <v>0</v>
      </c>
      <c r="P1495">
        <v>1</v>
      </c>
      <c r="Q1495">
        <v>0</v>
      </c>
    </row>
    <row r="1496" spans="1:17" x14ac:dyDescent="0.2">
      <c r="A1496" s="1" t="str">
        <f>HYPERLINK("http://www.twitter.com/Ugo_Roux/status/985109089435947008", "985109089435947008")</f>
        <v>985109089435947008</v>
      </c>
      <c r="B1496" t="s">
        <v>97</v>
      </c>
      <c r="C1496" s="3">
        <v>43204.454675925917</v>
      </c>
      <c r="D1496" s="5" t="s">
        <v>28</v>
      </c>
      <c r="E1496">
        <v>0</v>
      </c>
      <c r="F1496">
        <v>0</v>
      </c>
      <c r="G1496">
        <v>0</v>
      </c>
      <c r="I1496" t="s">
        <v>1532</v>
      </c>
      <c r="J1496" t="str">
        <f>HYPERLINK("http://pbs.twimg.com/media/DavPfsBUMAAoWy0.jpg", "http://pbs.twimg.com/media/DavPfsBUMAAoWy0.jpg")</f>
        <v>http://pbs.twimg.com/media/DavPfsBUMAAoWy0.jpg</v>
      </c>
      <c r="N1496">
        <v>0</v>
      </c>
      <c r="O1496">
        <v>0</v>
      </c>
      <c r="P1496">
        <v>1</v>
      </c>
      <c r="Q1496">
        <v>0</v>
      </c>
    </row>
    <row r="1497" spans="1:17" x14ac:dyDescent="0.2">
      <c r="A1497" s="1" t="str">
        <f>HYPERLINK("http://www.twitter.com/Ugo_Roux/status/984096177506447361", "984096177506447361")</f>
        <v>984096177506447361</v>
      </c>
      <c r="B1497" t="s">
        <v>142</v>
      </c>
      <c r="C1497" s="3">
        <v>43201.659560185188</v>
      </c>
      <c r="D1497" s="5" t="s">
        <v>17</v>
      </c>
      <c r="E1497">
        <v>2</v>
      </c>
      <c r="F1497">
        <v>0</v>
      </c>
      <c r="G1497">
        <v>0</v>
      </c>
      <c r="I1497" t="s">
        <v>1533</v>
      </c>
      <c r="J1497" t="str">
        <f>HYPERLINK("http://pbs.twimg.com/media/Dag2QHWXkAEo9iC.jpg", "http://pbs.twimg.com/media/Dag2QHWXkAEo9iC.jpg")</f>
        <v>http://pbs.twimg.com/media/Dag2QHWXkAEo9iC.jpg</v>
      </c>
      <c r="N1497">
        <v>-0.20030000000000001</v>
      </c>
      <c r="O1497">
        <v>5.2999999999999999E-2</v>
      </c>
      <c r="P1497">
        <v>0.94699999999999995</v>
      </c>
      <c r="Q1497">
        <v>0</v>
      </c>
    </row>
    <row r="1498" spans="1:17" x14ac:dyDescent="0.2">
      <c r="A1498" s="1" t="str">
        <f>HYPERLINK("http://www.twitter.com/Ugo_Roux/status/984037769889701889", "984037769889701889")</f>
        <v>984037769889701889</v>
      </c>
      <c r="B1498" t="s">
        <v>206</v>
      </c>
      <c r="C1498" s="3">
        <v>43201.498391203713</v>
      </c>
      <c r="D1498" s="5" t="s">
        <v>41</v>
      </c>
      <c r="E1498">
        <v>11</v>
      </c>
      <c r="F1498">
        <v>3</v>
      </c>
      <c r="G1498">
        <v>0</v>
      </c>
      <c r="I1498" t="s">
        <v>1534</v>
      </c>
      <c r="J1498" t="str">
        <f>HYPERLINK("http://pbs.twimg.com/media/DagAVMAXcAA-dtd.jpg", "http://pbs.twimg.com/media/DagAVMAXcAA-dtd.jpg")</f>
        <v>http://pbs.twimg.com/media/DagAVMAXcAA-dtd.jpg</v>
      </c>
      <c r="K1498" t="str">
        <f>HYPERLINK("http://pbs.twimg.com/media/DagAXilWkAMzuUM.jpg", "http://pbs.twimg.com/media/DagAXilWkAMzuUM.jpg")</f>
        <v>http://pbs.twimg.com/media/DagAXilWkAMzuUM.jpg</v>
      </c>
      <c r="L1498" t="str">
        <f>HYPERLINK("http://pbs.twimg.com/media/DagAYjBWAAEroLo.jpg", "http://pbs.twimg.com/media/DagAYjBWAAEroLo.jpg")</f>
        <v>http://pbs.twimg.com/media/DagAYjBWAAEroLo.jpg</v>
      </c>
      <c r="M1498" t="str">
        <f>HYPERLINK("http://pbs.twimg.com/media/DagAdVEWAAEMAlu.jpg", "http://pbs.twimg.com/media/DagAdVEWAAEMAlu.jpg")</f>
        <v>http://pbs.twimg.com/media/DagAdVEWAAEMAlu.jpg</v>
      </c>
      <c r="N1498">
        <v>-0.26950000000000002</v>
      </c>
      <c r="O1498">
        <v>8.2000000000000003E-2</v>
      </c>
      <c r="P1498">
        <v>0.85899999999999999</v>
      </c>
      <c r="Q1498">
        <v>0.06</v>
      </c>
    </row>
    <row r="1499" spans="1:17" x14ac:dyDescent="0.2">
      <c r="A1499" s="1" t="str">
        <f>HYPERLINK("http://www.twitter.com/Ugo_Roux/status/983691364775837698", "983691364775837698")</f>
        <v>983691364775837698</v>
      </c>
      <c r="B1499" t="s">
        <v>97</v>
      </c>
      <c r="C1499" s="3">
        <v>43200.542500000003</v>
      </c>
      <c r="D1499" s="5" t="s">
        <v>17</v>
      </c>
      <c r="E1499">
        <v>0</v>
      </c>
      <c r="F1499">
        <v>0</v>
      </c>
      <c r="G1499">
        <v>0</v>
      </c>
      <c r="I1499" t="s">
        <v>1535</v>
      </c>
      <c r="J1499" t="str">
        <f>HYPERLINK("http://pbs.twimg.com/media/DabGFSDUwAU6_1P.jpg", "http://pbs.twimg.com/media/DabGFSDUwAU6_1P.jpg")</f>
        <v>http://pbs.twimg.com/media/DabGFSDUwAU6_1P.jpg</v>
      </c>
      <c r="N1499">
        <v>0</v>
      </c>
      <c r="O1499">
        <v>0</v>
      </c>
      <c r="P1499">
        <v>1</v>
      </c>
      <c r="Q1499">
        <v>0</v>
      </c>
    </row>
    <row r="1500" spans="1:17" x14ac:dyDescent="0.2">
      <c r="A1500" s="1" t="str">
        <f>HYPERLINK("http://www.twitter.com/Ugo_Roux/status/983671497335156738", "983671497335156738")</f>
        <v>983671497335156738</v>
      </c>
      <c r="B1500" t="s">
        <v>285</v>
      </c>
      <c r="C1500" s="3">
        <v>43200.487673611111</v>
      </c>
      <c r="D1500" s="5" t="s">
        <v>17</v>
      </c>
      <c r="E1500">
        <v>0</v>
      </c>
      <c r="F1500">
        <v>0</v>
      </c>
      <c r="G1500">
        <v>0</v>
      </c>
      <c r="I1500" t="s">
        <v>1536</v>
      </c>
      <c r="N1500">
        <v>0</v>
      </c>
      <c r="O1500">
        <v>0</v>
      </c>
      <c r="P1500">
        <v>1</v>
      </c>
      <c r="Q1500">
        <v>0</v>
      </c>
    </row>
    <row r="1501" spans="1:17" x14ac:dyDescent="0.2">
      <c r="A1501" s="1" t="str">
        <f>HYPERLINK("http://www.twitter.com/Ugo_Roux/status/983600498673635328", "983600498673635328")</f>
        <v>983600498673635328</v>
      </c>
      <c r="B1501" t="s">
        <v>414</v>
      </c>
      <c r="C1501" s="3">
        <v>43200.291747685187</v>
      </c>
      <c r="D1501" s="5" t="s">
        <v>28</v>
      </c>
      <c r="E1501">
        <v>0</v>
      </c>
      <c r="F1501">
        <v>0</v>
      </c>
      <c r="G1501">
        <v>0</v>
      </c>
      <c r="I1501" t="s">
        <v>1537</v>
      </c>
      <c r="N1501">
        <v>0.74239999999999995</v>
      </c>
      <c r="O1501">
        <v>0</v>
      </c>
      <c r="P1501">
        <v>0.61399999999999999</v>
      </c>
      <c r="Q1501">
        <v>0.38600000000000001</v>
      </c>
    </row>
    <row r="1502" spans="1:17" x14ac:dyDescent="0.2">
      <c r="A1502" s="1" t="str">
        <f>HYPERLINK("http://www.twitter.com/Ugo_Roux/status/982645292561522688", "982645292561522688")</f>
        <v>982645292561522688</v>
      </c>
      <c r="B1502" t="s">
        <v>206</v>
      </c>
      <c r="C1502" s="3">
        <v>43197.655891203707</v>
      </c>
      <c r="D1502" s="5" t="s">
        <v>41</v>
      </c>
      <c r="E1502">
        <v>5</v>
      </c>
      <c r="F1502">
        <v>2</v>
      </c>
      <c r="G1502">
        <v>2</v>
      </c>
      <c r="I1502" t="s">
        <v>1538</v>
      </c>
      <c r="J1502" t="str">
        <f>HYPERLINK("http://pbs.twimg.com/media/DaMOrPhXcAA7Qqm.jpg", "http://pbs.twimg.com/media/DaMOrPhXcAA7Qqm.jpg")</f>
        <v>http://pbs.twimg.com/media/DaMOrPhXcAA7Qqm.jpg</v>
      </c>
      <c r="K1502" t="str">
        <f>HYPERLINK("http://pbs.twimg.com/media/DaMOrPkW0AA6rLc.jpg", "http://pbs.twimg.com/media/DaMOrPkW0AA6rLc.jpg")</f>
        <v>http://pbs.twimg.com/media/DaMOrPkW0AA6rLc.jpg</v>
      </c>
      <c r="N1502">
        <v>0</v>
      </c>
      <c r="O1502">
        <v>0</v>
      </c>
      <c r="P1502">
        <v>1</v>
      </c>
      <c r="Q1502">
        <v>0</v>
      </c>
    </row>
    <row r="1503" spans="1:17" x14ac:dyDescent="0.2">
      <c r="A1503" s="1" t="str">
        <f>HYPERLINK("http://www.twitter.com/Ugo_Roux/status/982257619262984192", "982257619262984192")</f>
        <v>982257619262984192</v>
      </c>
      <c r="B1503" t="s">
        <v>16</v>
      </c>
      <c r="C1503" s="3">
        <v>43196.586111111108</v>
      </c>
      <c r="D1503" s="3" t="s">
        <v>17</v>
      </c>
      <c r="E1503">
        <v>0</v>
      </c>
      <c r="F1503">
        <v>0</v>
      </c>
      <c r="G1503">
        <v>0</v>
      </c>
      <c r="I1503" t="s">
        <v>1539</v>
      </c>
      <c r="J1503" t="str">
        <f>HYPERLINK("http://pbs.twimg.com/media/DZn1aKnX4AAwGxS.jpg", "http://pbs.twimg.com/media/DZn1aKnX4AAwGxS.jpg")</f>
        <v>http://pbs.twimg.com/media/DZn1aKnX4AAwGxS.jpg</v>
      </c>
      <c r="N1503">
        <v>-0.4199</v>
      </c>
      <c r="O1503">
        <v>0.113</v>
      </c>
      <c r="P1503">
        <v>0.81499999999999995</v>
      </c>
      <c r="Q1503">
        <v>7.1999999999999995E-2</v>
      </c>
    </row>
    <row r="1504" spans="1:17" x14ac:dyDescent="0.2">
      <c r="A1504" s="1" t="str">
        <f>HYPERLINK("http://www.twitter.com/Ugo_Roux/status/982173253589385217", "982173253589385217")</f>
        <v>982173253589385217</v>
      </c>
      <c r="B1504" t="s">
        <v>414</v>
      </c>
      <c r="C1504" s="3">
        <v>43196.353310185194</v>
      </c>
      <c r="D1504" s="5" t="s">
        <v>28</v>
      </c>
      <c r="E1504">
        <v>0</v>
      </c>
      <c r="F1504">
        <v>0</v>
      </c>
      <c r="G1504">
        <v>0</v>
      </c>
      <c r="I1504" t="s">
        <v>1540</v>
      </c>
      <c r="N1504">
        <v>0.1779</v>
      </c>
      <c r="O1504">
        <v>0</v>
      </c>
      <c r="P1504">
        <v>0.94299999999999995</v>
      </c>
      <c r="Q1504">
        <v>5.7000000000000002E-2</v>
      </c>
    </row>
    <row r="1505" spans="1:17" x14ac:dyDescent="0.2">
      <c r="A1505" s="1" t="str">
        <f>HYPERLINK("http://www.twitter.com/Ugo_Roux/status/981895232370479104", "981895232370479104")</f>
        <v>981895232370479104</v>
      </c>
      <c r="B1505" t="s">
        <v>16</v>
      </c>
      <c r="C1505" s="3">
        <v>43195.586111111108</v>
      </c>
      <c r="D1505" s="3" t="s">
        <v>17</v>
      </c>
      <c r="E1505">
        <v>1</v>
      </c>
      <c r="F1505">
        <v>0</v>
      </c>
      <c r="G1505">
        <v>0</v>
      </c>
      <c r="I1505" t="s">
        <v>1541</v>
      </c>
      <c r="J1505" t="str">
        <f>HYPERLINK("http://pbs.twimg.com/media/DZn2S6AWkAAADQI.jpg", "http://pbs.twimg.com/media/DZn2S6AWkAAADQI.jpg")</f>
        <v>http://pbs.twimg.com/media/DZn2S6AWkAAADQI.jpg</v>
      </c>
      <c r="N1505">
        <v>0</v>
      </c>
      <c r="O1505">
        <v>0</v>
      </c>
      <c r="P1505">
        <v>1</v>
      </c>
      <c r="Q1505">
        <v>0</v>
      </c>
    </row>
    <row r="1506" spans="1:17" x14ac:dyDescent="0.2">
      <c r="A1506" s="1" t="str">
        <f>HYPERLINK("http://www.twitter.com/Ugo_Roux/status/981880527174230016", "981880527174230016")</f>
        <v>981880527174230016</v>
      </c>
      <c r="B1506" t="s">
        <v>414</v>
      </c>
      <c r="C1506" s="3">
        <v>43195.545532407406</v>
      </c>
      <c r="D1506" s="5" t="s">
        <v>28</v>
      </c>
      <c r="E1506">
        <v>0</v>
      </c>
      <c r="F1506">
        <v>0</v>
      </c>
      <c r="G1506">
        <v>0</v>
      </c>
      <c r="I1506" t="s">
        <v>1542</v>
      </c>
      <c r="N1506">
        <v>0</v>
      </c>
      <c r="O1506">
        <v>0</v>
      </c>
      <c r="P1506">
        <v>1</v>
      </c>
      <c r="Q1506">
        <v>0</v>
      </c>
    </row>
    <row r="1507" spans="1:17" x14ac:dyDescent="0.2">
      <c r="A1507" s="1" t="str">
        <f>HYPERLINK("http://www.twitter.com/Ugo_Roux/status/981841094211198976", "981841094211198976")</f>
        <v>981841094211198976</v>
      </c>
      <c r="B1507" t="s">
        <v>476</v>
      </c>
      <c r="C1507" s="3">
        <v>43195.436724537038</v>
      </c>
      <c r="D1507" s="5" t="s">
        <v>28</v>
      </c>
      <c r="E1507">
        <v>0</v>
      </c>
      <c r="F1507">
        <v>0</v>
      </c>
      <c r="G1507">
        <v>0</v>
      </c>
      <c r="I1507" t="s">
        <v>1543</v>
      </c>
      <c r="J1507" t="str">
        <f>HYPERLINK("http://pbs.twimg.com/media/DaAzCQ8XUAYNjdQ.jpg", "http://pbs.twimg.com/media/DaAzCQ8XUAYNjdQ.jpg")</f>
        <v>http://pbs.twimg.com/media/DaAzCQ8XUAYNjdQ.jpg</v>
      </c>
      <c r="N1507">
        <v>0.42149999999999999</v>
      </c>
      <c r="O1507">
        <v>0</v>
      </c>
      <c r="P1507">
        <v>0.90500000000000003</v>
      </c>
      <c r="Q1507">
        <v>9.5000000000000001E-2</v>
      </c>
    </row>
    <row r="1508" spans="1:17" x14ac:dyDescent="0.2">
      <c r="A1508" s="1" t="str">
        <f>HYPERLINK("http://www.twitter.com/Ugo_Roux/status/981625352261980163", "981625352261980163")</f>
        <v>981625352261980163</v>
      </c>
      <c r="B1508" t="s">
        <v>142</v>
      </c>
      <c r="C1508" s="3">
        <v>43194.84138888889</v>
      </c>
      <c r="D1508" s="5" t="s">
        <v>17</v>
      </c>
      <c r="E1508">
        <v>2</v>
      </c>
      <c r="F1508">
        <v>3</v>
      </c>
      <c r="G1508">
        <v>0</v>
      </c>
      <c r="I1508" t="s">
        <v>1544</v>
      </c>
      <c r="J1508" t="str">
        <f>HYPERLINK("http://pbs.twimg.com/media/DZ9vDHYWkAYRBpo.jpg", "http://pbs.twimg.com/media/DZ9vDHYWkAYRBpo.jpg")</f>
        <v>http://pbs.twimg.com/media/DZ9vDHYWkAYRBpo.jpg</v>
      </c>
      <c r="N1508">
        <v>0</v>
      </c>
      <c r="O1508">
        <v>0</v>
      </c>
      <c r="P1508">
        <v>1</v>
      </c>
      <c r="Q1508">
        <v>0</v>
      </c>
    </row>
    <row r="1509" spans="1:17" x14ac:dyDescent="0.2">
      <c r="A1509" s="1" t="str">
        <f>HYPERLINK("http://www.twitter.com/Ugo_Roux/status/981431546396790784", "981431546396790784")</f>
        <v>981431546396790784</v>
      </c>
      <c r="B1509" t="s">
        <v>414</v>
      </c>
      <c r="C1509" s="3">
        <v>43194.306585648148</v>
      </c>
      <c r="D1509" s="5" t="s">
        <v>28</v>
      </c>
      <c r="E1509">
        <v>0</v>
      </c>
      <c r="F1509">
        <v>0</v>
      </c>
      <c r="G1509">
        <v>0</v>
      </c>
      <c r="I1509" t="s">
        <v>1545</v>
      </c>
      <c r="N1509">
        <v>0</v>
      </c>
      <c r="O1509">
        <v>0</v>
      </c>
      <c r="P1509">
        <v>1</v>
      </c>
      <c r="Q1509">
        <v>0</v>
      </c>
    </row>
    <row r="1510" spans="1:17" x14ac:dyDescent="0.2">
      <c r="A1510" s="1" t="str">
        <f>HYPERLINK("http://www.twitter.com/Ugo_Roux/status/981417892444102656", "981417892444102656")</f>
        <v>981417892444102656</v>
      </c>
      <c r="B1510" t="s">
        <v>285</v>
      </c>
      <c r="C1510" s="3">
        <v>43194.268912037027</v>
      </c>
      <c r="D1510" s="5" t="s">
        <v>17</v>
      </c>
      <c r="E1510">
        <v>0</v>
      </c>
      <c r="F1510">
        <v>0</v>
      </c>
      <c r="G1510">
        <v>0</v>
      </c>
      <c r="I1510" t="s">
        <v>1546</v>
      </c>
      <c r="J1510" t="str">
        <f>HYPERLINK("http://pbs.twimg.com/media/DZ6yMBMWAAAbybt.jpg", "http://pbs.twimg.com/media/DZ6yMBMWAAAbybt.jpg")</f>
        <v>http://pbs.twimg.com/media/DZ6yMBMWAAAbybt.jpg</v>
      </c>
      <c r="N1510">
        <v>0</v>
      </c>
      <c r="O1510">
        <v>0</v>
      </c>
      <c r="P1510">
        <v>1</v>
      </c>
      <c r="Q1510">
        <v>0</v>
      </c>
    </row>
    <row r="1511" spans="1:17" x14ac:dyDescent="0.2">
      <c r="A1511" s="1" t="str">
        <f>HYPERLINK("http://www.twitter.com/Ugo_Roux/status/980445681419563009", "980445681419563009")</f>
        <v>980445681419563009</v>
      </c>
      <c r="B1511" t="s">
        <v>16</v>
      </c>
      <c r="C1511" s="3">
        <v>43191.586111111108</v>
      </c>
      <c r="D1511" s="3" t="s">
        <v>17</v>
      </c>
      <c r="E1511">
        <v>1</v>
      </c>
      <c r="F1511">
        <v>0</v>
      </c>
      <c r="G1511">
        <v>0</v>
      </c>
      <c r="I1511" t="s">
        <v>1547</v>
      </c>
      <c r="J1511" t="str">
        <f>HYPERLINK("http://pbs.twimg.com/media/DZnzSfMWAAEOTgQ.jpg", "http://pbs.twimg.com/media/DZnzSfMWAAEOTgQ.jpg")</f>
        <v>http://pbs.twimg.com/media/DZnzSfMWAAEOTgQ.jpg</v>
      </c>
      <c r="N1511">
        <v>0</v>
      </c>
      <c r="O1511">
        <v>0</v>
      </c>
      <c r="P1511">
        <v>1</v>
      </c>
      <c r="Q1511">
        <v>0</v>
      </c>
    </row>
    <row r="1512" spans="1:17" x14ac:dyDescent="0.2">
      <c r="A1512" s="1" t="str">
        <f>HYPERLINK("http://www.twitter.com/Ugo_Roux/status/980023588114849792", "980023588114849792")</f>
        <v>980023588114849792</v>
      </c>
      <c r="B1512" t="s">
        <v>16</v>
      </c>
      <c r="C1512" s="3">
        <v>43190.421365740738</v>
      </c>
      <c r="D1512" s="3" t="s">
        <v>41</v>
      </c>
      <c r="E1512">
        <v>1</v>
      </c>
      <c r="F1512">
        <v>0</v>
      </c>
      <c r="G1512">
        <v>0</v>
      </c>
      <c r="I1512" t="s">
        <v>1548</v>
      </c>
      <c r="J1512" t="str">
        <f>HYPERLINK("http://pbs.twimg.com/media/DZm9LcqXkAAJ-Q0.jpg", "http://pbs.twimg.com/media/DZm9LcqXkAAJ-Q0.jpg")</f>
        <v>http://pbs.twimg.com/media/DZm9LcqXkAAJ-Q0.jpg</v>
      </c>
      <c r="N1512">
        <v>0.7712</v>
      </c>
      <c r="O1512">
        <v>0</v>
      </c>
      <c r="P1512">
        <v>0.83599999999999997</v>
      </c>
      <c r="Q1512">
        <v>0.16400000000000001</v>
      </c>
    </row>
    <row r="1513" spans="1:17" x14ac:dyDescent="0.2">
      <c r="A1513" s="1" t="str">
        <f>HYPERLINK("http://www.twitter.com/Ugo_Roux/status/978961075218649088", "978961075218649088")</f>
        <v>978961075218649088</v>
      </c>
      <c r="B1513" t="s">
        <v>16</v>
      </c>
      <c r="C1513" s="3">
        <v>43187.489386574067</v>
      </c>
      <c r="D1513" s="3" t="s">
        <v>17</v>
      </c>
      <c r="E1513">
        <v>4</v>
      </c>
      <c r="F1513">
        <v>1</v>
      </c>
      <c r="G1513">
        <v>0</v>
      </c>
      <c r="I1513" t="s">
        <v>1549</v>
      </c>
      <c r="J1513" t="str">
        <f>HYPERLINK("http://pbs.twimg.com/media/DZX2ivWX0AY3AHX.jpg", "http://pbs.twimg.com/media/DZX2ivWX0AY3AHX.jpg")</f>
        <v>http://pbs.twimg.com/media/DZX2ivWX0AY3AHX.jpg</v>
      </c>
      <c r="N1513">
        <v>0</v>
      </c>
      <c r="O1513">
        <v>0</v>
      </c>
      <c r="P1513">
        <v>1</v>
      </c>
      <c r="Q1513">
        <v>0</v>
      </c>
    </row>
    <row r="1514" spans="1:17" x14ac:dyDescent="0.2">
      <c r="A1514" s="1" t="str">
        <f>HYPERLINK("http://www.twitter.com/Ugo_Roux/status/978916780063313920", "978916780063313920")</f>
        <v>978916780063313920</v>
      </c>
      <c r="B1514" t="s">
        <v>414</v>
      </c>
      <c r="C1514" s="3">
        <v>43187.367152777777</v>
      </c>
      <c r="D1514" s="5" t="s">
        <v>28</v>
      </c>
      <c r="E1514">
        <v>0</v>
      </c>
      <c r="F1514">
        <v>0</v>
      </c>
      <c r="G1514">
        <v>0</v>
      </c>
      <c r="I1514" t="s">
        <v>1550</v>
      </c>
      <c r="N1514">
        <v>0</v>
      </c>
      <c r="O1514">
        <v>0</v>
      </c>
      <c r="P1514">
        <v>1</v>
      </c>
      <c r="Q1514">
        <v>0</v>
      </c>
    </row>
    <row r="1515" spans="1:17" x14ac:dyDescent="0.2">
      <c r="A1515" s="1" t="str">
        <f>HYPERLINK("http://www.twitter.com/Ugo_Roux/status/978647828561039360", "978647828561039360")</f>
        <v>978647828561039360</v>
      </c>
      <c r="B1515" t="s">
        <v>414</v>
      </c>
      <c r="C1515" s="3">
        <v>43186.624988425923</v>
      </c>
      <c r="D1515" s="5" t="s">
        <v>28</v>
      </c>
      <c r="E1515">
        <v>0</v>
      </c>
      <c r="F1515">
        <v>0</v>
      </c>
      <c r="G1515">
        <v>0</v>
      </c>
      <c r="I1515" t="s">
        <v>1551</v>
      </c>
      <c r="J1515" t="str">
        <f>HYPERLINK("http://pbs.twimg.com/media/DZTa83bXcAA8iCD.jpg", "http://pbs.twimg.com/media/DZTa83bXcAA8iCD.jpg")</f>
        <v>http://pbs.twimg.com/media/DZTa83bXcAA8iCD.jpg</v>
      </c>
      <c r="N1515">
        <v>0</v>
      </c>
      <c r="O1515">
        <v>0</v>
      </c>
      <c r="P1515">
        <v>1</v>
      </c>
      <c r="Q1515">
        <v>0</v>
      </c>
    </row>
    <row r="1516" spans="1:17" x14ac:dyDescent="0.2">
      <c r="A1516" s="1" t="str">
        <f>HYPERLINK("http://www.twitter.com/Ugo_Roux/status/978621211411394560", "978621211411394560")</f>
        <v>978621211411394560</v>
      </c>
      <c r="B1516" t="s">
        <v>414</v>
      </c>
      <c r="C1516" s="3">
        <v>43186.551539351851</v>
      </c>
      <c r="D1516" s="5" t="s">
        <v>28</v>
      </c>
      <c r="E1516">
        <v>0</v>
      </c>
      <c r="F1516">
        <v>0</v>
      </c>
      <c r="G1516">
        <v>0</v>
      </c>
      <c r="I1516" t="s">
        <v>1552</v>
      </c>
      <c r="J1516" t="str">
        <f>HYPERLINK("http://pbs.twimg.com/media/DZTCiIlW0AA80Gw.jpg", "http://pbs.twimg.com/media/DZTCiIlW0AA80Gw.jpg")</f>
        <v>http://pbs.twimg.com/media/DZTCiIlW0AA80Gw.jpg</v>
      </c>
      <c r="N1516">
        <v>0</v>
      </c>
      <c r="O1516">
        <v>0</v>
      </c>
      <c r="P1516">
        <v>1</v>
      </c>
      <c r="Q1516">
        <v>0</v>
      </c>
    </row>
    <row r="1517" spans="1:17" x14ac:dyDescent="0.2">
      <c r="A1517" s="1" t="str">
        <f>HYPERLINK("http://www.twitter.com/Ugo_Roux/status/978617597427113984", "978617597427113984")</f>
        <v>978617597427113984</v>
      </c>
      <c r="B1517" t="s">
        <v>206</v>
      </c>
      <c r="C1517" s="3">
        <v>43186.541562500002</v>
      </c>
      <c r="D1517" s="5" t="s">
        <v>41</v>
      </c>
      <c r="E1517">
        <v>1</v>
      </c>
      <c r="F1517">
        <v>0</v>
      </c>
      <c r="G1517">
        <v>1</v>
      </c>
      <c r="I1517" t="s">
        <v>1553</v>
      </c>
      <c r="J1517" t="str">
        <f>HYPERLINK("http://pbs.twimg.com/media/DZS_g4NW0AAplPD.jpg", "http://pbs.twimg.com/media/DZS_g4NW0AAplPD.jpg")</f>
        <v>http://pbs.twimg.com/media/DZS_g4NW0AAplPD.jpg</v>
      </c>
      <c r="K1517" t="str">
        <f>HYPERLINK("http://pbs.twimg.com/media/DZS_g3EX4AALTyw.jpg", "http://pbs.twimg.com/media/DZS_g3EX4AALTyw.jpg")</f>
        <v>http://pbs.twimg.com/media/DZS_g3EX4AALTyw.jpg</v>
      </c>
      <c r="L1517" t="str">
        <f>HYPERLINK("http://pbs.twimg.com/media/DZS_g3wXcAAyblX.jpg", "http://pbs.twimg.com/media/DZS_g3wXcAAyblX.jpg")</f>
        <v>http://pbs.twimg.com/media/DZS_g3wXcAAyblX.jpg</v>
      </c>
      <c r="M1517" t="str">
        <f>HYPERLINK("http://pbs.twimg.com/media/DZS_g3FW0AAL1Rr.jpg", "http://pbs.twimg.com/media/DZS_g3FW0AAL1Rr.jpg")</f>
        <v>http://pbs.twimg.com/media/DZS_g3FW0AAL1Rr.jpg</v>
      </c>
      <c r="N1517">
        <v>-0.26950000000000002</v>
      </c>
      <c r="O1517">
        <v>6.9000000000000006E-2</v>
      </c>
      <c r="P1517">
        <v>0.93100000000000005</v>
      </c>
      <c r="Q1517">
        <v>0</v>
      </c>
    </row>
    <row r="1518" spans="1:17" x14ac:dyDescent="0.2">
      <c r="A1518" s="1" t="str">
        <f>HYPERLINK("http://www.twitter.com/Ugo_Roux/status/978576638240751616", "978576638240751616")</f>
        <v>978576638240751616</v>
      </c>
      <c r="B1518" t="s">
        <v>370</v>
      </c>
      <c r="C1518" s="3">
        <v>43186.428541666668</v>
      </c>
      <c r="D1518" s="5" t="s">
        <v>28</v>
      </c>
      <c r="E1518">
        <v>0</v>
      </c>
      <c r="F1518">
        <v>0</v>
      </c>
      <c r="G1518">
        <v>0</v>
      </c>
      <c r="I1518" t="s">
        <v>1554</v>
      </c>
      <c r="J1518" t="str">
        <f>HYPERLINK("http://pbs.twimg.com/media/DZSaQ-ZVMAEQ-eA.jpg", "http://pbs.twimg.com/media/DZSaQ-ZVMAEQ-eA.jpg")</f>
        <v>http://pbs.twimg.com/media/DZSaQ-ZVMAEQ-eA.jpg</v>
      </c>
      <c r="N1518">
        <v>0</v>
      </c>
      <c r="O1518">
        <v>0</v>
      </c>
      <c r="P1518">
        <v>1</v>
      </c>
      <c r="Q1518">
        <v>0</v>
      </c>
    </row>
    <row r="1519" spans="1:17" x14ac:dyDescent="0.2">
      <c r="A1519" s="1" t="str">
        <f>HYPERLINK("http://www.twitter.com/Ugo_Roux/status/978252597151830017", "978252597151830017")</f>
        <v>978252597151830017</v>
      </c>
      <c r="B1519" t="s">
        <v>142</v>
      </c>
      <c r="C1519" s="3">
        <v>43185.534351851849</v>
      </c>
      <c r="D1519" s="5" t="s">
        <v>17</v>
      </c>
      <c r="E1519">
        <v>1</v>
      </c>
      <c r="F1519">
        <v>2</v>
      </c>
      <c r="G1519">
        <v>0</v>
      </c>
      <c r="I1519" t="s">
        <v>1555</v>
      </c>
      <c r="J1519" t="str">
        <f>HYPERLINK("http://pbs.twimg.com/media/DZNzjNJXcAYW-Ki.jpg", "http://pbs.twimg.com/media/DZNzjNJXcAYW-Ki.jpg")</f>
        <v>http://pbs.twimg.com/media/DZNzjNJXcAYW-Ki.jpg</v>
      </c>
      <c r="N1519">
        <v>-0.20030000000000001</v>
      </c>
      <c r="O1519">
        <v>0.183</v>
      </c>
      <c r="P1519">
        <v>0.81699999999999995</v>
      </c>
      <c r="Q1519">
        <v>0</v>
      </c>
    </row>
    <row r="1520" spans="1:17" x14ac:dyDescent="0.2">
      <c r="A1520" s="1" t="str">
        <f>HYPERLINK("http://www.twitter.com/Ugo_Roux/status/977518000961212417", "977518000961212417")</f>
        <v>977518000961212417</v>
      </c>
      <c r="B1520" t="s">
        <v>476</v>
      </c>
      <c r="C1520" s="3">
        <v>43183.507256944453</v>
      </c>
      <c r="D1520" s="5" t="s">
        <v>41</v>
      </c>
      <c r="E1520">
        <v>4</v>
      </c>
      <c r="F1520">
        <v>3</v>
      </c>
      <c r="G1520">
        <v>0</v>
      </c>
      <c r="I1520" t="s">
        <v>1556</v>
      </c>
      <c r="N1520">
        <v>0.49390000000000001</v>
      </c>
      <c r="O1520">
        <v>0</v>
      </c>
      <c r="P1520">
        <v>0.92200000000000004</v>
      </c>
      <c r="Q1520">
        <v>7.8E-2</v>
      </c>
    </row>
    <row r="1521" spans="1:17" x14ac:dyDescent="0.2">
      <c r="A1521" s="1" t="str">
        <f>HYPERLINK("http://www.twitter.com/Ugo_Roux/status/977496535884804096", "977496535884804096")</f>
        <v>977496535884804096</v>
      </c>
      <c r="B1521" t="s">
        <v>206</v>
      </c>
      <c r="C1521" s="3">
        <v>43183.448020833333</v>
      </c>
      <c r="D1521" s="5" t="s">
        <v>41</v>
      </c>
      <c r="E1521">
        <v>0</v>
      </c>
      <c r="F1521">
        <v>0</v>
      </c>
      <c r="G1521">
        <v>0</v>
      </c>
      <c r="I1521" t="s">
        <v>1557</v>
      </c>
      <c r="J1521" t="str">
        <f>HYPERLINK("http://pbs.twimg.com/media/DZDD6r6XkAAICx_.jpg", "http://pbs.twimg.com/media/DZDD6r6XkAAICx_.jpg")</f>
        <v>http://pbs.twimg.com/media/DZDD6r6XkAAICx_.jpg</v>
      </c>
      <c r="K1521" t="str">
        <f>HYPERLINK("http://pbs.twimg.com/media/DZDD6sWXcAAscsl.jpg", "http://pbs.twimg.com/media/DZDD6sWXcAAscsl.jpg")</f>
        <v>http://pbs.twimg.com/media/DZDD6sWXcAAscsl.jpg</v>
      </c>
      <c r="L1521" t="str">
        <f>HYPERLINK("http://pbs.twimg.com/media/DZDD6r1XUAAKuIN.jpg", "http://pbs.twimg.com/media/DZDD6r1XUAAKuIN.jpg")</f>
        <v>http://pbs.twimg.com/media/DZDD6r1XUAAKuIN.jpg</v>
      </c>
      <c r="N1521">
        <v>0</v>
      </c>
      <c r="O1521">
        <v>0</v>
      </c>
      <c r="P1521">
        <v>1</v>
      </c>
      <c r="Q1521">
        <v>0</v>
      </c>
    </row>
    <row r="1522" spans="1:17" x14ac:dyDescent="0.2">
      <c r="A1522" s="1" t="str">
        <f>HYPERLINK("http://www.twitter.com/Ugo_Roux/status/977475990980046848", "977475990980046848")</f>
        <v>977475990980046848</v>
      </c>
      <c r="B1522" t="s">
        <v>414</v>
      </c>
      <c r="C1522" s="3">
        <v>43183.391331018523</v>
      </c>
      <c r="D1522" s="5" t="s">
        <v>28</v>
      </c>
      <c r="E1522">
        <v>0</v>
      </c>
      <c r="F1522">
        <v>0</v>
      </c>
      <c r="G1522">
        <v>0</v>
      </c>
      <c r="I1522" t="s">
        <v>1558</v>
      </c>
      <c r="J1522" t="str">
        <f>HYPERLINK("http://pbs.twimg.com/media/DZCxNrBX0AAmFA0.jpg", "http://pbs.twimg.com/media/DZCxNrBX0AAmFA0.jpg")</f>
        <v>http://pbs.twimg.com/media/DZCxNrBX0AAmFA0.jpg</v>
      </c>
      <c r="N1522">
        <v>0</v>
      </c>
      <c r="O1522">
        <v>0</v>
      </c>
      <c r="P1522">
        <v>1</v>
      </c>
      <c r="Q1522">
        <v>0</v>
      </c>
    </row>
    <row r="1523" spans="1:17" x14ac:dyDescent="0.2">
      <c r="A1523" s="1" t="str">
        <f>HYPERLINK("http://www.twitter.com/Ugo_Roux/status/977142040935960577", "977142040935960577")</f>
        <v>977142040935960577</v>
      </c>
      <c r="B1523" t="s">
        <v>206</v>
      </c>
      <c r="C1523" s="3">
        <v>43182.46980324074</v>
      </c>
      <c r="D1523" s="5" t="s">
        <v>41</v>
      </c>
      <c r="E1523">
        <v>3</v>
      </c>
      <c r="F1523">
        <v>1</v>
      </c>
      <c r="G1523">
        <v>0</v>
      </c>
      <c r="I1523" t="s">
        <v>1559</v>
      </c>
      <c r="J1523" t="str">
        <f>HYPERLINK("http://pbs.twimg.com/media/DY-A9cXXcAAFw1H.jpg", "http://pbs.twimg.com/media/DY-A9cXXcAAFw1H.jpg")</f>
        <v>http://pbs.twimg.com/media/DY-A9cXXcAAFw1H.jpg</v>
      </c>
      <c r="K1523" t="str">
        <f>HYPERLINK("http://pbs.twimg.com/media/DY-A_RuXUAAjlp-.jpg", "http://pbs.twimg.com/media/DY-A_RuXUAAjlp-.jpg")</f>
        <v>http://pbs.twimg.com/media/DY-A_RuXUAAjlp-.jpg</v>
      </c>
      <c r="L1523" t="str">
        <f>HYPERLINK("http://pbs.twimg.com/media/DY-BAB_X0AAW_F_.jpg", "http://pbs.twimg.com/media/DY-BAB_X0AAW_F_.jpg")</f>
        <v>http://pbs.twimg.com/media/DY-BAB_X0AAW_F_.jpg</v>
      </c>
      <c r="M1523" t="str">
        <f>HYPERLINK("http://pbs.twimg.com/media/DY-BA0oXcAASYaw.jpg", "http://pbs.twimg.com/media/DY-BA0oXcAASYaw.jpg")</f>
        <v>http://pbs.twimg.com/media/DY-BA0oXcAASYaw.jpg</v>
      </c>
      <c r="N1523">
        <v>0.53739999999999999</v>
      </c>
      <c r="O1523">
        <v>7.2999999999999995E-2</v>
      </c>
      <c r="P1523">
        <v>0.78500000000000003</v>
      </c>
      <c r="Q1523">
        <v>0.14199999999999999</v>
      </c>
    </row>
    <row r="1524" spans="1:17" x14ac:dyDescent="0.2">
      <c r="A1524" s="1" t="str">
        <f>HYPERLINK("http://www.twitter.com/Ugo_Roux/status/976509313622728705", "976509313622728705")</f>
        <v>976509313622728705</v>
      </c>
      <c r="B1524" t="s">
        <v>456</v>
      </c>
      <c r="C1524" s="3">
        <v>43180.723807870367</v>
      </c>
      <c r="D1524" t="s">
        <v>28</v>
      </c>
      <c r="E1524">
        <v>3</v>
      </c>
      <c r="F1524">
        <v>1</v>
      </c>
      <c r="G1524">
        <v>0</v>
      </c>
      <c r="I1524" t="s">
        <v>1560</v>
      </c>
      <c r="J1524" t="str">
        <f>HYPERLINK("http://pbs.twimg.com/media/DY1A3aDWAAEnSli.jpg", "http://pbs.twimg.com/media/DY1A3aDWAAEnSli.jpg")</f>
        <v>http://pbs.twimg.com/media/DY1A3aDWAAEnSli.jpg</v>
      </c>
      <c r="N1524">
        <v>0.60370000000000001</v>
      </c>
      <c r="O1524">
        <v>0</v>
      </c>
      <c r="P1524">
        <v>0.85899999999999999</v>
      </c>
      <c r="Q1524">
        <v>0.14099999999999999</v>
      </c>
    </row>
    <row r="1525" spans="1:17" x14ac:dyDescent="0.2">
      <c r="A1525" s="1" t="str">
        <f>HYPERLINK("http://www.twitter.com/Ugo_Roux/status/976460923639615489", "976460923639615489")</f>
        <v>976460923639615489</v>
      </c>
      <c r="B1525" t="s">
        <v>16</v>
      </c>
      <c r="C1525" s="3">
        <v>43180.590277777781</v>
      </c>
      <c r="D1525" s="3" t="s">
        <v>17</v>
      </c>
      <c r="E1525">
        <v>0</v>
      </c>
      <c r="F1525">
        <v>0</v>
      </c>
      <c r="G1525">
        <v>0</v>
      </c>
      <c r="I1525" t="s">
        <v>1561</v>
      </c>
      <c r="J1525" t="str">
        <f>HYPERLINK("http://pbs.twimg.com/media/DY0RqiSX0AAu3Wq.jpg", "http://pbs.twimg.com/media/DY0RqiSX0AAu3Wq.jpg")</f>
        <v>http://pbs.twimg.com/media/DY0RqiSX0AAu3Wq.jpg</v>
      </c>
      <c r="N1525">
        <v>0</v>
      </c>
      <c r="O1525">
        <v>0</v>
      </c>
      <c r="P1525">
        <v>1</v>
      </c>
      <c r="Q1525">
        <v>0</v>
      </c>
    </row>
    <row r="1526" spans="1:17" x14ac:dyDescent="0.2">
      <c r="A1526" s="1" t="str">
        <f>HYPERLINK("http://www.twitter.com/Ugo_Roux/status/976132977993412608", "976132977993412608")</f>
        <v>976132977993412608</v>
      </c>
      <c r="B1526" t="s">
        <v>206</v>
      </c>
      <c r="C1526" s="3">
        <v>43179.685324074067</v>
      </c>
      <c r="D1526" s="5" t="s">
        <v>28</v>
      </c>
      <c r="E1526">
        <v>6</v>
      </c>
      <c r="F1526">
        <v>3</v>
      </c>
      <c r="G1526">
        <v>0</v>
      </c>
      <c r="I1526" t="s">
        <v>1562</v>
      </c>
      <c r="N1526">
        <v>0.5837</v>
      </c>
      <c r="O1526">
        <v>0</v>
      </c>
      <c r="P1526">
        <v>0.90500000000000003</v>
      </c>
      <c r="Q1526">
        <v>9.5000000000000001E-2</v>
      </c>
    </row>
    <row r="1527" spans="1:17" x14ac:dyDescent="0.2">
      <c r="A1527" s="1" t="str">
        <f>HYPERLINK("http://www.twitter.com/Ugo_Roux/status/976038937062969344", "976038937062969344")</f>
        <v>976038937062969344</v>
      </c>
      <c r="B1527" t="s">
        <v>414</v>
      </c>
      <c r="C1527" s="3">
        <v>43179.425821759258</v>
      </c>
      <c r="D1527" s="5" t="s">
        <v>41</v>
      </c>
      <c r="E1527">
        <v>1</v>
      </c>
      <c r="F1527">
        <v>0</v>
      </c>
      <c r="G1527">
        <v>0</v>
      </c>
      <c r="I1527" t="s">
        <v>1563</v>
      </c>
      <c r="J1527" t="str">
        <f>HYPERLINK("http://pbs.twimg.com/media/DYuWIw2X4AAE1Tx.jpg", "http://pbs.twimg.com/media/DYuWIw2X4AAE1Tx.jpg")</f>
        <v>http://pbs.twimg.com/media/DYuWIw2X4AAE1Tx.jpg</v>
      </c>
      <c r="N1527">
        <v>0</v>
      </c>
      <c r="O1527">
        <v>0</v>
      </c>
      <c r="P1527">
        <v>1</v>
      </c>
      <c r="Q1527">
        <v>0</v>
      </c>
    </row>
    <row r="1528" spans="1:17" x14ac:dyDescent="0.2">
      <c r="A1528" s="1" t="str">
        <f>HYPERLINK("http://www.twitter.com/Ugo_Roux/status/975767929924063237", "975767929924063237")</f>
        <v>975767929924063237</v>
      </c>
      <c r="B1528" t="s">
        <v>471</v>
      </c>
      <c r="C1528" s="3">
        <v>43178.677986111114</v>
      </c>
      <c r="D1528" s="3" t="s">
        <v>28</v>
      </c>
      <c r="E1528">
        <v>1</v>
      </c>
      <c r="F1528">
        <v>2</v>
      </c>
      <c r="G1528">
        <v>0</v>
      </c>
      <c r="I1528" t="s">
        <v>1564</v>
      </c>
      <c r="J1528" t="str">
        <f>HYPERLINK("http://pbs.twimg.com/media/DYqftVaX4AEmUqw.jpg", "http://pbs.twimg.com/media/DYqftVaX4AEmUqw.jpg")</f>
        <v>http://pbs.twimg.com/media/DYqftVaX4AEmUqw.jpg</v>
      </c>
      <c r="N1528">
        <v>0</v>
      </c>
      <c r="O1528">
        <v>0</v>
      </c>
      <c r="P1528">
        <v>1</v>
      </c>
      <c r="Q1528">
        <v>0</v>
      </c>
    </row>
    <row r="1529" spans="1:17" x14ac:dyDescent="0.2">
      <c r="A1529" s="1" t="str">
        <f>HYPERLINK("http://www.twitter.com/Ugo_Roux/status/974998571861860357", "974998571861860357")</f>
        <v>974998571861860357</v>
      </c>
      <c r="B1529" t="s">
        <v>414</v>
      </c>
      <c r="C1529" s="3">
        <v>43176.5549537037</v>
      </c>
      <c r="D1529" s="5" t="s">
        <v>28</v>
      </c>
      <c r="E1529">
        <v>1</v>
      </c>
      <c r="F1529">
        <v>1</v>
      </c>
      <c r="G1529">
        <v>0</v>
      </c>
      <c r="I1529" t="s">
        <v>1565</v>
      </c>
      <c r="N1529">
        <v>0</v>
      </c>
      <c r="O1529">
        <v>0</v>
      </c>
      <c r="P1529">
        <v>1</v>
      </c>
      <c r="Q1529">
        <v>0</v>
      </c>
    </row>
    <row r="1530" spans="1:17" x14ac:dyDescent="0.2">
      <c r="A1530" s="1" t="str">
        <f>HYPERLINK("http://www.twitter.com/Ugo_Roux/status/974994283454521345", "974994283454521345")</f>
        <v>974994283454521345</v>
      </c>
      <c r="B1530" t="s">
        <v>130</v>
      </c>
      <c r="C1530" s="3">
        <v>43176.543124999997</v>
      </c>
      <c r="D1530" s="5" t="s">
        <v>17</v>
      </c>
      <c r="E1530">
        <v>0</v>
      </c>
      <c r="F1530">
        <v>0</v>
      </c>
      <c r="G1530">
        <v>0</v>
      </c>
      <c r="I1530" t="s">
        <v>1566</v>
      </c>
      <c r="N1530">
        <v>0</v>
      </c>
      <c r="O1530">
        <v>0</v>
      </c>
      <c r="P1530">
        <v>1</v>
      </c>
      <c r="Q1530">
        <v>0</v>
      </c>
    </row>
    <row r="1531" spans="1:17" x14ac:dyDescent="0.2">
      <c r="A1531" s="1" t="str">
        <f>HYPERLINK("http://www.twitter.com/Ugo_Roux/status/974961520839970816", "974961520839970816")</f>
        <v>974961520839970816</v>
      </c>
      <c r="B1531" t="s">
        <v>206</v>
      </c>
      <c r="C1531" s="3">
        <v>43176.452719907407</v>
      </c>
      <c r="D1531" s="5" t="s">
        <v>41</v>
      </c>
      <c r="E1531">
        <v>5</v>
      </c>
      <c r="F1531">
        <v>0</v>
      </c>
      <c r="G1531">
        <v>0</v>
      </c>
      <c r="I1531" t="s">
        <v>1567</v>
      </c>
      <c r="J1531" t="str">
        <f>HYPERLINK("http://pbs.twimg.com/media/DYfCVd_WkAAXDP2.jpg", "http://pbs.twimg.com/media/DYfCVd_WkAAXDP2.jpg")</f>
        <v>http://pbs.twimg.com/media/DYfCVd_WkAAXDP2.jpg</v>
      </c>
      <c r="K1531" t="str">
        <f>HYPERLINK("http://pbs.twimg.com/media/DYfCVZ3WAAIwvNT.jpg", "http://pbs.twimg.com/media/DYfCVZ3WAAIwvNT.jpg")</f>
        <v>http://pbs.twimg.com/media/DYfCVZ3WAAIwvNT.jpg</v>
      </c>
      <c r="L1531" t="str">
        <f>HYPERLINK("http://pbs.twimg.com/media/DYfCVadW4AARnMX.jpg", "http://pbs.twimg.com/media/DYfCVadW4AARnMX.jpg")</f>
        <v>http://pbs.twimg.com/media/DYfCVadW4AARnMX.jpg</v>
      </c>
      <c r="N1531">
        <v>0</v>
      </c>
      <c r="O1531">
        <v>0</v>
      </c>
      <c r="P1531">
        <v>1</v>
      </c>
      <c r="Q1531">
        <v>0</v>
      </c>
    </row>
    <row r="1532" spans="1:17" x14ac:dyDescent="0.2">
      <c r="A1532" s="1" t="str">
        <f>HYPERLINK("http://www.twitter.com/Ugo_Roux/status/974924558494060544", "974924558494060544")</f>
        <v>974924558494060544</v>
      </c>
      <c r="B1532" t="s">
        <v>414</v>
      </c>
      <c r="C1532" s="3">
        <v>43176.350717592592</v>
      </c>
      <c r="D1532" s="5" t="s">
        <v>28</v>
      </c>
      <c r="E1532">
        <v>0</v>
      </c>
      <c r="F1532">
        <v>0</v>
      </c>
      <c r="G1532">
        <v>0</v>
      </c>
      <c r="I1532" t="s">
        <v>1568</v>
      </c>
      <c r="N1532">
        <v>0</v>
      </c>
      <c r="O1532">
        <v>0</v>
      </c>
      <c r="P1532">
        <v>1</v>
      </c>
      <c r="Q1532">
        <v>0</v>
      </c>
    </row>
    <row r="1533" spans="1:17" x14ac:dyDescent="0.2">
      <c r="A1533" s="1" t="str">
        <f>HYPERLINK("http://www.twitter.com/Ugo_Roux/status/974635470993883136", "974635470993883136")</f>
        <v>974635470993883136</v>
      </c>
      <c r="B1533" t="s">
        <v>414</v>
      </c>
      <c r="C1533" s="3">
        <v>43175.552986111114</v>
      </c>
      <c r="D1533" s="5" t="s">
        <v>28</v>
      </c>
      <c r="E1533">
        <v>0</v>
      </c>
      <c r="F1533">
        <v>0</v>
      </c>
      <c r="G1533">
        <v>0</v>
      </c>
      <c r="I1533" t="s">
        <v>1569</v>
      </c>
      <c r="N1533">
        <v>0.45879999999999999</v>
      </c>
      <c r="O1533">
        <v>0</v>
      </c>
      <c r="P1533">
        <v>0.5</v>
      </c>
      <c r="Q1533">
        <v>0.5</v>
      </c>
    </row>
    <row r="1534" spans="1:17" x14ac:dyDescent="0.2">
      <c r="A1534" s="1" t="str">
        <f>HYPERLINK("http://www.twitter.com/Ugo_Roux/status/974627194982068224", "974627194982068224")</f>
        <v>974627194982068224</v>
      </c>
      <c r="B1534" t="s">
        <v>47</v>
      </c>
      <c r="C1534" s="3">
        <v>43175.530150462961</v>
      </c>
      <c r="D1534" s="3" t="s">
        <v>41</v>
      </c>
      <c r="E1534">
        <v>0</v>
      </c>
      <c r="F1534">
        <v>0</v>
      </c>
      <c r="G1534">
        <v>0</v>
      </c>
      <c r="I1534" t="s">
        <v>1570</v>
      </c>
      <c r="J1534" t="str">
        <f>HYPERLINK("http://pbs.twimg.com/media/DYaRkEQXcAAw6_5.jpg", "http://pbs.twimg.com/media/DYaRkEQXcAAw6_5.jpg")</f>
        <v>http://pbs.twimg.com/media/DYaRkEQXcAAw6_5.jpg</v>
      </c>
      <c r="N1534">
        <v>0</v>
      </c>
      <c r="O1534">
        <v>0</v>
      </c>
      <c r="P1534">
        <v>1</v>
      </c>
      <c r="Q1534">
        <v>0</v>
      </c>
    </row>
    <row r="1535" spans="1:17" x14ac:dyDescent="0.2">
      <c r="A1535" s="1" t="str">
        <f>HYPERLINK("http://www.twitter.com/Ugo_Roux/status/974600171467264000", "974600171467264000")</f>
        <v>974600171467264000</v>
      </c>
      <c r="B1535" t="s">
        <v>456</v>
      </c>
      <c r="C1535" s="3">
        <v>43175.455578703702</v>
      </c>
      <c r="D1535" t="s">
        <v>28</v>
      </c>
      <c r="E1535">
        <v>3</v>
      </c>
      <c r="F1535">
        <v>0</v>
      </c>
      <c r="G1535">
        <v>0</v>
      </c>
      <c r="I1535" t="s">
        <v>1571</v>
      </c>
      <c r="J1535" t="str">
        <f>HYPERLINK("http://pbs.twimg.com/media/DYZ5Us5WAAE5puk.jpg", "http://pbs.twimg.com/media/DYZ5Us5WAAE5puk.jpg")</f>
        <v>http://pbs.twimg.com/media/DYZ5Us5WAAE5puk.jpg</v>
      </c>
      <c r="N1535">
        <v>0</v>
      </c>
      <c r="O1535">
        <v>0</v>
      </c>
      <c r="P1535">
        <v>1</v>
      </c>
      <c r="Q1535">
        <v>0</v>
      </c>
    </row>
    <row r="1536" spans="1:17" x14ac:dyDescent="0.2">
      <c r="A1536" s="1" t="str">
        <f>HYPERLINK("http://www.twitter.com/Ugo_Roux/status/974546343669612546", "974546343669612546")</f>
        <v>974546343669612546</v>
      </c>
      <c r="B1536" t="s">
        <v>285</v>
      </c>
      <c r="C1536" s="3">
        <v>43175.30704861111</v>
      </c>
      <c r="D1536" s="5" t="s">
        <v>28</v>
      </c>
      <c r="E1536">
        <v>0</v>
      </c>
      <c r="F1536">
        <v>1</v>
      </c>
      <c r="G1536">
        <v>0</v>
      </c>
      <c r="I1536" t="s">
        <v>1572</v>
      </c>
      <c r="J1536" t="str">
        <f>HYPERLINK("http://pbs.twimg.com/media/DYZItUbVAAA265j.jpg", "http://pbs.twimg.com/media/DYZItUbVAAA265j.jpg")</f>
        <v>http://pbs.twimg.com/media/DYZItUbVAAA265j.jpg</v>
      </c>
      <c r="N1536">
        <v>0</v>
      </c>
      <c r="O1536">
        <v>0</v>
      </c>
      <c r="P1536">
        <v>1</v>
      </c>
      <c r="Q1536">
        <v>0</v>
      </c>
    </row>
    <row r="1537" spans="1:17" x14ac:dyDescent="0.2">
      <c r="A1537" s="1" t="str">
        <f>HYPERLINK("http://www.twitter.com/Ugo_Roux/status/974277332969156608", "974277332969156608")</f>
        <v>974277332969156608</v>
      </c>
      <c r="B1537" t="s">
        <v>142</v>
      </c>
      <c r="C1537" s="3">
        <v>43174.564722222232</v>
      </c>
      <c r="D1537" s="5" t="s">
        <v>625</v>
      </c>
      <c r="E1537">
        <v>2</v>
      </c>
      <c r="F1537">
        <v>2</v>
      </c>
      <c r="G1537">
        <v>0</v>
      </c>
      <c r="I1537" t="s">
        <v>1573</v>
      </c>
      <c r="J1537" t="str">
        <f>HYPERLINK("http://pbs.twimg.com/media/DYVUDazX0AAvp06.jpg", "http://pbs.twimg.com/media/DYVUDazX0AAvp06.jpg")</f>
        <v>http://pbs.twimg.com/media/DYVUDazX0AAvp06.jpg</v>
      </c>
      <c r="N1537">
        <v>0</v>
      </c>
      <c r="O1537">
        <v>0</v>
      </c>
      <c r="P1537">
        <v>1</v>
      </c>
      <c r="Q1537">
        <v>0</v>
      </c>
    </row>
    <row r="1538" spans="1:17" x14ac:dyDescent="0.2">
      <c r="A1538" s="1" t="str">
        <f>HYPERLINK("http://www.twitter.com/Ugo_Roux/status/974202582817177600", "974202582817177600")</f>
        <v>974202582817177600</v>
      </c>
      <c r="B1538" t="s">
        <v>471</v>
      </c>
      <c r="C1538" s="3">
        <v>43174.358449074083</v>
      </c>
      <c r="D1538" s="3" t="s">
        <v>41</v>
      </c>
      <c r="E1538">
        <v>0</v>
      </c>
      <c r="F1538">
        <v>0</v>
      </c>
      <c r="G1538">
        <v>0</v>
      </c>
      <c r="I1538" t="s">
        <v>1574</v>
      </c>
      <c r="J1538" t="str">
        <f>HYPERLINK("http://pbs.twimg.com/media/DYUQC9dWsAA9Swo.jpg", "http://pbs.twimg.com/media/DYUQC9dWsAA9Swo.jpg")</f>
        <v>http://pbs.twimg.com/media/DYUQC9dWsAA9Swo.jpg</v>
      </c>
      <c r="N1538">
        <v>0</v>
      </c>
      <c r="O1538">
        <v>0</v>
      </c>
      <c r="P1538">
        <v>1</v>
      </c>
      <c r="Q1538">
        <v>0</v>
      </c>
    </row>
    <row r="1539" spans="1:17" x14ac:dyDescent="0.2">
      <c r="A1539" s="1" t="str">
        <f>HYPERLINK("http://www.twitter.com/Ugo_Roux/status/973971781689192454", "973971781689192454")</f>
        <v>973971781689192454</v>
      </c>
      <c r="B1539" t="s">
        <v>142</v>
      </c>
      <c r="C1539" s="3">
        <v>43173.721550925933</v>
      </c>
      <c r="D1539" s="5" t="s">
        <v>28</v>
      </c>
      <c r="E1539">
        <v>2</v>
      </c>
      <c r="F1539">
        <v>1</v>
      </c>
      <c r="G1539">
        <v>0</v>
      </c>
      <c r="I1539" t="s">
        <v>1575</v>
      </c>
      <c r="N1539">
        <v>0</v>
      </c>
      <c r="O1539">
        <v>0</v>
      </c>
      <c r="P1539">
        <v>1</v>
      </c>
      <c r="Q1539">
        <v>0</v>
      </c>
    </row>
    <row r="1540" spans="1:17" x14ac:dyDescent="0.2">
      <c r="A1540" s="1" t="str">
        <f>HYPERLINK("http://www.twitter.com/Ugo_Roux/status/973815996392685568", "973815996392685568")</f>
        <v>973815996392685568</v>
      </c>
      <c r="B1540" t="s">
        <v>16</v>
      </c>
      <c r="C1540" s="3">
        <v>43173.291666666657</v>
      </c>
      <c r="D1540" s="3" t="s">
        <v>17</v>
      </c>
      <c r="E1540">
        <v>3</v>
      </c>
      <c r="F1540">
        <v>1</v>
      </c>
      <c r="G1540">
        <v>0</v>
      </c>
      <c r="I1540" t="s">
        <v>1576</v>
      </c>
      <c r="J1540" t="str">
        <f>HYPERLINK("http://pbs.twimg.com/media/DYLOynQXcAE9n5P.jpg", "http://pbs.twimg.com/media/DYLOynQXcAE9n5P.jpg")</f>
        <v>http://pbs.twimg.com/media/DYLOynQXcAE9n5P.jpg</v>
      </c>
      <c r="N1540">
        <v>0</v>
      </c>
      <c r="O1540">
        <v>0</v>
      </c>
      <c r="P1540">
        <v>1</v>
      </c>
      <c r="Q1540">
        <v>0</v>
      </c>
    </row>
    <row r="1541" spans="1:17" x14ac:dyDescent="0.2">
      <c r="A1541" s="1" t="str">
        <f>HYPERLINK("http://www.twitter.com/Ugo_Roux/status/973566336545763328", "973566336545763328")</f>
        <v>973566336545763328</v>
      </c>
      <c r="B1541" t="s">
        <v>97</v>
      </c>
      <c r="C1541" s="3">
        <v>43172.602743055562</v>
      </c>
      <c r="D1541" s="5" t="s">
        <v>28</v>
      </c>
      <c r="E1541">
        <v>0</v>
      </c>
      <c r="F1541">
        <v>0</v>
      </c>
      <c r="G1541">
        <v>0</v>
      </c>
      <c r="I1541" t="s">
        <v>1577</v>
      </c>
      <c r="J1541" t="str">
        <f>HYPERLINK("http://pbs.twimg.com/media/DYLNbCRVAAEuQAc.jpg", "http://pbs.twimg.com/media/DYLNbCRVAAEuQAc.jpg")</f>
        <v>http://pbs.twimg.com/media/DYLNbCRVAAEuQAc.jpg</v>
      </c>
      <c r="N1541">
        <v>0</v>
      </c>
      <c r="O1541">
        <v>0</v>
      </c>
      <c r="P1541">
        <v>1</v>
      </c>
      <c r="Q1541">
        <v>0</v>
      </c>
    </row>
    <row r="1542" spans="1:17" x14ac:dyDescent="0.2">
      <c r="A1542" s="1" t="str">
        <f>HYPERLINK("http://www.twitter.com/Ugo_Roux/status/973094963604058112", "973094963604058112")</f>
        <v>973094963604058112</v>
      </c>
      <c r="B1542" t="s">
        <v>285</v>
      </c>
      <c r="C1542" s="3">
        <v>43171.302002314813</v>
      </c>
      <c r="D1542" s="5" t="s">
        <v>28</v>
      </c>
      <c r="E1542">
        <v>0</v>
      </c>
      <c r="F1542">
        <v>0</v>
      </c>
      <c r="G1542">
        <v>0</v>
      </c>
      <c r="I1542" t="s">
        <v>1578</v>
      </c>
      <c r="J1542" t="str">
        <f>HYPERLINK("http://pbs.twimg.com/media/DYEgrjKXkAIXXQY.jpg", "http://pbs.twimg.com/media/DYEgrjKXkAIXXQY.jpg")</f>
        <v>http://pbs.twimg.com/media/DYEgrjKXkAIXXQY.jpg</v>
      </c>
      <c r="N1542">
        <v>0</v>
      </c>
      <c r="O1542">
        <v>0</v>
      </c>
      <c r="P1542">
        <v>1</v>
      </c>
      <c r="Q1542">
        <v>0</v>
      </c>
    </row>
    <row r="1543" spans="1:17" x14ac:dyDescent="0.2">
      <c r="A1543" s="1" t="str">
        <f>HYPERLINK("http://www.twitter.com/Ugo_Roux/status/972825953553584134", "972825953553584134")</f>
        <v>972825953553584134</v>
      </c>
      <c r="B1543" t="s">
        <v>142</v>
      </c>
      <c r="C1543" s="3">
        <v>43170.559675925928</v>
      </c>
      <c r="D1543" s="5" t="s">
        <v>41</v>
      </c>
      <c r="E1543">
        <v>8</v>
      </c>
      <c r="F1543">
        <v>4</v>
      </c>
      <c r="G1543">
        <v>0</v>
      </c>
      <c r="I1543" t="s">
        <v>1579</v>
      </c>
      <c r="J1543" t="str">
        <f>HYPERLINK("http://pbs.twimg.com/media/DYAsCrWW0AAMNyd.jpg", "http://pbs.twimg.com/media/DYAsCrWW0AAMNyd.jpg")</f>
        <v>http://pbs.twimg.com/media/DYAsCrWW0AAMNyd.jpg</v>
      </c>
      <c r="N1543">
        <v>0</v>
      </c>
      <c r="O1543">
        <v>0</v>
      </c>
      <c r="P1543">
        <v>1</v>
      </c>
      <c r="Q1543">
        <v>0</v>
      </c>
    </row>
    <row r="1544" spans="1:17" x14ac:dyDescent="0.2">
      <c r="A1544" s="1" t="str">
        <f>HYPERLINK("http://www.twitter.com/Ugo_Roux/status/972472023111921677", "972472023111921677")</f>
        <v>972472023111921677</v>
      </c>
      <c r="B1544" t="s">
        <v>142</v>
      </c>
      <c r="C1544" s="3">
        <v>43169.583009259259</v>
      </c>
      <c r="D1544" s="5" t="s">
        <v>41</v>
      </c>
      <c r="E1544">
        <v>1</v>
      </c>
      <c r="F1544">
        <v>3</v>
      </c>
      <c r="G1544">
        <v>0</v>
      </c>
      <c r="I1544" t="s">
        <v>1580</v>
      </c>
      <c r="N1544">
        <v>-0.20030000000000001</v>
      </c>
      <c r="O1544">
        <v>5.8000000000000003E-2</v>
      </c>
      <c r="P1544">
        <v>0.94199999999999995</v>
      </c>
      <c r="Q1544">
        <v>0</v>
      </c>
    </row>
    <row r="1545" spans="1:17" x14ac:dyDescent="0.2">
      <c r="A1545" s="1" t="str">
        <f>HYPERLINK("http://www.twitter.com/Ugo_Roux/status/972158305874464768", "972158305874464768")</f>
        <v>972158305874464768</v>
      </c>
      <c r="B1545" t="s">
        <v>97</v>
      </c>
      <c r="C1545" s="3">
        <v>43168.717314814807</v>
      </c>
      <c r="D1545" s="5" t="s">
        <v>28</v>
      </c>
      <c r="E1545">
        <v>0</v>
      </c>
      <c r="F1545">
        <v>0</v>
      </c>
      <c r="G1545">
        <v>0</v>
      </c>
      <c r="I1545" t="s">
        <v>1581</v>
      </c>
      <c r="J1545" t="str">
        <f>HYPERLINK("http://pbs.twimg.com/media/DX3M0xqUMAAxVFY.png", "http://pbs.twimg.com/media/DX3M0xqUMAAxVFY.png")</f>
        <v>http://pbs.twimg.com/media/DX3M0xqUMAAxVFY.png</v>
      </c>
      <c r="N1545">
        <v>0</v>
      </c>
      <c r="O1545">
        <v>0</v>
      </c>
      <c r="P1545">
        <v>1</v>
      </c>
      <c r="Q1545">
        <v>0</v>
      </c>
    </row>
    <row r="1546" spans="1:17" x14ac:dyDescent="0.2">
      <c r="A1546" s="1" t="str">
        <f>HYPERLINK("http://www.twitter.com/Ugo_Roux/status/972151463618207745", "972151463618207745")</f>
        <v>972151463618207745</v>
      </c>
      <c r="B1546" t="s">
        <v>414</v>
      </c>
      <c r="C1546" s="3">
        <v>43168.698437500003</v>
      </c>
      <c r="D1546" s="5" t="s">
        <v>28</v>
      </c>
      <c r="E1546">
        <v>0</v>
      </c>
      <c r="F1546">
        <v>0</v>
      </c>
      <c r="G1546">
        <v>0</v>
      </c>
      <c r="I1546" t="s">
        <v>1582</v>
      </c>
      <c r="J1546" t="str">
        <f>HYPERLINK("http://pbs.twimg.com/media/DX3GmRhX0AAJMso.jpg", "http://pbs.twimg.com/media/DX3GmRhX0AAJMso.jpg")</f>
        <v>http://pbs.twimg.com/media/DX3GmRhX0AAJMso.jpg</v>
      </c>
      <c r="N1546">
        <v>0</v>
      </c>
      <c r="O1546">
        <v>0</v>
      </c>
      <c r="P1546">
        <v>1</v>
      </c>
      <c r="Q1546">
        <v>0</v>
      </c>
    </row>
    <row r="1547" spans="1:17" x14ac:dyDescent="0.2">
      <c r="A1547" s="1" t="str">
        <f>HYPERLINK("http://www.twitter.com/Ugo_Roux/status/972007915988152320", "972007915988152320")</f>
        <v>972007915988152320</v>
      </c>
      <c r="B1547" t="s">
        <v>285</v>
      </c>
      <c r="C1547" s="3">
        <v>43168.302314814813</v>
      </c>
      <c r="D1547" s="5" t="s">
        <v>17</v>
      </c>
      <c r="E1547">
        <v>1</v>
      </c>
      <c r="F1547">
        <v>1</v>
      </c>
      <c r="G1547">
        <v>0</v>
      </c>
      <c r="I1547" t="s">
        <v>1583</v>
      </c>
      <c r="J1547" t="str">
        <f>HYPERLINK("http://pbs.twimg.com/media/DX1D80YU8AA-l_k.jpg", "http://pbs.twimg.com/media/DX1D80YU8AA-l_k.jpg")</f>
        <v>http://pbs.twimg.com/media/DX1D80YU8AA-l_k.jpg</v>
      </c>
      <c r="K1547" t="str">
        <f>HYPERLINK("http://pbs.twimg.com/media/DX1D9v1UMAERSm6.jpg", "http://pbs.twimg.com/media/DX1D9v1UMAERSm6.jpg")</f>
        <v>http://pbs.twimg.com/media/DX1D9v1UMAERSm6.jpg</v>
      </c>
      <c r="L1547" t="str">
        <f>HYPERLINK("http://pbs.twimg.com/media/DX1D-m4VAAAf57A.jpg", "http://pbs.twimg.com/media/DX1D-m4VAAAf57A.jpg")</f>
        <v>http://pbs.twimg.com/media/DX1D-m4VAAAf57A.jpg</v>
      </c>
      <c r="N1547">
        <v>0</v>
      </c>
      <c r="O1547">
        <v>0</v>
      </c>
      <c r="P1547">
        <v>1</v>
      </c>
      <c r="Q1547">
        <v>0</v>
      </c>
    </row>
    <row r="1548" spans="1:17" x14ac:dyDescent="0.2">
      <c r="A1548" s="1" t="str">
        <f>HYPERLINK("http://www.twitter.com/Ugo_Roux/status/971711606269906944", "971711606269906944")</f>
        <v>971711606269906944</v>
      </c>
      <c r="B1548" t="s">
        <v>476</v>
      </c>
      <c r="C1548" s="3">
        <v>43167.484664351847</v>
      </c>
      <c r="D1548" s="5" t="s">
        <v>28</v>
      </c>
      <c r="E1548">
        <v>2</v>
      </c>
      <c r="F1548">
        <v>0</v>
      </c>
      <c r="G1548">
        <v>0</v>
      </c>
      <c r="I1548" t="s">
        <v>1584</v>
      </c>
      <c r="J1548" t="str">
        <f>HYPERLINK("http://pbs.twimg.com/media/DXw14mSX4AEtYrN.jpg", "http://pbs.twimg.com/media/DXw14mSX4AEtYrN.jpg")</f>
        <v>http://pbs.twimg.com/media/DXw14mSX4AEtYrN.jpg</v>
      </c>
      <c r="N1548">
        <v>0</v>
      </c>
      <c r="O1548">
        <v>0</v>
      </c>
      <c r="P1548">
        <v>1</v>
      </c>
      <c r="Q1548">
        <v>0</v>
      </c>
    </row>
    <row r="1549" spans="1:17" x14ac:dyDescent="0.2">
      <c r="A1549" s="1" t="str">
        <f>HYPERLINK("http://www.twitter.com/Ugo_Roux/status/971419942749900801", "971419942749900801")</f>
        <v>971419942749900801</v>
      </c>
      <c r="B1549" t="s">
        <v>471</v>
      </c>
      <c r="C1549" s="3">
        <v>43166.679826388892</v>
      </c>
      <c r="D1549" s="3" t="s">
        <v>28</v>
      </c>
      <c r="E1549">
        <v>1</v>
      </c>
      <c r="F1549">
        <v>0</v>
      </c>
      <c r="G1549">
        <v>0</v>
      </c>
      <c r="I1549" t="s">
        <v>1585</v>
      </c>
      <c r="J1549" t="str">
        <f>HYPERLINK("http://pbs.twimg.com/media/DXstHM7WsAUez9T.jpg", "http://pbs.twimg.com/media/DXstHM7WsAUez9T.jpg")</f>
        <v>http://pbs.twimg.com/media/DXstHM7WsAUez9T.jpg</v>
      </c>
      <c r="K1549" t="str">
        <f>HYPERLINK("http://pbs.twimg.com/media/DXstHPjXkAEqNZB.jpg", "http://pbs.twimg.com/media/DXstHPjXkAEqNZB.jpg")</f>
        <v>http://pbs.twimg.com/media/DXstHPjXkAEqNZB.jpg</v>
      </c>
      <c r="N1549">
        <v>0</v>
      </c>
      <c r="O1549">
        <v>0</v>
      </c>
      <c r="P1549">
        <v>1</v>
      </c>
      <c r="Q1549">
        <v>0</v>
      </c>
    </row>
    <row r="1550" spans="1:17" x14ac:dyDescent="0.2">
      <c r="A1550" s="1" t="str">
        <f>HYPERLINK("http://www.twitter.com/Ugo_Roux/status/970919664686596096", "970919664686596096")</f>
        <v>970919664686596096</v>
      </c>
      <c r="B1550" t="s">
        <v>285</v>
      </c>
      <c r="C1550" s="3">
        <v>43165.299317129633</v>
      </c>
      <c r="D1550" s="5" t="s">
        <v>17</v>
      </c>
      <c r="E1550">
        <v>1</v>
      </c>
      <c r="F1550">
        <v>0</v>
      </c>
      <c r="G1550">
        <v>0</v>
      </c>
      <c r="I1550" t="s">
        <v>1586</v>
      </c>
      <c r="J1550" t="str">
        <f>HYPERLINK("http://pbs.twimg.com/media/DXlmSOTXcAAawdd.jpg", "http://pbs.twimg.com/media/DXlmSOTXcAAawdd.jpg")</f>
        <v>http://pbs.twimg.com/media/DXlmSOTXcAAawdd.jpg</v>
      </c>
      <c r="N1550">
        <v>0</v>
      </c>
      <c r="O1550">
        <v>0</v>
      </c>
      <c r="P1550">
        <v>1</v>
      </c>
      <c r="Q1550">
        <v>0</v>
      </c>
    </row>
    <row r="1551" spans="1:17" x14ac:dyDescent="0.2">
      <c r="A1551" s="1" t="str">
        <f>HYPERLINK("http://www.twitter.com/Ugo_Roux/status/969538207347101697", "969538207347101697")</f>
        <v>969538207347101697</v>
      </c>
      <c r="B1551" t="s">
        <v>16</v>
      </c>
      <c r="C1551" s="3">
        <v>43161.487222222233</v>
      </c>
      <c r="D1551" s="3" t="s">
        <v>28</v>
      </c>
      <c r="E1551">
        <v>2</v>
      </c>
      <c r="F1551">
        <v>0</v>
      </c>
      <c r="G1551">
        <v>0</v>
      </c>
      <c r="I1551" t="s">
        <v>1587</v>
      </c>
      <c r="J1551" t="str">
        <f>HYPERLINK("http://pbs.twimg.com/media/DXR8zjKX4AEaKR6.jpg", "http://pbs.twimg.com/media/DXR8zjKX4AEaKR6.jpg")</f>
        <v>http://pbs.twimg.com/media/DXR8zjKX4AEaKR6.jpg</v>
      </c>
      <c r="N1551">
        <v>0</v>
      </c>
      <c r="O1551">
        <v>0</v>
      </c>
      <c r="P1551">
        <v>1</v>
      </c>
      <c r="Q1551">
        <v>0</v>
      </c>
    </row>
    <row r="1552" spans="1:17" x14ac:dyDescent="0.2">
      <c r="A1552" s="1" t="str">
        <f>HYPERLINK("http://www.twitter.com/Ugo_Roux/status/969285049190371329", "969285049190371329")</f>
        <v>969285049190371329</v>
      </c>
      <c r="B1552" t="s">
        <v>142</v>
      </c>
      <c r="C1552" s="3">
        <v>43160.788634259261</v>
      </c>
      <c r="D1552" s="5" t="s">
        <v>41</v>
      </c>
      <c r="E1552">
        <v>3</v>
      </c>
      <c r="F1552">
        <v>0</v>
      </c>
      <c r="G1552">
        <v>0</v>
      </c>
      <c r="I1552" t="s">
        <v>1588</v>
      </c>
      <c r="J1552" t="str">
        <f>HYPERLINK("http://pbs.twimg.com/media/DXOXl07X0AEEKtK.jpg", "http://pbs.twimg.com/media/DXOXl07X0AEEKtK.jpg")</f>
        <v>http://pbs.twimg.com/media/DXOXl07X0AEEKtK.jpg</v>
      </c>
      <c r="N1552">
        <v>-0.66249999999999998</v>
      </c>
      <c r="O1552">
        <v>0.24199999999999999</v>
      </c>
      <c r="P1552">
        <v>0.75800000000000001</v>
      </c>
      <c r="Q1552">
        <v>0</v>
      </c>
    </row>
    <row r="1553" spans="1:17" x14ac:dyDescent="0.2">
      <c r="A1553" s="1" t="str">
        <f>HYPERLINK("http://www.twitter.com/Ugo_Roux/status/969144708625764352", "969144708625764352")</f>
        <v>969144708625764352</v>
      </c>
      <c r="B1553" t="s">
        <v>476</v>
      </c>
      <c r="C1553" s="3">
        <v>43160.401377314818</v>
      </c>
      <c r="D1553" s="5" t="s">
        <v>28</v>
      </c>
      <c r="E1553">
        <v>0</v>
      </c>
      <c r="F1553">
        <v>0</v>
      </c>
      <c r="G1553">
        <v>1</v>
      </c>
      <c r="I1553" t="s">
        <v>1589</v>
      </c>
      <c r="N1553">
        <v>0</v>
      </c>
      <c r="O1553">
        <v>0</v>
      </c>
      <c r="P1553">
        <v>1</v>
      </c>
      <c r="Q1553">
        <v>0</v>
      </c>
    </row>
    <row r="1554" spans="1:17" x14ac:dyDescent="0.2">
      <c r="A1554" s="1" t="str">
        <f>HYPERLINK("http://www.twitter.com/Ugo_Roux/status/969133140118769664", "969133140118769664")</f>
        <v>969133140118769664</v>
      </c>
      <c r="B1554" t="s">
        <v>476</v>
      </c>
      <c r="C1554" s="3">
        <v>43160.369444444441</v>
      </c>
      <c r="D1554" s="5" t="s">
        <v>28</v>
      </c>
      <c r="E1554">
        <v>0</v>
      </c>
      <c r="F1554">
        <v>0</v>
      </c>
      <c r="G1554">
        <v>0</v>
      </c>
      <c r="I1554" t="s">
        <v>1590</v>
      </c>
      <c r="N1554">
        <v>0</v>
      </c>
      <c r="O1554">
        <v>0</v>
      </c>
      <c r="P1554">
        <v>1</v>
      </c>
      <c r="Q1554">
        <v>0</v>
      </c>
    </row>
    <row r="1555" spans="1:17" x14ac:dyDescent="0.2">
      <c r="A1555" s="1" t="str">
        <f>HYPERLINK("http://www.twitter.com/Ugo_Roux/status/968853848747118592", "968853848747118592")</f>
        <v>968853848747118592</v>
      </c>
      <c r="B1555" t="s">
        <v>130</v>
      </c>
      <c r="C1555" s="3">
        <v>43159.598749999997</v>
      </c>
      <c r="D1555" s="5" t="s">
        <v>28</v>
      </c>
      <c r="E1555">
        <v>1</v>
      </c>
      <c r="F1555">
        <v>0</v>
      </c>
      <c r="G1555">
        <v>0</v>
      </c>
      <c r="I1555" t="s">
        <v>1591</v>
      </c>
      <c r="N1555">
        <v>0</v>
      </c>
      <c r="O1555">
        <v>0</v>
      </c>
      <c r="P1555">
        <v>1</v>
      </c>
      <c r="Q1555">
        <v>0</v>
      </c>
    </row>
    <row r="1556" spans="1:17" x14ac:dyDescent="0.2">
      <c r="A1556" s="1" t="str">
        <f>HYPERLINK("http://www.twitter.com/Ugo_Roux/status/968444158477258752", "968444158477258752")</f>
        <v>968444158477258752</v>
      </c>
      <c r="B1556" t="s">
        <v>456</v>
      </c>
      <c r="C1556" s="3">
        <v>43158.468217592592</v>
      </c>
      <c r="D1556" t="s">
        <v>28</v>
      </c>
      <c r="E1556">
        <v>3</v>
      </c>
      <c r="F1556">
        <v>2</v>
      </c>
      <c r="G1556">
        <v>0</v>
      </c>
      <c r="I1556" t="s">
        <v>1592</v>
      </c>
      <c r="J1556" t="str">
        <f>HYPERLINK("http://pbs.twimg.com/media/DXCaBiwWAAAK1Mq.jpg", "http://pbs.twimg.com/media/DXCaBiwWAAAK1Mq.jpg")</f>
        <v>http://pbs.twimg.com/media/DXCaBiwWAAAK1Mq.jpg</v>
      </c>
      <c r="N1556">
        <v>0</v>
      </c>
      <c r="O1556">
        <v>0</v>
      </c>
      <c r="P1556">
        <v>1</v>
      </c>
      <c r="Q1556">
        <v>0</v>
      </c>
    </row>
    <row r="1557" spans="1:17" x14ac:dyDescent="0.2">
      <c r="A1557" s="1" t="str">
        <f>HYPERLINK("http://www.twitter.com/Ugo_Roux/status/967687812622503936", "967687812622503936")</f>
        <v>967687812622503936</v>
      </c>
      <c r="B1557" t="s">
        <v>142</v>
      </c>
      <c r="C1557" s="3">
        <v>43156.381099537037</v>
      </c>
      <c r="D1557" s="5" t="s">
        <v>28</v>
      </c>
      <c r="E1557">
        <v>2</v>
      </c>
      <c r="F1557">
        <v>1</v>
      </c>
      <c r="G1557">
        <v>0</v>
      </c>
      <c r="I1557" t="s">
        <v>1593</v>
      </c>
      <c r="N1557">
        <v>0</v>
      </c>
      <c r="O1557">
        <v>0</v>
      </c>
      <c r="P1557">
        <v>1</v>
      </c>
      <c r="Q1557">
        <v>0</v>
      </c>
    </row>
    <row r="1558" spans="1:17" x14ac:dyDescent="0.2">
      <c r="A1558" s="1" t="str">
        <f>HYPERLINK("http://www.twitter.com/Ugo_Roux/status/967358380691148800", "967358380691148800")</f>
        <v>967358380691148800</v>
      </c>
      <c r="B1558" t="s">
        <v>16</v>
      </c>
      <c r="C1558" s="3">
        <v>43155.472048611111</v>
      </c>
      <c r="D1558" s="3" t="s">
        <v>17</v>
      </c>
      <c r="E1558">
        <v>2</v>
      </c>
      <c r="F1558">
        <v>0</v>
      </c>
      <c r="G1558">
        <v>0</v>
      </c>
      <c r="I1558" t="s">
        <v>1594</v>
      </c>
      <c r="N1558">
        <v>0</v>
      </c>
      <c r="O1558">
        <v>0</v>
      </c>
      <c r="P1558">
        <v>1</v>
      </c>
      <c r="Q1558">
        <v>0</v>
      </c>
    </row>
    <row r="1559" spans="1:17" x14ac:dyDescent="0.2">
      <c r="A1559" s="1" t="str">
        <f>HYPERLINK("http://www.twitter.com/Ugo_Roux/status/967318749958336512", "967318749958336512")</f>
        <v>967318749958336512</v>
      </c>
      <c r="B1559" t="s">
        <v>414</v>
      </c>
      <c r="C1559" s="3">
        <v>43155.362685185188</v>
      </c>
      <c r="D1559" s="5" t="s">
        <v>28</v>
      </c>
      <c r="E1559">
        <v>0</v>
      </c>
      <c r="F1559">
        <v>0</v>
      </c>
      <c r="G1559">
        <v>0</v>
      </c>
      <c r="I1559" t="s">
        <v>1595</v>
      </c>
      <c r="J1559" t="str">
        <f>HYPERLINK("http://pbs.twimg.com/media/DWybREqX0AA_Yjz.jpg", "http://pbs.twimg.com/media/DWybREqX0AA_Yjz.jpg")</f>
        <v>http://pbs.twimg.com/media/DWybREqX0AA_Yjz.jpg</v>
      </c>
      <c r="N1559">
        <v>0</v>
      </c>
      <c r="O1559">
        <v>0</v>
      </c>
      <c r="P1559">
        <v>1</v>
      </c>
      <c r="Q1559">
        <v>0</v>
      </c>
    </row>
    <row r="1560" spans="1:17" x14ac:dyDescent="0.2">
      <c r="A1560" s="1" t="str">
        <f>HYPERLINK("http://www.twitter.com/Ugo_Roux/status/967297062919376896", "967297062919376896")</f>
        <v>967297062919376896</v>
      </c>
      <c r="B1560" t="s">
        <v>142</v>
      </c>
      <c r="C1560" s="3">
        <v>43155.302835648137</v>
      </c>
      <c r="D1560" s="5" t="s">
        <v>17</v>
      </c>
      <c r="E1560">
        <v>1</v>
      </c>
      <c r="F1560">
        <v>1</v>
      </c>
      <c r="G1560">
        <v>0</v>
      </c>
      <c r="I1560" t="s">
        <v>1596</v>
      </c>
      <c r="N1560">
        <v>0</v>
      </c>
      <c r="O1560">
        <v>0</v>
      </c>
      <c r="P1560">
        <v>1</v>
      </c>
      <c r="Q1560">
        <v>0</v>
      </c>
    </row>
    <row r="1561" spans="1:17" x14ac:dyDescent="0.2">
      <c r="A1561" s="1" t="str">
        <f>HYPERLINK("http://www.twitter.com/Ugo_Roux/status/966988336991735808", "966988336991735808")</f>
        <v>966988336991735808</v>
      </c>
      <c r="B1561" t="s">
        <v>97</v>
      </c>
      <c r="C1561" s="3">
        <v>43154.450914351852</v>
      </c>
      <c r="D1561" s="5" t="s">
        <v>41</v>
      </c>
      <c r="E1561">
        <v>0</v>
      </c>
      <c r="F1561">
        <v>0</v>
      </c>
      <c r="G1561">
        <v>0</v>
      </c>
      <c r="I1561" t="s">
        <v>1597</v>
      </c>
      <c r="J1561" t="str">
        <f>HYPERLINK("http://pbs.twimg.com/media/DWtuxDXU0AEEdDW.jpg", "http://pbs.twimg.com/media/DWtuxDXU0AEEdDW.jpg")</f>
        <v>http://pbs.twimg.com/media/DWtuxDXU0AEEdDW.jpg</v>
      </c>
      <c r="N1561">
        <v>0</v>
      </c>
      <c r="O1561">
        <v>0</v>
      </c>
      <c r="P1561">
        <v>1</v>
      </c>
      <c r="Q1561">
        <v>0</v>
      </c>
    </row>
    <row r="1562" spans="1:17" x14ac:dyDescent="0.2">
      <c r="A1562" s="1" t="str">
        <f>HYPERLINK("http://www.twitter.com/Ugo_Roux/status/966709547439095809", "966709547439095809")</f>
        <v>966709547439095809</v>
      </c>
      <c r="B1562" t="s">
        <v>47</v>
      </c>
      <c r="C1562" s="3">
        <v>43153.681608796287</v>
      </c>
      <c r="D1562" s="3" t="s">
        <v>41</v>
      </c>
      <c r="E1562">
        <v>3</v>
      </c>
      <c r="F1562">
        <v>1</v>
      </c>
      <c r="G1562">
        <v>2</v>
      </c>
      <c r="I1562" t="s">
        <v>1598</v>
      </c>
      <c r="J1562" t="str">
        <f>HYPERLINK("http://pbs.twimg.com/media/DWpwyDgXkAAmkTN.jpg", "http://pbs.twimg.com/media/DWpwyDgXkAAmkTN.jpg")</f>
        <v>http://pbs.twimg.com/media/DWpwyDgXkAAmkTN.jpg</v>
      </c>
      <c r="N1562">
        <v>0</v>
      </c>
      <c r="O1562">
        <v>0</v>
      </c>
      <c r="P1562">
        <v>1</v>
      </c>
      <c r="Q1562">
        <v>0</v>
      </c>
    </row>
    <row r="1563" spans="1:17" x14ac:dyDescent="0.2">
      <c r="A1563" s="1" t="str">
        <f>HYPERLINK("http://www.twitter.com/Ugo_Roux/status/966679295895719936", "966679295895719936")</f>
        <v>966679295895719936</v>
      </c>
      <c r="B1563" t="s">
        <v>414</v>
      </c>
      <c r="C1563" s="3">
        <v>43153.598124999997</v>
      </c>
      <c r="D1563" s="5" t="s">
        <v>28</v>
      </c>
      <c r="E1563">
        <v>0</v>
      </c>
      <c r="F1563">
        <v>1</v>
      </c>
      <c r="G1563">
        <v>0</v>
      </c>
      <c r="I1563" t="s">
        <v>1599</v>
      </c>
      <c r="J1563" t="str">
        <f>HYPERLINK("http://pbs.twimg.com/media/DWpVqUKXcAAyevI.jpg", "http://pbs.twimg.com/media/DWpVqUKXcAAyevI.jpg")</f>
        <v>http://pbs.twimg.com/media/DWpVqUKXcAAyevI.jpg</v>
      </c>
      <c r="N1563">
        <v>-0.51600000000000001</v>
      </c>
      <c r="O1563">
        <v>0.192</v>
      </c>
      <c r="P1563">
        <v>0.80800000000000005</v>
      </c>
      <c r="Q1563">
        <v>0</v>
      </c>
    </row>
    <row r="1564" spans="1:17" x14ac:dyDescent="0.2">
      <c r="A1564" s="1" t="str">
        <f>HYPERLINK("http://www.twitter.com/Ugo_Roux/status/966355020215148544", "966355020215148544")</f>
        <v>966355020215148544</v>
      </c>
      <c r="B1564" t="s">
        <v>456</v>
      </c>
      <c r="C1564" s="3">
        <v>43152.703298611108</v>
      </c>
      <c r="D1564" t="s">
        <v>28</v>
      </c>
      <c r="E1564">
        <v>5</v>
      </c>
      <c r="F1564">
        <v>6</v>
      </c>
      <c r="G1564">
        <v>0</v>
      </c>
      <c r="I1564" t="s">
        <v>1600</v>
      </c>
      <c r="J1564" t="str">
        <f>HYPERLINK("http://pbs.twimg.com/media/DWkuwX4WkAA2JQz.jpg", "http://pbs.twimg.com/media/DWkuwX4WkAA2JQz.jpg")</f>
        <v>http://pbs.twimg.com/media/DWkuwX4WkAA2JQz.jpg</v>
      </c>
      <c r="N1564">
        <v>0.66879999999999995</v>
      </c>
      <c r="O1564">
        <v>0</v>
      </c>
      <c r="P1564">
        <v>0.90600000000000003</v>
      </c>
      <c r="Q1564">
        <v>9.4E-2</v>
      </c>
    </row>
    <row r="1565" spans="1:17" x14ac:dyDescent="0.2">
      <c r="A1565" s="1" t="str">
        <f>HYPERLINK("http://www.twitter.com/Ugo_Roux/status/966354382735495168", "966354382735495168")</f>
        <v>966354382735495168</v>
      </c>
      <c r="B1565" t="s">
        <v>47</v>
      </c>
      <c r="C1565" s="3">
        <v>43152.701539351852</v>
      </c>
      <c r="D1565" s="3" t="s">
        <v>17</v>
      </c>
      <c r="E1565">
        <v>1</v>
      </c>
      <c r="F1565">
        <v>0</v>
      </c>
      <c r="G1565">
        <v>0</v>
      </c>
      <c r="I1565" t="s">
        <v>1601</v>
      </c>
      <c r="N1565">
        <v>0</v>
      </c>
      <c r="O1565">
        <v>0</v>
      </c>
      <c r="P1565">
        <v>1</v>
      </c>
      <c r="Q1565">
        <v>0</v>
      </c>
    </row>
    <row r="1566" spans="1:17" x14ac:dyDescent="0.2">
      <c r="A1566" s="1" t="str">
        <f>HYPERLINK("http://www.twitter.com/Ugo_Roux/status/966335091160109056", "966335091160109056")</f>
        <v>966335091160109056</v>
      </c>
      <c r="B1566" t="s">
        <v>16</v>
      </c>
      <c r="C1566" s="3">
        <v>43152.648310185177</v>
      </c>
      <c r="D1566" s="3" t="s">
        <v>41</v>
      </c>
      <c r="E1566">
        <v>0</v>
      </c>
      <c r="F1566">
        <v>0</v>
      </c>
      <c r="G1566">
        <v>0</v>
      </c>
      <c r="I1566" t="s">
        <v>1602</v>
      </c>
      <c r="J1566" t="str">
        <f>HYPERLINK("http://pbs.twimg.com/media/DWkccM-X4AAv65h.jpg", "http://pbs.twimg.com/media/DWkccM-X4AAv65h.jpg")</f>
        <v>http://pbs.twimg.com/media/DWkccM-X4AAv65h.jpg</v>
      </c>
      <c r="K1566" t="str">
        <f>HYPERLINK("http://pbs.twimg.com/media/DWkceIyWsAATOMT.jpg", "http://pbs.twimg.com/media/DWkceIyWsAATOMT.jpg")</f>
        <v>http://pbs.twimg.com/media/DWkceIyWsAATOMT.jpg</v>
      </c>
      <c r="N1566">
        <v>0</v>
      </c>
      <c r="O1566">
        <v>0</v>
      </c>
      <c r="P1566">
        <v>1</v>
      </c>
      <c r="Q1566">
        <v>0</v>
      </c>
    </row>
    <row r="1567" spans="1:17" x14ac:dyDescent="0.2">
      <c r="A1567" s="1" t="str">
        <f>HYPERLINK("http://www.twitter.com/Ugo_Roux/status/966213028281835521", "966213028281835521")</f>
        <v>966213028281835521</v>
      </c>
      <c r="B1567" t="s">
        <v>285</v>
      </c>
      <c r="C1567" s="3">
        <v>43152.311469907407</v>
      </c>
      <c r="D1567" s="5" t="s">
        <v>17</v>
      </c>
      <c r="E1567">
        <v>1</v>
      </c>
      <c r="F1567">
        <v>0</v>
      </c>
      <c r="G1567">
        <v>0</v>
      </c>
      <c r="I1567" t="s">
        <v>1603</v>
      </c>
      <c r="J1567" t="str">
        <f>HYPERLINK("http://pbs.twimg.com/media/DWitkQ0W4AAMRRa.jpg", "http://pbs.twimg.com/media/DWitkQ0W4AAMRRa.jpg")</f>
        <v>http://pbs.twimg.com/media/DWitkQ0W4AAMRRa.jpg</v>
      </c>
      <c r="N1567">
        <v>0</v>
      </c>
      <c r="O1567">
        <v>0</v>
      </c>
      <c r="P1567">
        <v>1</v>
      </c>
      <c r="Q1567">
        <v>0</v>
      </c>
    </row>
    <row r="1568" spans="1:17" x14ac:dyDescent="0.2">
      <c r="A1568" s="1" t="str">
        <f>HYPERLINK("http://www.twitter.com/Ugo_Roux/status/966021055688134656", "966021055688134656")</f>
        <v>966021055688134656</v>
      </c>
      <c r="B1568" t="s">
        <v>142</v>
      </c>
      <c r="C1568" s="3">
        <v>43151.781736111108</v>
      </c>
      <c r="D1568" s="5" t="s">
        <v>17</v>
      </c>
      <c r="E1568">
        <v>0</v>
      </c>
      <c r="F1568">
        <v>0</v>
      </c>
      <c r="G1568">
        <v>0</v>
      </c>
      <c r="I1568" t="s">
        <v>1604</v>
      </c>
      <c r="N1568">
        <v>0</v>
      </c>
      <c r="O1568">
        <v>0</v>
      </c>
      <c r="P1568">
        <v>1</v>
      </c>
      <c r="Q1568">
        <v>0</v>
      </c>
    </row>
    <row r="1569" spans="1:17" x14ac:dyDescent="0.2">
      <c r="A1569" s="1" t="str">
        <f>HYPERLINK("http://www.twitter.com/Ugo_Roux/status/964765599657316352", "964765599657316352")</f>
        <v>964765599657316352</v>
      </c>
      <c r="B1569" t="s">
        <v>97</v>
      </c>
      <c r="C1569" s="3">
        <v>43148.317337962973</v>
      </c>
      <c r="D1569" s="5" t="s">
        <v>17</v>
      </c>
      <c r="E1569">
        <v>0</v>
      </c>
      <c r="F1569">
        <v>0</v>
      </c>
      <c r="G1569">
        <v>0</v>
      </c>
      <c r="I1569" t="s">
        <v>1605</v>
      </c>
      <c r="J1569" t="str">
        <f>HYPERLINK("http://pbs.twimg.com/media/DWOJMrYVAAAaVNL.jpg", "http://pbs.twimg.com/media/DWOJMrYVAAAaVNL.jpg")</f>
        <v>http://pbs.twimg.com/media/DWOJMrYVAAAaVNL.jpg</v>
      </c>
      <c r="N1569">
        <v>0</v>
      </c>
      <c r="O1569">
        <v>0</v>
      </c>
      <c r="P1569">
        <v>1</v>
      </c>
      <c r="Q1569">
        <v>0</v>
      </c>
    </row>
    <row r="1570" spans="1:17" x14ac:dyDescent="0.2">
      <c r="A1570" s="1" t="str">
        <f>HYPERLINK("http://www.twitter.com/Ugo_Roux/status/964518403997233152", "964518403997233152")</f>
        <v>964518403997233152</v>
      </c>
      <c r="B1570" t="s">
        <v>370</v>
      </c>
      <c r="C1570" s="3">
        <v>43147.635208333333</v>
      </c>
      <c r="D1570" s="5" t="s">
        <v>28</v>
      </c>
      <c r="E1570">
        <v>0</v>
      </c>
      <c r="F1570">
        <v>0</v>
      </c>
      <c r="G1570">
        <v>0</v>
      </c>
      <c r="I1570" t="s">
        <v>1606</v>
      </c>
      <c r="J1570" t="str">
        <f>HYPERLINK("http://pbs.twimg.com/media/DWKoYExV4AM8YpW.jpg", "http://pbs.twimg.com/media/DWKoYExV4AM8YpW.jpg")</f>
        <v>http://pbs.twimg.com/media/DWKoYExV4AM8YpW.jpg</v>
      </c>
      <c r="N1570">
        <v>0</v>
      </c>
      <c r="O1570">
        <v>0</v>
      </c>
      <c r="P1570">
        <v>1</v>
      </c>
      <c r="Q1570">
        <v>0</v>
      </c>
    </row>
    <row r="1571" spans="1:17" x14ac:dyDescent="0.2">
      <c r="A1571" s="1" t="str">
        <f>HYPERLINK("http://www.twitter.com/Ugo_Roux/status/964517825057615872", "964517825057615872")</f>
        <v>964517825057615872</v>
      </c>
      <c r="B1571" t="s">
        <v>370</v>
      </c>
      <c r="C1571" s="3">
        <v>43147.633611111109</v>
      </c>
      <c r="D1571" s="5" t="s">
        <v>28</v>
      </c>
      <c r="E1571">
        <v>0</v>
      </c>
      <c r="F1571">
        <v>0</v>
      </c>
      <c r="G1571">
        <v>0</v>
      </c>
      <c r="I1571" t="s">
        <v>1607</v>
      </c>
      <c r="J1571" t="str">
        <f>HYPERLINK("http://pbs.twimg.com/media/DWKn2WhUMAMAval.jpg", "http://pbs.twimg.com/media/DWKn2WhUMAMAval.jpg")</f>
        <v>http://pbs.twimg.com/media/DWKn2WhUMAMAval.jpg</v>
      </c>
      <c r="N1571">
        <v>0</v>
      </c>
      <c r="O1571">
        <v>0</v>
      </c>
      <c r="P1571">
        <v>1</v>
      </c>
      <c r="Q1571">
        <v>0</v>
      </c>
    </row>
    <row r="1572" spans="1:17" x14ac:dyDescent="0.2">
      <c r="A1572" s="1" t="str">
        <f>HYPERLINK("http://www.twitter.com/Ugo_Roux/status/964463008289316864", "964463008289316864")</f>
        <v>964463008289316864</v>
      </c>
      <c r="B1572" t="s">
        <v>97</v>
      </c>
      <c r="C1572" s="3">
        <v>43147.48233796296</v>
      </c>
      <c r="D1572" s="5" t="s">
        <v>41</v>
      </c>
      <c r="E1572">
        <v>0</v>
      </c>
      <c r="F1572">
        <v>0</v>
      </c>
      <c r="G1572">
        <v>0</v>
      </c>
      <c r="I1572" t="s">
        <v>1608</v>
      </c>
      <c r="J1572" t="str">
        <f>HYPERLINK("http://pbs.twimg.com/media/DWJ1_mGV4AAwLRX.jpg", "http://pbs.twimg.com/media/DWJ1_mGV4AAwLRX.jpg")</f>
        <v>http://pbs.twimg.com/media/DWJ1_mGV4AAwLRX.jpg</v>
      </c>
      <c r="N1572">
        <v>0</v>
      </c>
      <c r="O1572">
        <v>0</v>
      </c>
      <c r="P1572">
        <v>1</v>
      </c>
      <c r="Q1572">
        <v>0</v>
      </c>
    </row>
    <row r="1573" spans="1:17" x14ac:dyDescent="0.2">
      <c r="A1573" s="1" t="str">
        <f>HYPERLINK("http://www.twitter.com/Ugo_Roux/status/964437976095784960", "964437976095784960")</f>
        <v>964437976095784960</v>
      </c>
      <c r="B1573" t="s">
        <v>16</v>
      </c>
      <c r="C1573" s="3">
        <v>43147.413263888891</v>
      </c>
      <c r="D1573" s="3" t="s">
        <v>28</v>
      </c>
      <c r="E1573">
        <v>1</v>
      </c>
      <c r="F1573">
        <v>0</v>
      </c>
      <c r="G1573">
        <v>0</v>
      </c>
      <c r="I1573" t="s">
        <v>1609</v>
      </c>
      <c r="J1573" t="str">
        <f>HYPERLINK("http://pbs.twimg.com/media/DWJehByW0AAuomk.jpg", "http://pbs.twimg.com/media/DWJehByW0AAuomk.jpg")</f>
        <v>http://pbs.twimg.com/media/DWJehByW0AAuomk.jpg</v>
      </c>
      <c r="N1573">
        <v>0</v>
      </c>
      <c r="O1573">
        <v>0</v>
      </c>
      <c r="P1573">
        <v>1</v>
      </c>
      <c r="Q1573">
        <v>0</v>
      </c>
    </row>
    <row r="1574" spans="1:17" x14ac:dyDescent="0.2">
      <c r="A1574" s="1" t="str">
        <f>HYPERLINK("http://www.twitter.com/Ugo_Roux/status/963804537852178439", "963804537852178439")</f>
        <v>963804537852178439</v>
      </c>
      <c r="B1574" t="s">
        <v>16</v>
      </c>
      <c r="C1574" s="3">
        <v>43145.665312500001</v>
      </c>
      <c r="D1574" s="3" t="s">
        <v>17</v>
      </c>
      <c r="E1574">
        <v>3</v>
      </c>
      <c r="F1574">
        <v>1</v>
      </c>
      <c r="G1574">
        <v>0</v>
      </c>
      <c r="I1574" t="s">
        <v>1610</v>
      </c>
      <c r="N1574">
        <v>0</v>
      </c>
      <c r="O1574">
        <v>0</v>
      </c>
      <c r="P1574">
        <v>1</v>
      </c>
      <c r="Q1574">
        <v>0</v>
      </c>
    </row>
    <row r="1575" spans="1:17" x14ac:dyDescent="0.2">
      <c r="A1575" s="1" t="str">
        <f>HYPERLINK("http://www.twitter.com/Ugo_Roux/status/963461824464277505", "963461824464277505")</f>
        <v>963461824464277505</v>
      </c>
      <c r="B1575" t="s">
        <v>47</v>
      </c>
      <c r="C1575" s="3">
        <v>43144.719594907408</v>
      </c>
      <c r="D1575" s="3" t="s">
        <v>41</v>
      </c>
      <c r="E1575">
        <v>1</v>
      </c>
      <c r="F1575">
        <v>0</v>
      </c>
      <c r="G1575">
        <v>1</v>
      </c>
      <c r="I1575" t="s">
        <v>1611</v>
      </c>
      <c r="J1575" t="str">
        <f>HYPERLINK("http://pbs.twimg.com/media/DV7nKH2WkAAvVJz.jpg", "http://pbs.twimg.com/media/DV7nKH2WkAAvVJz.jpg")</f>
        <v>http://pbs.twimg.com/media/DV7nKH2WkAAvVJz.jpg</v>
      </c>
      <c r="N1575">
        <v>0</v>
      </c>
      <c r="O1575">
        <v>0</v>
      </c>
      <c r="P1575">
        <v>1</v>
      </c>
      <c r="Q1575">
        <v>0</v>
      </c>
    </row>
    <row r="1576" spans="1:17" x14ac:dyDescent="0.2">
      <c r="A1576" s="1" t="str">
        <f>HYPERLINK("http://www.twitter.com/Ugo_Roux/status/963454594822103042", "963454594822103042")</f>
        <v>963454594822103042</v>
      </c>
      <c r="B1576" t="s">
        <v>414</v>
      </c>
      <c r="C1576" s="3">
        <v>43144.699652777781</v>
      </c>
      <c r="D1576" s="5" t="s">
        <v>41</v>
      </c>
      <c r="E1576">
        <v>0</v>
      </c>
      <c r="F1576">
        <v>0</v>
      </c>
      <c r="G1576">
        <v>0</v>
      </c>
      <c r="I1576" t="s">
        <v>1612</v>
      </c>
      <c r="J1576" t="str">
        <f>HYPERLINK("http://pbs.twimg.com/media/DV7g1ygW4AYD8vP.jpg", "http://pbs.twimg.com/media/DV7g1ygW4AYD8vP.jpg")</f>
        <v>http://pbs.twimg.com/media/DV7g1ygW4AYD8vP.jpg</v>
      </c>
      <c r="N1576">
        <v>0.76390000000000002</v>
      </c>
      <c r="O1576">
        <v>0</v>
      </c>
      <c r="P1576">
        <v>0.752</v>
      </c>
      <c r="Q1576">
        <v>0.248</v>
      </c>
    </row>
    <row r="1577" spans="1:17" x14ac:dyDescent="0.2">
      <c r="A1577" s="1" t="str">
        <f>HYPERLINK("http://www.twitter.com/Ugo_Roux/status/963449499267067910", "963449499267067910")</f>
        <v>963449499267067910</v>
      </c>
      <c r="B1577" t="s">
        <v>47</v>
      </c>
      <c r="C1577" s="3">
        <v>43144.685590277782</v>
      </c>
      <c r="D1577" s="3" t="s">
        <v>41</v>
      </c>
      <c r="E1577">
        <v>4</v>
      </c>
      <c r="F1577">
        <v>0</v>
      </c>
      <c r="G1577">
        <v>0</v>
      </c>
      <c r="I1577" t="s">
        <v>1613</v>
      </c>
      <c r="N1577">
        <v>0</v>
      </c>
      <c r="O1577">
        <v>0</v>
      </c>
      <c r="P1577">
        <v>1</v>
      </c>
      <c r="Q1577">
        <v>0</v>
      </c>
    </row>
    <row r="1578" spans="1:17" x14ac:dyDescent="0.2">
      <c r="A1578" s="1" t="str">
        <f>HYPERLINK("http://www.twitter.com/Ugo_Roux/status/963321847830937601", "963321847830937601")</f>
        <v>963321847830937601</v>
      </c>
      <c r="B1578" t="s">
        <v>16</v>
      </c>
      <c r="C1578" s="3">
        <v>43144.333333333343</v>
      </c>
      <c r="D1578" s="3" t="s">
        <v>17</v>
      </c>
      <c r="E1578">
        <v>3</v>
      </c>
      <c r="F1578">
        <v>0</v>
      </c>
      <c r="G1578">
        <v>1</v>
      </c>
      <c r="I1578" t="s">
        <v>1614</v>
      </c>
      <c r="N1578">
        <v>-0.61240000000000006</v>
      </c>
      <c r="O1578">
        <v>0.10199999999999999</v>
      </c>
      <c r="P1578">
        <v>0.89800000000000002</v>
      </c>
      <c r="Q1578">
        <v>0</v>
      </c>
    </row>
    <row r="1579" spans="1:17" x14ac:dyDescent="0.2">
      <c r="A1579" s="1" t="str">
        <f>HYPERLINK("http://www.twitter.com/Ugo_Roux/status/963049294835146752", "963049294835146752")</f>
        <v>963049294835146752</v>
      </c>
      <c r="B1579" t="s">
        <v>142</v>
      </c>
      <c r="C1579" s="3">
        <v>43143.581238425933</v>
      </c>
      <c r="D1579" s="5" t="s">
        <v>28</v>
      </c>
      <c r="E1579">
        <v>0</v>
      </c>
      <c r="F1579">
        <v>0</v>
      </c>
      <c r="G1579">
        <v>0</v>
      </c>
      <c r="I1579" t="s">
        <v>1615</v>
      </c>
      <c r="N1579">
        <v>0</v>
      </c>
      <c r="O1579">
        <v>0</v>
      </c>
      <c r="P1579">
        <v>1</v>
      </c>
      <c r="Q1579">
        <v>0</v>
      </c>
    </row>
    <row r="1580" spans="1:17" x14ac:dyDescent="0.2">
      <c r="A1580" s="1" t="str">
        <f>HYPERLINK("http://www.twitter.com/Ugo_Roux/status/962268022890221568", "962268022890221568")</f>
        <v>962268022890221568</v>
      </c>
      <c r="B1580" t="s">
        <v>47</v>
      </c>
      <c r="C1580" s="3">
        <v>43141.425335648149</v>
      </c>
      <c r="D1580" s="5" t="s">
        <v>17</v>
      </c>
      <c r="E1580">
        <v>1</v>
      </c>
      <c r="F1580">
        <v>0</v>
      </c>
      <c r="G1580">
        <v>0</v>
      </c>
      <c r="I1580" t="s">
        <v>1616</v>
      </c>
      <c r="J1580" t="str">
        <f>HYPERLINK("http://pbs.twimg.com/media/DVqnzYTX0AAZWo9.jpg", "http://pbs.twimg.com/media/DVqnzYTX0AAZWo9.jpg")</f>
        <v>http://pbs.twimg.com/media/DVqnzYTX0AAZWo9.jpg</v>
      </c>
      <c r="N1580">
        <v>0</v>
      </c>
      <c r="O1580">
        <v>0</v>
      </c>
      <c r="P1580">
        <v>1</v>
      </c>
      <c r="Q1580">
        <v>0</v>
      </c>
    </row>
    <row r="1581" spans="1:17" x14ac:dyDescent="0.2">
      <c r="A1581" s="1" t="str">
        <f>HYPERLINK("http://www.twitter.com/Ugo_Roux/status/961987472443011072", "961987472443011072")</f>
        <v>961987472443011072</v>
      </c>
      <c r="B1581" t="s">
        <v>47</v>
      </c>
      <c r="C1581" s="3">
        <v>43140.65115740741</v>
      </c>
      <c r="D1581" s="3" t="s">
        <v>41</v>
      </c>
      <c r="E1581">
        <v>6</v>
      </c>
      <c r="F1581">
        <v>1</v>
      </c>
      <c r="G1581">
        <v>2</v>
      </c>
      <c r="I1581" t="s">
        <v>1617</v>
      </c>
      <c r="J1581" t="str">
        <f>HYPERLINK("http://pbs.twimg.com/media/DVmqf3TWkAE0CH3.jpg", "http://pbs.twimg.com/media/DVmqf3TWkAE0CH3.jpg")</f>
        <v>http://pbs.twimg.com/media/DVmqf3TWkAE0CH3.jpg</v>
      </c>
      <c r="N1581">
        <v>0</v>
      </c>
      <c r="O1581">
        <v>0</v>
      </c>
      <c r="P1581">
        <v>1</v>
      </c>
      <c r="Q1581">
        <v>0</v>
      </c>
    </row>
    <row r="1582" spans="1:17" x14ac:dyDescent="0.2">
      <c r="A1582" s="1" t="str">
        <f>HYPERLINK("http://www.twitter.com/Ugo_Roux/status/961919354848751617", "961919354848751617")</f>
        <v>961919354848751617</v>
      </c>
      <c r="B1582" t="s">
        <v>16</v>
      </c>
      <c r="C1582" s="3">
        <v>43140.463194444441</v>
      </c>
      <c r="D1582" s="3" t="s">
        <v>41</v>
      </c>
      <c r="E1582">
        <v>7</v>
      </c>
      <c r="F1582">
        <v>0</v>
      </c>
      <c r="G1582">
        <v>0</v>
      </c>
      <c r="I1582" t="s">
        <v>1618</v>
      </c>
      <c r="J1582" t="str">
        <f>HYPERLINK("http://pbs.twimg.com/media/DVloIU9WAAAkRg_.jpg", "http://pbs.twimg.com/media/DVloIU9WAAAkRg_.jpg")</f>
        <v>http://pbs.twimg.com/media/DVloIU9WAAAkRg_.jpg</v>
      </c>
      <c r="N1582">
        <v>0</v>
      </c>
      <c r="O1582">
        <v>0</v>
      </c>
      <c r="P1582">
        <v>1</v>
      </c>
      <c r="Q1582">
        <v>0</v>
      </c>
    </row>
    <row r="1583" spans="1:17" x14ac:dyDescent="0.2">
      <c r="A1583" s="1" t="str">
        <f>HYPERLINK("http://www.twitter.com/Ugo_Roux/status/961916453673938944", "961916453673938944")</f>
        <v>961916453673938944</v>
      </c>
      <c r="B1583" t="s">
        <v>414</v>
      </c>
      <c r="C1583" s="3">
        <v>43140.455185185187</v>
      </c>
      <c r="D1583" s="5" t="s">
        <v>28</v>
      </c>
      <c r="E1583">
        <v>0</v>
      </c>
      <c r="F1583">
        <v>0</v>
      </c>
      <c r="G1583">
        <v>0</v>
      </c>
      <c r="I1583" t="s">
        <v>1619</v>
      </c>
      <c r="J1583" t="str">
        <f>HYPERLINK("http://pbs.twimg.com/media/DVlpxccXcAAqP38.jpg", "http://pbs.twimg.com/media/DVlpxccXcAAqP38.jpg")</f>
        <v>http://pbs.twimg.com/media/DVlpxccXcAAqP38.jpg</v>
      </c>
      <c r="N1583">
        <v>0.50929999999999997</v>
      </c>
      <c r="O1583">
        <v>0</v>
      </c>
      <c r="P1583">
        <v>0.81</v>
      </c>
      <c r="Q1583">
        <v>0.19</v>
      </c>
    </row>
    <row r="1584" spans="1:17" x14ac:dyDescent="0.2">
      <c r="A1584" s="1" t="str">
        <f>HYPERLINK("http://www.twitter.com/Ugo_Roux/status/961510301777780741", "961510301777780741")</f>
        <v>961510301777780741</v>
      </c>
      <c r="B1584" t="s">
        <v>285</v>
      </c>
      <c r="C1584" s="3">
        <v>43139.334421296298</v>
      </c>
      <c r="D1584" s="5" t="s">
        <v>17</v>
      </c>
      <c r="E1584">
        <v>3</v>
      </c>
      <c r="F1584">
        <v>1</v>
      </c>
      <c r="G1584">
        <v>0</v>
      </c>
      <c r="I1584" t="s">
        <v>1620</v>
      </c>
      <c r="J1584" t="str">
        <f>HYPERLINK("http://pbs.twimg.com/media/DVf4YJPW4AEbHDH.jpg", "http://pbs.twimg.com/media/DVf4YJPW4AEbHDH.jpg")</f>
        <v>http://pbs.twimg.com/media/DVf4YJPW4AEbHDH.jpg</v>
      </c>
      <c r="N1584">
        <v>0</v>
      </c>
      <c r="O1584">
        <v>0</v>
      </c>
      <c r="P1584">
        <v>1</v>
      </c>
      <c r="Q1584">
        <v>0</v>
      </c>
    </row>
    <row r="1585" spans="1:17" x14ac:dyDescent="0.2">
      <c r="A1585" s="1" t="str">
        <f>HYPERLINK("http://www.twitter.com/Ugo_Roux/status/961501885965520896", "961501885965520896")</f>
        <v>961501885965520896</v>
      </c>
      <c r="B1585" t="s">
        <v>285</v>
      </c>
      <c r="C1585" s="3">
        <v>43139.311203703714</v>
      </c>
      <c r="D1585" s="5" t="s">
        <v>17</v>
      </c>
      <c r="E1585">
        <v>0</v>
      </c>
      <c r="F1585">
        <v>0</v>
      </c>
      <c r="G1585">
        <v>0</v>
      </c>
      <c r="I1585" t="s">
        <v>1621</v>
      </c>
      <c r="J1585" t="str">
        <f>HYPERLINK("http://pbs.twimg.com/media/DVfw2WBW0AAnuWE.jpg", "http://pbs.twimg.com/media/DVfw2WBW0AAnuWE.jpg")</f>
        <v>http://pbs.twimg.com/media/DVfw2WBW0AAnuWE.jpg</v>
      </c>
      <c r="N1585">
        <v>0.45879999999999999</v>
      </c>
      <c r="O1585">
        <v>0</v>
      </c>
      <c r="P1585">
        <v>0.82399999999999995</v>
      </c>
      <c r="Q1585">
        <v>0.17599999999999999</v>
      </c>
    </row>
    <row r="1586" spans="1:17" x14ac:dyDescent="0.2">
      <c r="A1586" s="1" t="str">
        <f>HYPERLINK("http://www.twitter.com/Ugo_Roux/status/961291336757411843", "961291336757411843")</f>
        <v>961291336757411843</v>
      </c>
      <c r="B1586" t="s">
        <v>206</v>
      </c>
      <c r="C1586" s="3">
        <v>43138.730196759258</v>
      </c>
      <c r="D1586" s="5" t="s">
        <v>41</v>
      </c>
      <c r="E1586">
        <v>5</v>
      </c>
      <c r="F1586">
        <v>1</v>
      </c>
      <c r="G1586">
        <v>0</v>
      </c>
      <c r="I1586" t="s">
        <v>1622</v>
      </c>
      <c r="N1586">
        <v>0</v>
      </c>
      <c r="O1586">
        <v>0</v>
      </c>
      <c r="P1586">
        <v>1</v>
      </c>
      <c r="Q1586">
        <v>0</v>
      </c>
    </row>
    <row r="1587" spans="1:17" x14ac:dyDescent="0.2">
      <c r="A1587" s="1" t="str">
        <f>HYPERLINK("http://www.twitter.com/Ugo_Roux/status/961282396871118848", "961282396871118848")</f>
        <v>961282396871118848</v>
      </c>
      <c r="B1587" t="s">
        <v>47</v>
      </c>
      <c r="C1587" s="3">
        <v>43138.705520833333</v>
      </c>
      <c r="D1587" s="3" t="s">
        <v>41</v>
      </c>
      <c r="E1587">
        <v>1</v>
      </c>
      <c r="F1587">
        <v>0</v>
      </c>
      <c r="G1587">
        <v>0</v>
      </c>
      <c r="I1587" t="s">
        <v>1623</v>
      </c>
      <c r="J1587" t="str">
        <f>HYPERLINK("http://pbs.twimg.com/media/DVcpFZNX0AAWXmX.png", "http://pbs.twimg.com/media/DVcpFZNX0AAWXmX.png")</f>
        <v>http://pbs.twimg.com/media/DVcpFZNX0AAWXmX.png</v>
      </c>
      <c r="N1587">
        <v>0</v>
      </c>
      <c r="O1587">
        <v>0</v>
      </c>
      <c r="P1587">
        <v>1</v>
      </c>
      <c r="Q1587">
        <v>0</v>
      </c>
    </row>
    <row r="1588" spans="1:17" x14ac:dyDescent="0.2">
      <c r="A1588" s="1" t="str">
        <f>HYPERLINK("http://www.twitter.com/Ugo_Roux/status/961274858586849280", "961274858586849280")</f>
        <v>961274858586849280</v>
      </c>
      <c r="B1588" t="s">
        <v>16</v>
      </c>
      <c r="C1588" s="3">
        <v>43138.68472222222</v>
      </c>
      <c r="D1588" s="3" t="s">
        <v>41</v>
      </c>
      <c r="E1588">
        <v>3</v>
      </c>
      <c r="F1588">
        <v>0</v>
      </c>
      <c r="G1588">
        <v>0</v>
      </c>
      <c r="I1588" t="s">
        <v>1624</v>
      </c>
      <c r="J1588" t="str">
        <f>HYPERLINK("http://pbs.twimg.com/media/DVcTWXfXcAEzE_R.jpg", "http://pbs.twimg.com/media/DVcTWXfXcAEzE_R.jpg")</f>
        <v>http://pbs.twimg.com/media/DVcTWXfXcAEzE_R.jpg</v>
      </c>
      <c r="N1588">
        <v>-0.3382</v>
      </c>
      <c r="O1588">
        <v>7.5999999999999998E-2</v>
      </c>
      <c r="P1588">
        <v>0.92400000000000004</v>
      </c>
      <c r="Q1588">
        <v>0</v>
      </c>
    </row>
    <row r="1589" spans="1:17" x14ac:dyDescent="0.2">
      <c r="A1589" s="1" t="str">
        <f>HYPERLINK("http://www.twitter.com/Ugo_Roux/status/961271294376456192", "961271294376456192")</f>
        <v>961271294376456192</v>
      </c>
      <c r="B1589" t="s">
        <v>142</v>
      </c>
      <c r="C1589" s="3">
        <v>43138.674884259257</v>
      </c>
      <c r="D1589" s="5" t="s">
        <v>28</v>
      </c>
      <c r="E1589">
        <v>1</v>
      </c>
      <c r="F1589">
        <v>0</v>
      </c>
      <c r="G1589">
        <v>0</v>
      </c>
      <c r="I1589" t="s">
        <v>1625</v>
      </c>
      <c r="J1589" t="str">
        <f>HYPERLINK("http://pbs.twimg.com/media/DVcfJDLWsAAOf0q.jpg", "http://pbs.twimg.com/media/DVcfJDLWsAAOf0q.jpg")</f>
        <v>http://pbs.twimg.com/media/DVcfJDLWsAAOf0q.jpg</v>
      </c>
      <c r="K1589" t="str">
        <f>HYPERLINK("http://pbs.twimg.com/media/DVcfJDbXcAAaSbV.jpg", "http://pbs.twimg.com/media/DVcfJDbXcAAaSbV.jpg")</f>
        <v>http://pbs.twimg.com/media/DVcfJDbXcAAaSbV.jpg</v>
      </c>
      <c r="L1589" t="str">
        <f>HYPERLINK("http://pbs.twimg.com/media/DVcfJDFXcAAjtdz.jpg", "http://pbs.twimg.com/media/DVcfJDFXcAAjtdz.jpg")</f>
        <v>http://pbs.twimg.com/media/DVcfJDFXcAAjtdz.jpg</v>
      </c>
      <c r="N1589">
        <v>0</v>
      </c>
      <c r="O1589">
        <v>0</v>
      </c>
      <c r="P1589">
        <v>1</v>
      </c>
      <c r="Q1589">
        <v>0</v>
      </c>
    </row>
    <row r="1590" spans="1:17" x14ac:dyDescent="0.2">
      <c r="A1590" s="1" t="str">
        <f>HYPERLINK("http://www.twitter.com/Ugo_Roux/status/961190358829985792", "961190358829985792")</f>
        <v>961190358829985792</v>
      </c>
      <c r="B1590" t="s">
        <v>471</v>
      </c>
      <c r="C1590" s="3">
        <v>43138.451550925929</v>
      </c>
      <c r="D1590" s="3" t="s">
        <v>28</v>
      </c>
      <c r="E1590">
        <v>0</v>
      </c>
      <c r="F1590">
        <v>2</v>
      </c>
      <c r="G1590">
        <v>0</v>
      </c>
      <c r="I1590" t="s">
        <v>1626</v>
      </c>
      <c r="J1590" t="str">
        <f>HYPERLINK("http://pbs.twimg.com/media/DVbVIx9WkAEvVXR.jpg", "http://pbs.twimg.com/media/DVbVIx9WkAEvVXR.jpg")</f>
        <v>http://pbs.twimg.com/media/DVbVIx9WkAEvVXR.jpg</v>
      </c>
      <c r="K1590" t="str">
        <f>HYPERLINK("http://pbs.twimg.com/media/DVbVK3OXUAA4xPD.jpg", "http://pbs.twimg.com/media/DVbVK3OXUAA4xPD.jpg")</f>
        <v>http://pbs.twimg.com/media/DVbVK3OXUAA4xPD.jpg</v>
      </c>
      <c r="L1590" t="str">
        <f>HYPERLINK("http://pbs.twimg.com/media/DVbVMeeWsAAdqwq.jpg", "http://pbs.twimg.com/media/DVbVMeeWsAAdqwq.jpg")</f>
        <v>http://pbs.twimg.com/media/DVbVMeeWsAAdqwq.jpg</v>
      </c>
      <c r="M1590" t="str">
        <f>HYPERLINK("http://pbs.twimg.com/media/DVbVOfnX4AAgncv.jpg", "http://pbs.twimg.com/media/DVbVOfnX4AAgncv.jpg")</f>
        <v>http://pbs.twimg.com/media/DVbVOfnX4AAgncv.jpg</v>
      </c>
      <c r="N1590">
        <v>0</v>
      </c>
      <c r="O1590">
        <v>0</v>
      </c>
      <c r="P1590">
        <v>1</v>
      </c>
      <c r="Q1590">
        <v>0</v>
      </c>
    </row>
    <row r="1591" spans="1:17" x14ac:dyDescent="0.2">
      <c r="A1591" s="1" t="str">
        <f>HYPERLINK("http://www.twitter.com/Ugo_Roux/status/961146202917167104", "961146202917167104")</f>
        <v>961146202917167104</v>
      </c>
      <c r="B1591" t="s">
        <v>285</v>
      </c>
      <c r="C1591" s="3">
        <v>43138.329699074071</v>
      </c>
      <c r="D1591" s="5" t="s">
        <v>17</v>
      </c>
      <c r="E1591">
        <v>0</v>
      </c>
      <c r="F1591">
        <v>0</v>
      </c>
      <c r="G1591">
        <v>0</v>
      </c>
      <c r="I1591" t="s">
        <v>1627</v>
      </c>
      <c r="J1591" t="str">
        <f>HYPERLINK("http://pbs.twimg.com/media/DVatS7MWsAA7xhD.jpg", "http://pbs.twimg.com/media/DVatS7MWsAA7xhD.jpg")</f>
        <v>http://pbs.twimg.com/media/DVatS7MWsAA7xhD.jpg</v>
      </c>
      <c r="N1591">
        <v>0.45879999999999999</v>
      </c>
      <c r="O1591">
        <v>0</v>
      </c>
      <c r="P1591">
        <v>0.83299999999999996</v>
      </c>
      <c r="Q1591">
        <v>0.16700000000000001</v>
      </c>
    </row>
    <row r="1592" spans="1:17" x14ac:dyDescent="0.2">
      <c r="A1592" s="1" t="str">
        <f>HYPERLINK("http://www.twitter.com/Ugo_Roux/status/960933605215219713", "960933605215219713")</f>
        <v>960933605215219713</v>
      </c>
      <c r="B1592" t="s">
        <v>47</v>
      </c>
      <c r="C1592" s="3">
        <v>43137.743043981478</v>
      </c>
      <c r="D1592" s="3" t="s">
        <v>41</v>
      </c>
      <c r="E1592">
        <v>0</v>
      </c>
      <c r="F1592">
        <v>0</v>
      </c>
      <c r="G1592">
        <v>1</v>
      </c>
      <c r="I1592" t="s">
        <v>1628</v>
      </c>
      <c r="N1592">
        <v>0.36470000000000002</v>
      </c>
      <c r="O1592">
        <v>0.107</v>
      </c>
      <c r="P1592">
        <v>0.80600000000000005</v>
      </c>
      <c r="Q1592">
        <v>8.7999999999999995E-2</v>
      </c>
    </row>
    <row r="1593" spans="1:17" x14ac:dyDescent="0.2">
      <c r="A1593" s="1" t="str">
        <f>HYPERLINK("http://www.twitter.com/Ugo_Roux/status/960782825552097280", "960782825552097280")</f>
        <v>960782825552097280</v>
      </c>
      <c r="B1593" t="s">
        <v>285</v>
      </c>
      <c r="C1593" s="3">
        <v>43137.326967592591</v>
      </c>
      <c r="D1593" s="5" t="s">
        <v>28</v>
      </c>
      <c r="E1593">
        <v>0</v>
      </c>
      <c r="F1593">
        <v>0</v>
      </c>
      <c r="G1593">
        <v>0</v>
      </c>
      <c r="I1593" t="s">
        <v>1629</v>
      </c>
      <c r="J1593" t="str">
        <f>HYPERLINK("http://pbs.twimg.com/media/DVViJ1JX4AAAXi5.jpg", "http://pbs.twimg.com/media/DVViJ1JX4AAAXi5.jpg")</f>
        <v>http://pbs.twimg.com/media/DVViJ1JX4AAAXi5.jpg</v>
      </c>
      <c r="K1593" t="str">
        <f>HYPERLINK("http://pbs.twimg.com/media/DVViJ3KWsAEyrHD.jpg", "http://pbs.twimg.com/media/DVViJ3KWsAEyrHD.jpg")</f>
        <v>http://pbs.twimg.com/media/DVViJ3KWsAEyrHD.jpg</v>
      </c>
      <c r="N1593">
        <v>0</v>
      </c>
      <c r="O1593">
        <v>0</v>
      </c>
      <c r="P1593">
        <v>1</v>
      </c>
      <c r="Q1593">
        <v>0</v>
      </c>
    </row>
    <row r="1594" spans="1:17" x14ac:dyDescent="0.2">
      <c r="A1594" s="1" t="str">
        <f>HYPERLINK("http://www.twitter.com/Ugo_Roux/status/960777207063949312", "960777207063949312")</f>
        <v>960777207063949312</v>
      </c>
      <c r="B1594" t="s">
        <v>285</v>
      </c>
      <c r="C1594" s="3">
        <v>43137.311469907407</v>
      </c>
      <c r="D1594" s="5" t="s">
        <v>28</v>
      </c>
      <c r="E1594">
        <v>0</v>
      </c>
      <c r="F1594">
        <v>0</v>
      </c>
      <c r="G1594">
        <v>0</v>
      </c>
      <c r="I1594" t="s">
        <v>1630</v>
      </c>
      <c r="J1594" t="str">
        <f>HYPERLINK("http://pbs.twimg.com/media/DVVdxZVX4AA3JzQ.jpg", "http://pbs.twimg.com/media/DVVdxZVX4AA3JzQ.jpg")</f>
        <v>http://pbs.twimg.com/media/DVVdxZVX4AA3JzQ.jpg</v>
      </c>
      <c r="N1594">
        <v>0</v>
      </c>
      <c r="O1594">
        <v>0</v>
      </c>
      <c r="P1594">
        <v>1</v>
      </c>
      <c r="Q1594">
        <v>0</v>
      </c>
    </row>
    <row r="1595" spans="1:17" x14ac:dyDescent="0.2">
      <c r="A1595" s="1" t="str">
        <f>HYPERLINK("http://www.twitter.com/Ugo_Roux/status/960776295272665093", "960776295272665093")</f>
        <v>960776295272665093</v>
      </c>
      <c r="B1595" t="s">
        <v>285</v>
      </c>
      <c r="C1595" s="3">
        <v>43137.308946759258</v>
      </c>
      <c r="D1595" s="5" t="s">
        <v>17</v>
      </c>
      <c r="E1595">
        <v>0</v>
      </c>
      <c r="F1595">
        <v>1</v>
      </c>
      <c r="G1595">
        <v>0</v>
      </c>
      <c r="I1595" t="s">
        <v>1631</v>
      </c>
      <c r="N1595">
        <v>0.20230000000000001</v>
      </c>
      <c r="O1595">
        <v>0</v>
      </c>
      <c r="P1595">
        <v>0.85899999999999999</v>
      </c>
      <c r="Q1595">
        <v>0.14099999999999999</v>
      </c>
    </row>
    <row r="1596" spans="1:17" x14ac:dyDescent="0.2">
      <c r="A1596" s="1" t="str">
        <f>HYPERLINK("http://www.twitter.com/Ugo_Roux/status/959716573928935424", "959716573928935424")</f>
        <v>959716573928935424</v>
      </c>
      <c r="B1596" t="s">
        <v>414</v>
      </c>
      <c r="C1596" s="3">
        <v>43134.384675925918</v>
      </c>
      <c r="D1596" s="5" t="s">
        <v>24</v>
      </c>
      <c r="E1596">
        <v>0</v>
      </c>
      <c r="F1596">
        <v>0</v>
      </c>
      <c r="G1596">
        <v>0</v>
      </c>
      <c r="I1596" t="s">
        <v>1632</v>
      </c>
      <c r="J1596" t="str">
        <f>HYPERLINK("http://pbs.twimg.com/media/DVGZAVOW0AA4dm1.jpg", "http://pbs.twimg.com/media/DVGZAVOW0AA4dm1.jpg")</f>
        <v>http://pbs.twimg.com/media/DVGZAVOW0AA4dm1.jpg</v>
      </c>
      <c r="N1596">
        <v>0.45879999999999999</v>
      </c>
      <c r="O1596">
        <v>0</v>
      </c>
      <c r="P1596">
        <v>0.66700000000000004</v>
      </c>
      <c r="Q1596">
        <v>0.33300000000000002</v>
      </c>
    </row>
    <row r="1597" spans="1:17" x14ac:dyDescent="0.2">
      <c r="A1597" s="1" t="str">
        <f>HYPERLINK("http://www.twitter.com/Ugo_Roux/status/959714828418994176", "959714828418994176")</f>
        <v>959714828418994176</v>
      </c>
      <c r="B1597" t="s">
        <v>285</v>
      </c>
      <c r="C1597" s="3">
        <v>43134.379861111112</v>
      </c>
      <c r="D1597" s="5" t="s">
        <v>28</v>
      </c>
      <c r="E1597">
        <v>0</v>
      </c>
      <c r="F1597">
        <v>0</v>
      </c>
      <c r="G1597">
        <v>0</v>
      </c>
      <c r="I1597" t="s">
        <v>1633</v>
      </c>
      <c r="J1597" t="str">
        <f>HYPERLINK("http://pbs.twimg.com/media/DVGXhbkW4AABa6J.jpg", "http://pbs.twimg.com/media/DVGXhbkW4AABa6J.jpg")</f>
        <v>http://pbs.twimg.com/media/DVGXhbkW4AABa6J.jpg</v>
      </c>
      <c r="N1597">
        <v>0</v>
      </c>
      <c r="O1597">
        <v>0</v>
      </c>
      <c r="P1597">
        <v>1</v>
      </c>
      <c r="Q1597">
        <v>0</v>
      </c>
    </row>
    <row r="1598" spans="1:17" x14ac:dyDescent="0.2">
      <c r="A1598" s="1" t="str">
        <f>HYPERLINK("http://www.twitter.com/Ugo_Roux/status/959335245056237568", "959335245056237568")</f>
        <v>959335245056237568</v>
      </c>
      <c r="B1598" t="s">
        <v>476</v>
      </c>
      <c r="C1598" s="3">
        <v>43133.332407407397</v>
      </c>
      <c r="D1598" s="5" t="s">
        <v>28</v>
      </c>
      <c r="E1598">
        <v>0</v>
      </c>
      <c r="F1598">
        <v>0</v>
      </c>
      <c r="G1598">
        <v>0</v>
      </c>
      <c r="I1598" t="s">
        <v>1634</v>
      </c>
      <c r="N1598">
        <v>0</v>
      </c>
      <c r="O1598">
        <v>0</v>
      </c>
      <c r="P1598">
        <v>1</v>
      </c>
      <c r="Q1598">
        <v>0</v>
      </c>
    </row>
    <row r="1599" spans="1:17" x14ac:dyDescent="0.2">
      <c r="A1599" s="1" t="str">
        <f>HYPERLINK("http://www.twitter.com/Ugo_Roux/status/958624731904737280", "958624731904737280")</f>
        <v>958624731904737280</v>
      </c>
      <c r="B1599" t="s">
        <v>476</v>
      </c>
      <c r="C1599" s="3">
        <v>43131.371770833342</v>
      </c>
      <c r="D1599" s="5" t="s">
        <v>17</v>
      </c>
      <c r="E1599">
        <v>0</v>
      </c>
      <c r="F1599">
        <v>0</v>
      </c>
      <c r="G1599">
        <v>0</v>
      </c>
      <c r="I1599" t="s">
        <v>1635</v>
      </c>
      <c r="J1599" t="str">
        <f>HYPERLINK("http://pbs.twimg.com/media/DU23-euW4AAADvU.jpg", "http://pbs.twimg.com/media/DU23-euW4AAADvU.jpg")</f>
        <v>http://pbs.twimg.com/media/DU23-euW4AAADvU.jpg</v>
      </c>
      <c r="N1599">
        <v>0</v>
      </c>
      <c r="O1599">
        <v>0</v>
      </c>
      <c r="P1599">
        <v>1</v>
      </c>
      <c r="Q1599">
        <v>0</v>
      </c>
    </row>
    <row r="1600" spans="1:17" x14ac:dyDescent="0.2">
      <c r="A1600" s="1" t="str">
        <f>HYPERLINK("http://www.twitter.com/Ugo_Roux/status/958370344749977601", "958370344749977601")</f>
        <v>958370344749977601</v>
      </c>
      <c r="B1600" t="s">
        <v>16</v>
      </c>
      <c r="C1600" s="3">
        <v>43130.669791666667</v>
      </c>
      <c r="D1600" s="3" t="s">
        <v>17</v>
      </c>
      <c r="E1600">
        <v>3</v>
      </c>
      <c r="F1600">
        <v>0</v>
      </c>
      <c r="G1600">
        <v>0</v>
      </c>
      <c r="I1600" t="s">
        <v>1636</v>
      </c>
      <c r="J1600" t="str">
        <f>HYPERLINK("http://pbs.twimg.com/media/DUzPahmWAAA7So_.jpg", "http://pbs.twimg.com/media/DUzPahmWAAA7So_.jpg")</f>
        <v>http://pbs.twimg.com/media/DUzPahmWAAA7So_.jpg</v>
      </c>
      <c r="N1600">
        <v>0.42630000000000001</v>
      </c>
      <c r="O1600">
        <v>0</v>
      </c>
      <c r="P1600">
        <v>0.91900000000000004</v>
      </c>
      <c r="Q1600">
        <v>8.1000000000000003E-2</v>
      </c>
    </row>
    <row r="1601" spans="1:17" x14ac:dyDescent="0.2">
      <c r="A1601" s="1" t="str">
        <f>HYPERLINK("http://www.twitter.com/Ugo_Roux/status/957249689472126976", "957249689472126976")</f>
        <v>957249689472126976</v>
      </c>
      <c r="B1601" t="s">
        <v>97</v>
      </c>
      <c r="C1601" s="3">
        <v>43127.577372685177</v>
      </c>
      <c r="D1601" s="5" t="s">
        <v>17</v>
      </c>
      <c r="E1601">
        <v>0</v>
      </c>
      <c r="F1601">
        <v>0</v>
      </c>
      <c r="G1601">
        <v>0</v>
      </c>
      <c r="I1601" t="s">
        <v>1637</v>
      </c>
      <c r="J1601" t="str">
        <f>HYPERLINK("http://pbs.twimg.com/media/DUjVhLcU8AA98Rb.jpg", "http://pbs.twimg.com/media/DUjVhLcU8AA98Rb.jpg")</f>
        <v>http://pbs.twimg.com/media/DUjVhLcU8AA98Rb.jpg</v>
      </c>
      <c r="N1601">
        <v>0</v>
      </c>
      <c r="O1601">
        <v>0</v>
      </c>
      <c r="P1601">
        <v>1</v>
      </c>
      <c r="Q1601">
        <v>0</v>
      </c>
    </row>
    <row r="1602" spans="1:17" x14ac:dyDescent="0.2">
      <c r="A1602" s="1" t="str">
        <f>HYPERLINK("http://www.twitter.com/Ugo_Roux/status/957209959128805376", "957209959128805376")</f>
        <v>957209959128805376</v>
      </c>
      <c r="B1602" t="s">
        <v>16</v>
      </c>
      <c r="C1602" s="3">
        <v>43127.467743055553</v>
      </c>
      <c r="D1602" s="3" t="s">
        <v>17</v>
      </c>
      <c r="E1602">
        <v>1</v>
      </c>
      <c r="F1602">
        <v>0</v>
      </c>
      <c r="G1602">
        <v>0</v>
      </c>
      <c r="I1602" t="s">
        <v>1638</v>
      </c>
      <c r="J1602" t="str">
        <f>HYPERLINK("http://pbs.twimg.com/media/DUixKelX4AET1LE.jpg", "http://pbs.twimg.com/media/DUixKelX4AET1LE.jpg")</f>
        <v>http://pbs.twimg.com/media/DUixKelX4AET1LE.jpg</v>
      </c>
      <c r="N1602">
        <v>0</v>
      </c>
      <c r="O1602">
        <v>0</v>
      </c>
      <c r="P1602">
        <v>1</v>
      </c>
      <c r="Q1602">
        <v>0</v>
      </c>
    </row>
    <row r="1603" spans="1:17" x14ac:dyDescent="0.2">
      <c r="A1603" s="1" t="str">
        <f>HYPERLINK("http://www.twitter.com/Ugo_Roux/status/956914424517885952", "956914424517885952")</f>
        <v>956914424517885952</v>
      </c>
      <c r="B1603" t="s">
        <v>97</v>
      </c>
      <c r="C1603" s="3">
        <v>43126.652222222219</v>
      </c>
      <c r="D1603" s="5" t="s">
        <v>41</v>
      </c>
      <c r="E1603">
        <v>0</v>
      </c>
      <c r="F1603">
        <v>0</v>
      </c>
      <c r="G1603">
        <v>0</v>
      </c>
      <c r="I1603" t="s">
        <v>1639</v>
      </c>
      <c r="J1603" t="str">
        <f>HYPERLINK("http://pbs.twimg.com/media/DUekmJiVQAAMsBe.jpg", "http://pbs.twimg.com/media/DUekmJiVQAAMsBe.jpg")</f>
        <v>http://pbs.twimg.com/media/DUekmJiVQAAMsBe.jpg</v>
      </c>
      <c r="N1603">
        <v>0</v>
      </c>
      <c r="O1603">
        <v>0</v>
      </c>
      <c r="P1603">
        <v>1</v>
      </c>
      <c r="Q1603">
        <v>0</v>
      </c>
    </row>
    <row r="1604" spans="1:17" x14ac:dyDescent="0.2">
      <c r="A1604" s="1" t="str">
        <f>HYPERLINK("http://www.twitter.com/Ugo_Roux/status/956801832478822400", "956801832478822400")</f>
        <v>956801832478822400</v>
      </c>
      <c r="B1604" t="s">
        <v>476</v>
      </c>
      <c r="C1604" s="3">
        <v>43126.341527777768</v>
      </c>
      <c r="D1604" s="5" t="s">
        <v>28</v>
      </c>
      <c r="E1604">
        <v>1</v>
      </c>
      <c r="F1604">
        <v>0</v>
      </c>
      <c r="G1604">
        <v>0</v>
      </c>
      <c r="I1604" t="s">
        <v>1640</v>
      </c>
      <c r="N1604">
        <v>0</v>
      </c>
      <c r="O1604">
        <v>0</v>
      </c>
      <c r="P1604">
        <v>1</v>
      </c>
      <c r="Q1604">
        <v>0</v>
      </c>
    </row>
    <row r="1605" spans="1:17" x14ac:dyDescent="0.2">
      <c r="A1605" s="1" t="str">
        <f>HYPERLINK("http://www.twitter.com/Ugo_Roux/status/956438314919383042", "956438314919383042")</f>
        <v>956438314919383042</v>
      </c>
      <c r="B1605" t="s">
        <v>142</v>
      </c>
      <c r="C1605" s="3">
        <v>43125.338402777779</v>
      </c>
      <c r="D1605" s="5" t="s">
        <v>28</v>
      </c>
      <c r="E1605">
        <v>5</v>
      </c>
      <c r="F1605">
        <v>2</v>
      </c>
      <c r="G1605">
        <v>0</v>
      </c>
      <c r="I1605" t="s">
        <v>1641</v>
      </c>
      <c r="J1605" t="str">
        <f>HYPERLINK("http://pbs.twimg.com/media/DUXzkxAWkAAvoKZ.jpg", "http://pbs.twimg.com/media/DUXzkxAWkAAvoKZ.jpg")</f>
        <v>http://pbs.twimg.com/media/DUXzkxAWkAAvoKZ.jpg</v>
      </c>
      <c r="N1605">
        <v>0</v>
      </c>
      <c r="O1605">
        <v>0</v>
      </c>
      <c r="P1605">
        <v>1</v>
      </c>
      <c r="Q1605">
        <v>0</v>
      </c>
    </row>
    <row r="1606" spans="1:17" x14ac:dyDescent="0.2">
      <c r="A1606" s="1" t="str">
        <f>HYPERLINK("http://www.twitter.com/Ugo_Roux/status/956202686218727424", "956202686218727424")</f>
        <v>956202686218727424</v>
      </c>
      <c r="B1606" t="s">
        <v>471</v>
      </c>
      <c r="C1606" s="3">
        <v>43124.688194444447</v>
      </c>
      <c r="D1606" s="3" t="s">
        <v>28</v>
      </c>
      <c r="E1606">
        <v>1</v>
      </c>
      <c r="F1606">
        <v>4</v>
      </c>
      <c r="G1606">
        <v>0</v>
      </c>
      <c r="I1606" t="s">
        <v>1642</v>
      </c>
      <c r="J1606" t="str">
        <f>HYPERLINK("http://pbs.twimg.com/media/DUUdQBOX4AAgOfX.jpg", "http://pbs.twimg.com/media/DUUdQBOX4AAgOfX.jpg")</f>
        <v>http://pbs.twimg.com/media/DUUdQBOX4AAgOfX.jpg</v>
      </c>
      <c r="N1606">
        <v>0</v>
      </c>
      <c r="O1606">
        <v>0</v>
      </c>
      <c r="P1606">
        <v>1</v>
      </c>
      <c r="Q1606">
        <v>0</v>
      </c>
    </row>
    <row r="1607" spans="1:17" x14ac:dyDescent="0.2">
      <c r="A1607" s="1" t="str">
        <f>HYPERLINK("http://www.twitter.com/Ugo_Roux/status/956166342079590400", "956166342079590400")</f>
        <v>956166342079590400</v>
      </c>
      <c r="B1607" t="s">
        <v>206</v>
      </c>
      <c r="C1607" s="3">
        <v>43124.587905092587</v>
      </c>
      <c r="D1607" s="5" t="s">
        <v>41</v>
      </c>
      <c r="E1607">
        <v>3</v>
      </c>
      <c r="F1607">
        <v>1</v>
      </c>
      <c r="G1607">
        <v>0</v>
      </c>
      <c r="I1607" t="s">
        <v>1643</v>
      </c>
      <c r="J1607" t="str">
        <f>HYPERLINK("http://pbs.twimg.com/media/DUT8NIzXUAA7xzf.jpg", "http://pbs.twimg.com/media/DUT8NIzXUAA7xzf.jpg")</f>
        <v>http://pbs.twimg.com/media/DUT8NIzXUAA7xzf.jpg</v>
      </c>
      <c r="K1607" t="str">
        <f>HYPERLINK("http://pbs.twimg.com/media/DUT8NItWAAENP22.jpg", "http://pbs.twimg.com/media/DUT8NItWAAENP22.jpg")</f>
        <v>http://pbs.twimg.com/media/DUT8NItWAAENP22.jpg</v>
      </c>
      <c r="L1607" t="str">
        <f>HYPERLINK("http://pbs.twimg.com/media/DUT8NIvW4AElO5v.jpg", "http://pbs.twimg.com/media/DUT8NIvW4AElO5v.jpg")</f>
        <v>http://pbs.twimg.com/media/DUT8NIvW4AElO5v.jpg</v>
      </c>
      <c r="M1607" t="str">
        <f>HYPERLINK("http://pbs.twimg.com/media/DUT8NIvW0AA_AC9.jpg", "http://pbs.twimg.com/media/DUT8NIvW0AA_AC9.jpg")</f>
        <v>http://pbs.twimg.com/media/DUT8NIvW0AA_AC9.jpg</v>
      </c>
      <c r="N1607">
        <v>0</v>
      </c>
      <c r="O1607">
        <v>0</v>
      </c>
      <c r="P1607">
        <v>1</v>
      </c>
      <c r="Q1607">
        <v>0</v>
      </c>
    </row>
    <row r="1608" spans="1:17" x14ac:dyDescent="0.2">
      <c r="A1608" s="1" t="str">
        <f>HYPERLINK("http://www.twitter.com/Ugo_Roux/status/956127936557604866", "956127936557604866")</f>
        <v>956127936557604866</v>
      </c>
      <c r="B1608" t="s">
        <v>456</v>
      </c>
      <c r="C1608" s="3">
        <v>43124.481921296298</v>
      </c>
      <c r="D1608" t="s">
        <v>28</v>
      </c>
      <c r="E1608">
        <v>1</v>
      </c>
      <c r="F1608">
        <v>0</v>
      </c>
      <c r="G1608">
        <v>0</v>
      </c>
      <c r="I1608" t="s">
        <v>1644</v>
      </c>
      <c r="J1608" t="str">
        <f>HYPERLINK("http://pbs.twimg.com/media/DUTVVI_XcAEoqlE.jpg", "http://pbs.twimg.com/media/DUTVVI_XcAEoqlE.jpg")</f>
        <v>http://pbs.twimg.com/media/DUTVVI_XcAEoqlE.jpg</v>
      </c>
      <c r="N1608">
        <v>0</v>
      </c>
      <c r="O1608">
        <v>0</v>
      </c>
      <c r="P1608">
        <v>1</v>
      </c>
      <c r="Q1608">
        <v>0</v>
      </c>
    </row>
    <row r="1609" spans="1:17" x14ac:dyDescent="0.2">
      <c r="A1609" s="1" t="str">
        <f>HYPERLINK("http://www.twitter.com/Ugo_Roux/status/956086523442749440", "956086523442749440")</f>
        <v>956086523442749440</v>
      </c>
      <c r="B1609" t="s">
        <v>285</v>
      </c>
      <c r="C1609" s="3">
        <v>43124.367650462962</v>
      </c>
      <c r="D1609" s="5" t="s">
        <v>24</v>
      </c>
      <c r="E1609">
        <v>10</v>
      </c>
      <c r="F1609">
        <v>2</v>
      </c>
      <c r="G1609">
        <v>2</v>
      </c>
      <c r="I1609" t="s">
        <v>1645</v>
      </c>
      <c r="J1609" t="str">
        <f>HYPERLINK("http://pbs.twimg.com/media/DUSynghWkAA0TOH.jpg", "http://pbs.twimg.com/media/DUSynghWkAA0TOH.jpg")</f>
        <v>http://pbs.twimg.com/media/DUSynghWkAA0TOH.jpg</v>
      </c>
      <c r="N1609">
        <v>0</v>
      </c>
      <c r="O1609">
        <v>0</v>
      </c>
      <c r="P1609">
        <v>1</v>
      </c>
      <c r="Q1609">
        <v>0</v>
      </c>
    </row>
    <row r="1610" spans="1:17" x14ac:dyDescent="0.2">
      <c r="A1610" s="1" t="str">
        <f>HYPERLINK("http://www.twitter.com/Ugo_Roux/status/956062867232567297", "956062867232567297")</f>
        <v>956062867232567297</v>
      </c>
      <c r="B1610" t="s">
        <v>285</v>
      </c>
      <c r="C1610" s="3">
        <v>43124.302361111113</v>
      </c>
      <c r="D1610" s="5" t="s">
        <v>28</v>
      </c>
      <c r="E1610">
        <v>0</v>
      </c>
      <c r="F1610">
        <v>0</v>
      </c>
      <c r="G1610">
        <v>0</v>
      </c>
      <c r="I1610" t="s">
        <v>1646</v>
      </c>
      <c r="J1610" t="str">
        <f>HYPERLINK("http://pbs.twimg.com/media/DUSeGcoWkAA6aEK.jpg", "http://pbs.twimg.com/media/DUSeGcoWkAA6aEK.jpg")</f>
        <v>http://pbs.twimg.com/media/DUSeGcoWkAA6aEK.jpg</v>
      </c>
      <c r="N1610">
        <v>0</v>
      </c>
      <c r="O1610">
        <v>0</v>
      </c>
      <c r="P1610">
        <v>1</v>
      </c>
      <c r="Q1610">
        <v>0</v>
      </c>
    </row>
    <row r="1611" spans="1:17" x14ac:dyDescent="0.2">
      <c r="A1611" s="1" t="str">
        <f>HYPERLINK("http://www.twitter.com/Ugo_Roux/status/955822351966457857", "955822351966457857")</f>
        <v>955822351966457857</v>
      </c>
      <c r="B1611" t="s">
        <v>476</v>
      </c>
      <c r="C1611" s="3">
        <v>43123.638668981483</v>
      </c>
      <c r="D1611" s="5" t="s">
        <v>28</v>
      </c>
      <c r="E1611">
        <v>1</v>
      </c>
      <c r="F1611">
        <v>1</v>
      </c>
      <c r="G1611">
        <v>0</v>
      </c>
      <c r="I1611" t="s">
        <v>1647</v>
      </c>
      <c r="J1611" t="str">
        <f>HYPERLINK("http://pbs.twimg.com/media/DUPDD5AW4AAF6R1.jpg", "http://pbs.twimg.com/media/DUPDD5AW4AAF6R1.jpg")</f>
        <v>http://pbs.twimg.com/media/DUPDD5AW4AAF6R1.jpg</v>
      </c>
      <c r="N1611">
        <v>0</v>
      </c>
      <c r="O1611">
        <v>0</v>
      </c>
      <c r="P1611">
        <v>1</v>
      </c>
      <c r="Q1611">
        <v>0</v>
      </c>
    </row>
    <row r="1612" spans="1:17" x14ac:dyDescent="0.2">
      <c r="A1612" s="1" t="str">
        <f>HYPERLINK("http://www.twitter.com/Ugo_Roux/status/955818411724034048", "955818411724034048")</f>
        <v>955818411724034048</v>
      </c>
      <c r="B1612" t="s">
        <v>16</v>
      </c>
      <c r="C1612" s="3">
        <v>43123.627800925933</v>
      </c>
      <c r="D1612" s="3" t="s">
        <v>28</v>
      </c>
      <c r="E1612">
        <v>1</v>
      </c>
      <c r="F1612">
        <v>0</v>
      </c>
      <c r="G1612">
        <v>0</v>
      </c>
      <c r="I1612" t="s">
        <v>1648</v>
      </c>
      <c r="J1612" t="str">
        <f>HYPERLINK("http://pbs.twimg.com/media/DUO-4HdXcAAzCgt.jpg", "http://pbs.twimg.com/media/DUO-4HdXcAAzCgt.jpg")</f>
        <v>http://pbs.twimg.com/media/DUO-4HdXcAAzCgt.jpg</v>
      </c>
      <c r="N1612">
        <v>0</v>
      </c>
      <c r="O1612">
        <v>0</v>
      </c>
      <c r="P1612">
        <v>1</v>
      </c>
      <c r="Q1612">
        <v>0</v>
      </c>
    </row>
    <row r="1613" spans="1:17" x14ac:dyDescent="0.2">
      <c r="A1613" s="1" t="str">
        <f>HYPERLINK("http://www.twitter.com/Ugo_Roux/status/955797189124657152", "955797189124657152")</f>
        <v>955797189124657152</v>
      </c>
      <c r="B1613" t="s">
        <v>414</v>
      </c>
      <c r="C1613" s="3">
        <v>43123.569236111107</v>
      </c>
      <c r="D1613" s="5" t="s">
        <v>28</v>
      </c>
      <c r="E1613">
        <v>0</v>
      </c>
      <c r="F1613">
        <v>0</v>
      </c>
      <c r="G1613">
        <v>0</v>
      </c>
      <c r="I1613" t="s">
        <v>1649</v>
      </c>
      <c r="J1613" t="str">
        <f>HYPERLINK("http://pbs.twimg.com/media/DUOsdimX0AA5a1l.jpg", "http://pbs.twimg.com/media/DUOsdimX0AA5a1l.jpg")</f>
        <v>http://pbs.twimg.com/media/DUOsdimX0AA5a1l.jpg</v>
      </c>
      <c r="N1613">
        <v>0</v>
      </c>
      <c r="O1613">
        <v>0</v>
      </c>
      <c r="P1613">
        <v>1</v>
      </c>
      <c r="Q1613">
        <v>0</v>
      </c>
    </row>
    <row r="1614" spans="1:17" x14ac:dyDescent="0.2">
      <c r="A1614" s="1" t="str">
        <f>HYPERLINK("http://www.twitter.com/Ugo_Roux/status/955794621166211072", "955794621166211072")</f>
        <v>955794621166211072</v>
      </c>
      <c r="B1614" t="s">
        <v>370</v>
      </c>
      <c r="C1614" s="3">
        <v>43123.562152777777</v>
      </c>
      <c r="D1614" s="5" t="s">
        <v>28</v>
      </c>
      <c r="E1614">
        <v>0</v>
      </c>
      <c r="F1614">
        <v>0</v>
      </c>
      <c r="G1614">
        <v>0</v>
      </c>
      <c r="I1614" t="s">
        <v>1650</v>
      </c>
      <c r="J1614" t="str">
        <f>HYPERLINK("http://pbs.twimg.com/media/DUOqJFFUMAA_-zd.jpg", "http://pbs.twimg.com/media/DUOqJFFUMAA_-zd.jpg")</f>
        <v>http://pbs.twimg.com/media/DUOqJFFUMAA_-zd.jpg</v>
      </c>
      <c r="N1614">
        <v>0</v>
      </c>
      <c r="O1614">
        <v>0</v>
      </c>
      <c r="P1614">
        <v>1</v>
      </c>
      <c r="Q1614">
        <v>0</v>
      </c>
    </row>
    <row r="1615" spans="1:17" x14ac:dyDescent="0.2">
      <c r="A1615" s="1" t="str">
        <f>HYPERLINK("http://www.twitter.com/Ugo_Roux/status/955786855907319808", "955786855907319808")</f>
        <v>955786855907319808</v>
      </c>
      <c r="B1615" t="s">
        <v>370</v>
      </c>
      <c r="C1615" s="3">
        <v>43123.540717592587</v>
      </c>
      <c r="D1615" s="5" t="s">
        <v>28</v>
      </c>
      <c r="E1615">
        <v>0</v>
      </c>
      <c r="F1615">
        <v>0</v>
      </c>
      <c r="G1615">
        <v>0</v>
      </c>
      <c r="I1615" t="s">
        <v>1651</v>
      </c>
      <c r="J1615" t="str">
        <f>HYPERLINK("http://pbs.twimg.com/media/DUOjFCxU0AAMeQH.jpg", "http://pbs.twimg.com/media/DUOjFCxU0AAMeQH.jpg")</f>
        <v>http://pbs.twimg.com/media/DUOjFCxU0AAMeQH.jpg</v>
      </c>
      <c r="N1615">
        <v>0</v>
      </c>
      <c r="O1615">
        <v>0</v>
      </c>
      <c r="P1615">
        <v>1</v>
      </c>
      <c r="Q1615">
        <v>0</v>
      </c>
    </row>
    <row r="1616" spans="1:17" x14ac:dyDescent="0.2">
      <c r="A1616" s="1" t="str">
        <f>HYPERLINK("http://www.twitter.com/Ugo_Roux/status/954852159778148352", "954852159778148352")</f>
        <v>954852159778148352</v>
      </c>
      <c r="B1616" t="s">
        <v>456</v>
      </c>
      <c r="C1616" s="3">
        <v>43120.961446759262</v>
      </c>
      <c r="D1616" t="s">
        <v>41</v>
      </c>
      <c r="E1616">
        <v>3</v>
      </c>
      <c r="F1616">
        <v>0</v>
      </c>
      <c r="G1616">
        <v>0</v>
      </c>
      <c r="I1616" t="s">
        <v>1652</v>
      </c>
      <c r="J1616" t="str">
        <f>HYPERLINK("https://video.twimg.com/ext_tw_video/954852028647399424/pu/vid/720x1280/OLkIxiQvJCrFrmg0.mp4", "https://video.twimg.com/ext_tw_video/954852028647399424/pu/vid/720x1280/OLkIxiQvJCrFrmg0.mp4")</f>
        <v>https://video.twimg.com/ext_tw_video/954852028647399424/pu/vid/720x1280/OLkIxiQvJCrFrmg0.mp4</v>
      </c>
      <c r="N1616">
        <v>0</v>
      </c>
      <c r="O1616">
        <v>0</v>
      </c>
      <c r="P1616">
        <v>1</v>
      </c>
      <c r="Q1616">
        <v>0</v>
      </c>
    </row>
    <row r="1617" spans="1:17" x14ac:dyDescent="0.2">
      <c r="A1617" s="1" t="str">
        <f>HYPERLINK("http://www.twitter.com/Ugo_Roux/status/954752035064336385", "954752035064336385")</f>
        <v>954752035064336385</v>
      </c>
      <c r="B1617" t="s">
        <v>16</v>
      </c>
      <c r="C1617" s="3">
        <v>43120.685162037043</v>
      </c>
      <c r="D1617" s="3" t="s">
        <v>41</v>
      </c>
      <c r="E1617">
        <v>0</v>
      </c>
      <c r="F1617">
        <v>0</v>
      </c>
      <c r="G1617">
        <v>0</v>
      </c>
      <c r="I1617" t="s">
        <v>1653</v>
      </c>
      <c r="J1617" t="str">
        <f>HYPERLINK("http://pbs.twimg.com/media/DT_16APX0AAud4n.jpg", "http://pbs.twimg.com/media/DT_16APX0AAud4n.jpg")</f>
        <v>http://pbs.twimg.com/media/DT_16APX0AAud4n.jpg</v>
      </c>
      <c r="N1617">
        <v>0</v>
      </c>
      <c r="O1617">
        <v>0</v>
      </c>
      <c r="P1617">
        <v>1</v>
      </c>
      <c r="Q1617">
        <v>0</v>
      </c>
    </row>
    <row r="1618" spans="1:17" x14ac:dyDescent="0.2">
      <c r="A1618" s="1" t="str">
        <f>HYPERLINK("http://www.twitter.com/Ugo_Roux/status/954639891433959424", "954639891433959424")</f>
        <v>954639891433959424</v>
      </c>
      <c r="B1618" t="s">
        <v>97</v>
      </c>
      <c r="C1618" s="3">
        <v>43120.375706018523</v>
      </c>
      <c r="D1618" s="5" t="s">
        <v>28</v>
      </c>
      <c r="E1618">
        <v>0</v>
      </c>
      <c r="F1618">
        <v>0</v>
      </c>
      <c r="G1618">
        <v>0</v>
      </c>
      <c r="I1618" t="s">
        <v>1654</v>
      </c>
      <c r="J1618" t="str">
        <f>HYPERLINK("http://pbs.twimg.com/media/DT-P68uVAAA5VBW.jpg", "http://pbs.twimg.com/media/DT-P68uVAAA5VBW.jpg")</f>
        <v>http://pbs.twimg.com/media/DT-P68uVAAA5VBW.jpg</v>
      </c>
      <c r="N1618">
        <v>0</v>
      </c>
      <c r="O1618">
        <v>0</v>
      </c>
      <c r="P1618">
        <v>1</v>
      </c>
      <c r="Q1618">
        <v>0</v>
      </c>
    </row>
    <row r="1619" spans="1:17" x14ac:dyDescent="0.2">
      <c r="A1619" s="1" t="str">
        <f>HYPERLINK("http://www.twitter.com/Ugo_Roux/status/954302840641552385", "954302840641552385")</f>
        <v>954302840641552385</v>
      </c>
      <c r="B1619" t="s">
        <v>16</v>
      </c>
      <c r="C1619" s="3">
        <v>43119.445613425924</v>
      </c>
      <c r="D1619" s="3" t="s">
        <v>41</v>
      </c>
      <c r="E1619">
        <v>1</v>
      </c>
      <c r="F1619">
        <v>0</v>
      </c>
      <c r="G1619">
        <v>1</v>
      </c>
      <c r="I1619" t="s">
        <v>1655</v>
      </c>
      <c r="N1619">
        <v>0</v>
      </c>
      <c r="O1619">
        <v>0</v>
      </c>
      <c r="P1619">
        <v>1</v>
      </c>
      <c r="Q1619">
        <v>0</v>
      </c>
    </row>
    <row r="1620" spans="1:17" x14ac:dyDescent="0.2">
      <c r="A1620" s="1" t="str">
        <f>HYPERLINK("http://www.twitter.com/Ugo_Roux/status/953910992693579776", "953910992693579776")</f>
        <v>953910992693579776</v>
      </c>
      <c r="B1620" t="s">
        <v>47</v>
      </c>
      <c r="C1620" s="3">
        <v>43118.364328703698</v>
      </c>
      <c r="D1620" s="5" t="s">
        <v>17</v>
      </c>
      <c r="E1620">
        <v>3</v>
      </c>
      <c r="F1620">
        <v>0</v>
      </c>
      <c r="G1620">
        <v>0</v>
      </c>
      <c r="I1620" t="s">
        <v>1656</v>
      </c>
      <c r="N1620">
        <v>0</v>
      </c>
      <c r="O1620">
        <v>0</v>
      </c>
      <c r="P1620">
        <v>1</v>
      </c>
      <c r="Q1620">
        <v>0</v>
      </c>
    </row>
    <row r="1621" spans="1:17" x14ac:dyDescent="0.2">
      <c r="A1621" s="1" t="str">
        <f>HYPERLINK("http://www.twitter.com/Ugo_Roux/status/953665300905553920", "953665300905553920")</f>
        <v>953665300905553920</v>
      </c>
      <c r="B1621" t="s">
        <v>206</v>
      </c>
      <c r="C1621" s="3">
        <v>43117.686342592591</v>
      </c>
      <c r="D1621" s="5" t="s">
        <v>41</v>
      </c>
      <c r="E1621">
        <v>2</v>
      </c>
      <c r="F1621">
        <v>5</v>
      </c>
      <c r="G1621">
        <v>0</v>
      </c>
      <c r="I1621" t="s">
        <v>1657</v>
      </c>
      <c r="J1621" t="str">
        <f>HYPERLINK("http://pbs.twimg.com/media/DTwZeS7VQAUzPng.jpg", "http://pbs.twimg.com/media/DTwZeS7VQAUzPng.jpg")</f>
        <v>http://pbs.twimg.com/media/DTwZeS7VQAUzPng.jpg</v>
      </c>
      <c r="K1621" t="str">
        <f>HYPERLINK("http://pbs.twimg.com/media/DTwZeUtX4AUh20r.jpg", "http://pbs.twimg.com/media/DTwZeUtX4AUh20r.jpg")</f>
        <v>http://pbs.twimg.com/media/DTwZeUtX4AUh20r.jpg</v>
      </c>
      <c r="L1621" t="str">
        <f>HYPERLINK("http://pbs.twimg.com/media/DTwZeS3VMAAvnde.jpg", "http://pbs.twimg.com/media/DTwZeS3VMAAvnde.jpg")</f>
        <v>http://pbs.twimg.com/media/DTwZeS3VMAAvnde.jpg</v>
      </c>
      <c r="M1621" t="str">
        <f>HYPERLINK("http://pbs.twimg.com/media/DTwZeShXkAAFXJn.jpg", "http://pbs.twimg.com/media/DTwZeShXkAAFXJn.jpg")</f>
        <v>http://pbs.twimg.com/media/DTwZeShXkAAFXJn.jpg</v>
      </c>
      <c r="N1621">
        <v>0.27139999999999997</v>
      </c>
      <c r="O1621">
        <v>0</v>
      </c>
      <c r="P1621">
        <v>0.93500000000000005</v>
      </c>
      <c r="Q1621">
        <v>6.5000000000000002E-2</v>
      </c>
    </row>
    <row r="1622" spans="1:17" x14ac:dyDescent="0.2">
      <c r="A1622" s="1" t="str">
        <f>HYPERLINK("http://www.twitter.com/Ugo_Roux/status/952797498220793856", "952797498220793856")</f>
        <v>952797498220793856</v>
      </c>
      <c r="B1622" t="s">
        <v>16</v>
      </c>
      <c r="C1622" s="3">
        <v>43115.291666666657</v>
      </c>
      <c r="D1622" s="3" t="s">
        <v>28</v>
      </c>
      <c r="E1622">
        <v>0</v>
      </c>
      <c r="F1622">
        <v>0</v>
      </c>
      <c r="G1622">
        <v>0</v>
      </c>
      <c r="I1622" t="s">
        <v>1658</v>
      </c>
      <c r="J1622" t="str">
        <f>HYPERLINK("http://pbs.twimg.com/media/DTbVOp8X4AAMmw9.jpg", "http://pbs.twimg.com/media/DTbVOp8X4AAMmw9.jpg")</f>
        <v>http://pbs.twimg.com/media/DTbVOp8X4AAMmw9.jpg</v>
      </c>
      <c r="N1622">
        <v>0</v>
      </c>
      <c r="O1622">
        <v>0</v>
      </c>
      <c r="P1622">
        <v>1</v>
      </c>
      <c r="Q1622">
        <v>0</v>
      </c>
    </row>
    <row r="1623" spans="1:17" x14ac:dyDescent="0.2">
      <c r="A1623" s="1" t="str">
        <f>HYPERLINK("http://www.twitter.com/Ugo_Roux/status/952552956771135488", "952552956771135488")</f>
        <v>952552956771135488</v>
      </c>
      <c r="B1623" t="s">
        <v>142</v>
      </c>
      <c r="C1623" s="3">
        <v>43114.616863425923</v>
      </c>
      <c r="D1623" s="3" t="s">
        <v>28</v>
      </c>
      <c r="E1623">
        <v>1</v>
      </c>
      <c r="F1623">
        <v>3</v>
      </c>
      <c r="G1623">
        <v>0</v>
      </c>
      <c r="I1623" t="s">
        <v>1659</v>
      </c>
      <c r="J1623" t="str">
        <f>HYPERLINK("http://pbs.twimg.com/media/DTgl2JPX4AIfXO6.jpg", "http://pbs.twimg.com/media/DTgl2JPX4AIfXO6.jpg")</f>
        <v>http://pbs.twimg.com/media/DTgl2JPX4AIfXO6.jpg</v>
      </c>
      <c r="N1623">
        <v>0.47670000000000001</v>
      </c>
      <c r="O1623">
        <v>0</v>
      </c>
      <c r="P1623">
        <v>0.93300000000000005</v>
      </c>
      <c r="Q1623">
        <v>6.7000000000000004E-2</v>
      </c>
    </row>
    <row r="1624" spans="1:17" x14ac:dyDescent="0.2">
      <c r="A1624" s="1" t="str">
        <f>HYPERLINK("http://www.twitter.com/Ugo_Roux/status/952236530432606208", "952236530432606208")</f>
        <v>952236530432606208</v>
      </c>
      <c r="B1624" t="s">
        <v>206</v>
      </c>
      <c r="C1624" s="3">
        <v>43113.743692129632</v>
      </c>
      <c r="D1624" s="5" t="s">
        <v>17</v>
      </c>
      <c r="E1624">
        <v>17</v>
      </c>
      <c r="F1624">
        <v>8</v>
      </c>
      <c r="G1624">
        <v>0</v>
      </c>
      <c r="I1624" t="s">
        <v>1660</v>
      </c>
      <c r="J1624" t="str">
        <f>HYPERLINK("http://pbs.twimg.com/media/DTcFYo3X0AMrtdk.jpg", "http://pbs.twimg.com/media/DTcFYo3X0AMrtdk.jpg")</f>
        <v>http://pbs.twimg.com/media/DTcFYo3X0AMrtdk.jpg</v>
      </c>
      <c r="N1624">
        <v>0</v>
      </c>
      <c r="O1624">
        <v>0</v>
      </c>
      <c r="P1624">
        <v>1</v>
      </c>
      <c r="Q1624">
        <v>0</v>
      </c>
    </row>
    <row r="1625" spans="1:17" x14ac:dyDescent="0.2">
      <c r="A1625" s="1" t="str">
        <f>HYPERLINK("http://www.twitter.com/Ugo_Roux/status/951500068259016705", "951500068259016705")</f>
        <v>951500068259016705</v>
      </c>
      <c r="B1625" t="s">
        <v>370</v>
      </c>
      <c r="C1625" s="3">
        <v>43111.711435185192</v>
      </c>
      <c r="D1625" s="3" t="s">
        <v>41</v>
      </c>
      <c r="E1625">
        <v>0</v>
      </c>
      <c r="F1625">
        <v>0</v>
      </c>
      <c r="G1625">
        <v>0</v>
      </c>
      <c r="I1625" t="s">
        <v>1661</v>
      </c>
      <c r="J1625" t="s">
        <v>1662</v>
      </c>
      <c r="N1625">
        <v>0</v>
      </c>
      <c r="O1625">
        <v>0</v>
      </c>
      <c r="P1625">
        <v>1</v>
      </c>
      <c r="Q1625">
        <v>0</v>
      </c>
    </row>
    <row r="1626" spans="1:17" x14ac:dyDescent="0.2">
      <c r="A1626" s="1" t="str">
        <f>HYPERLINK("http://www.twitter.com/Ugo_Roux/status/951479792586706944", "951479792586706944")</f>
        <v>951479792586706944</v>
      </c>
      <c r="B1626" t="s">
        <v>285</v>
      </c>
      <c r="C1626" s="3">
        <v>43111.655486111107</v>
      </c>
      <c r="D1626" s="5" t="s">
        <v>17</v>
      </c>
      <c r="E1626">
        <v>0</v>
      </c>
      <c r="F1626">
        <v>0</v>
      </c>
      <c r="G1626">
        <v>0</v>
      </c>
      <c r="I1626" t="s">
        <v>1663</v>
      </c>
      <c r="N1626">
        <v>0</v>
      </c>
      <c r="O1626">
        <v>0</v>
      </c>
      <c r="P1626">
        <v>1</v>
      </c>
      <c r="Q1626">
        <v>0</v>
      </c>
    </row>
    <row r="1627" spans="1:17" x14ac:dyDescent="0.2">
      <c r="A1627" s="1" t="str">
        <f>HYPERLINK("http://www.twitter.com/Ugo_Roux/status/951475303704035329", "951475303704035329")</f>
        <v>951475303704035329</v>
      </c>
      <c r="B1627" t="s">
        <v>130</v>
      </c>
      <c r="C1627" s="3">
        <v>43111.643101851849</v>
      </c>
      <c r="D1627" s="5" t="s">
        <v>17</v>
      </c>
      <c r="E1627">
        <v>0</v>
      </c>
      <c r="F1627">
        <v>0</v>
      </c>
      <c r="G1627">
        <v>0</v>
      </c>
      <c r="I1627" t="s">
        <v>1664</v>
      </c>
      <c r="N1627">
        <v>0</v>
      </c>
      <c r="O1627">
        <v>0</v>
      </c>
      <c r="P1627">
        <v>1</v>
      </c>
      <c r="Q1627">
        <v>0</v>
      </c>
    </row>
    <row r="1628" spans="1:17" x14ac:dyDescent="0.2">
      <c r="A1628" s="1" t="str">
        <f>HYPERLINK("http://www.twitter.com/Ugo_Roux/status/951129249804701697", "951129249804701697")</f>
        <v>951129249804701697</v>
      </c>
      <c r="B1628" t="s">
        <v>206</v>
      </c>
      <c r="C1628" s="3">
        <v>43110.688171296293</v>
      </c>
      <c r="D1628" s="5" t="s">
        <v>41</v>
      </c>
      <c r="E1628">
        <v>0</v>
      </c>
      <c r="F1628">
        <v>0</v>
      </c>
      <c r="G1628">
        <v>0</v>
      </c>
      <c r="I1628" t="s">
        <v>1665</v>
      </c>
      <c r="N1628">
        <v>0</v>
      </c>
      <c r="O1628">
        <v>0</v>
      </c>
      <c r="P1628">
        <v>1</v>
      </c>
      <c r="Q1628">
        <v>0</v>
      </c>
    </row>
    <row r="1629" spans="1:17" x14ac:dyDescent="0.2">
      <c r="A1629" s="1" t="str">
        <f>HYPERLINK("http://www.twitter.com/Ugo_Roux/status/951017836989898752", "951017836989898752")</f>
        <v>951017836989898752</v>
      </c>
      <c r="B1629" t="s">
        <v>456</v>
      </c>
      <c r="C1629" s="3">
        <v>43110.380740740737</v>
      </c>
      <c r="D1629" t="s">
        <v>28</v>
      </c>
      <c r="E1629">
        <v>0</v>
      </c>
      <c r="F1629">
        <v>0</v>
      </c>
      <c r="G1629">
        <v>0</v>
      </c>
      <c r="I1629" t="s">
        <v>1666</v>
      </c>
      <c r="J1629" t="str">
        <f>HYPERLINK("http://pbs.twimg.com/media/DTKwrgnXUAAUrAM.jpg", "http://pbs.twimg.com/media/DTKwrgnXUAAUrAM.jpg")</f>
        <v>http://pbs.twimg.com/media/DTKwrgnXUAAUrAM.jpg</v>
      </c>
      <c r="N1629">
        <v>0</v>
      </c>
      <c r="O1629">
        <v>0</v>
      </c>
      <c r="P1629">
        <v>1</v>
      </c>
      <c r="Q1629">
        <v>0</v>
      </c>
    </row>
    <row r="1630" spans="1:17" x14ac:dyDescent="0.2">
      <c r="A1630" s="1" t="str">
        <f>HYPERLINK("http://www.twitter.com/Ugo_Roux/status/951015161757884416", "951015161757884416")</f>
        <v>951015161757884416</v>
      </c>
      <c r="B1630" t="s">
        <v>456</v>
      </c>
      <c r="C1630" s="3">
        <v>43110.373356481483</v>
      </c>
      <c r="D1630" t="s">
        <v>28</v>
      </c>
      <c r="E1630">
        <v>1</v>
      </c>
      <c r="F1630">
        <v>0</v>
      </c>
      <c r="G1630">
        <v>0</v>
      </c>
      <c r="I1630" t="s">
        <v>1667</v>
      </c>
      <c r="J1630" t="str">
        <f>HYPERLINK("http://pbs.twimg.com/media/DTKuxBkWkAAyIr9.jpg", "http://pbs.twimg.com/media/DTKuxBkWkAAyIr9.jpg")</f>
        <v>http://pbs.twimg.com/media/DTKuxBkWkAAyIr9.jpg</v>
      </c>
      <c r="N1630">
        <v>0</v>
      </c>
      <c r="O1630">
        <v>0</v>
      </c>
      <c r="P1630">
        <v>1</v>
      </c>
      <c r="Q1630">
        <v>0</v>
      </c>
    </row>
    <row r="1631" spans="1:17" x14ac:dyDescent="0.2">
      <c r="A1631" s="1" t="str">
        <f>HYPERLINK("http://www.twitter.com/Ugo_Roux/status/951005186956328962", "951005186956328962")</f>
        <v>951005186956328962</v>
      </c>
      <c r="B1631" t="s">
        <v>414</v>
      </c>
      <c r="C1631" s="3">
        <v>43110.345833333333</v>
      </c>
      <c r="D1631" s="5" t="s">
        <v>28</v>
      </c>
      <c r="E1631">
        <v>0</v>
      </c>
      <c r="F1631">
        <v>0</v>
      </c>
      <c r="G1631">
        <v>0</v>
      </c>
      <c r="I1631" t="s">
        <v>1668</v>
      </c>
      <c r="J1631" t="str">
        <f>HYPERLINK("http://pbs.twimg.com/media/DTKl09sW4AAlOn7.jpg", "http://pbs.twimg.com/media/DTKl09sW4AAlOn7.jpg")</f>
        <v>http://pbs.twimg.com/media/DTKl09sW4AAlOn7.jpg</v>
      </c>
      <c r="N1631">
        <v>0.73509999999999998</v>
      </c>
      <c r="O1631">
        <v>0</v>
      </c>
      <c r="P1631">
        <v>0.79500000000000004</v>
      </c>
      <c r="Q1631">
        <v>0.20499999999999999</v>
      </c>
    </row>
    <row r="1632" spans="1:17" x14ac:dyDescent="0.2">
      <c r="A1632" s="1" t="str">
        <f>HYPERLINK("http://www.twitter.com/Ugo_Roux/status/950753669217210370", "950753669217210370")</f>
        <v>950753669217210370</v>
      </c>
      <c r="B1632" t="s">
        <v>456</v>
      </c>
      <c r="C1632" s="3">
        <v>43109.651770833327</v>
      </c>
      <c r="D1632" t="s">
        <v>28</v>
      </c>
      <c r="E1632">
        <v>2</v>
      </c>
      <c r="F1632">
        <v>0</v>
      </c>
      <c r="G1632">
        <v>0</v>
      </c>
      <c r="I1632" t="s">
        <v>1669</v>
      </c>
      <c r="J1632" t="str">
        <f>HYPERLINK("http://pbs.twimg.com/media/DTHAv7HWAAAjzby.jpg", "http://pbs.twimg.com/media/DTHAv7HWAAAjzby.jpg")</f>
        <v>http://pbs.twimg.com/media/DTHAv7HWAAAjzby.jpg</v>
      </c>
      <c r="K1632" t="str">
        <f>HYPERLINK("http://pbs.twimg.com/media/DTHAv7CWsAACuff.jpg", "http://pbs.twimg.com/media/DTHAv7CWsAACuff.jpg")</f>
        <v>http://pbs.twimg.com/media/DTHAv7CWsAACuff.jpg</v>
      </c>
      <c r="N1632">
        <v>0</v>
      </c>
      <c r="O1632">
        <v>0</v>
      </c>
      <c r="P1632">
        <v>1</v>
      </c>
      <c r="Q1632">
        <v>0</v>
      </c>
    </row>
    <row r="1633" spans="1:17" x14ac:dyDescent="0.2">
      <c r="A1633" s="1" t="str">
        <f>HYPERLINK("http://www.twitter.com/Ugo_Roux/status/950678284483874817", "950678284483874817")</f>
        <v>950678284483874817</v>
      </c>
      <c r="B1633" t="s">
        <v>16</v>
      </c>
      <c r="C1633" s="3">
        <v>43109.443749999999</v>
      </c>
      <c r="D1633" s="3" t="s">
        <v>28</v>
      </c>
      <c r="E1633">
        <v>1</v>
      </c>
      <c r="F1633">
        <v>0</v>
      </c>
      <c r="G1633">
        <v>0</v>
      </c>
      <c r="I1633" t="s">
        <v>1670</v>
      </c>
      <c r="J1633" t="str">
        <f>HYPERLINK("http://pbs.twimg.com/media/DSsIaI5X0AUfPjf.jpg", "http://pbs.twimg.com/media/DSsIaI5X0AUfPjf.jpg")</f>
        <v>http://pbs.twimg.com/media/DSsIaI5X0AUfPjf.jpg</v>
      </c>
      <c r="N1633">
        <v>0</v>
      </c>
      <c r="O1633">
        <v>0</v>
      </c>
      <c r="P1633">
        <v>1</v>
      </c>
      <c r="Q1633">
        <v>0</v>
      </c>
    </row>
    <row r="1634" spans="1:17" x14ac:dyDescent="0.2">
      <c r="A1634" s="1" t="str">
        <f>HYPERLINK("http://www.twitter.com/Ugo_Roux/status/949655497661190145", "949655497661190145")</f>
        <v>949655497661190145</v>
      </c>
      <c r="B1634" t="s">
        <v>456</v>
      </c>
      <c r="C1634" s="3">
        <v>43106.621400462973</v>
      </c>
      <c r="D1634" t="s">
        <v>28</v>
      </c>
      <c r="E1634">
        <v>0</v>
      </c>
      <c r="F1634">
        <v>0</v>
      </c>
      <c r="G1634">
        <v>0</v>
      </c>
      <c r="I1634" t="s">
        <v>1671</v>
      </c>
      <c r="J1634" t="str">
        <f>HYPERLINK("http://pbs.twimg.com/media/DS3aXw1X4AA514R.jpg", "http://pbs.twimg.com/media/DS3aXw1X4AA514R.jpg")</f>
        <v>http://pbs.twimg.com/media/DS3aXw1X4AA514R.jpg</v>
      </c>
      <c r="N1634">
        <v>0</v>
      </c>
      <c r="O1634">
        <v>0</v>
      </c>
      <c r="P1634">
        <v>1</v>
      </c>
      <c r="Q1634">
        <v>0</v>
      </c>
    </row>
    <row r="1635" spans="1:17" x14ac:dyDescent="0.2">
      <c r="A1635" s="1" t="str">
        <f>HYPERLINK("http://www.twitter.com/Ugo_Roux/status/949630882792566785", "949630882792566785")</f>
        <v>949630882792566785</v>
      </c>
      <c r="B1635" t="s">
        <v>16</v>
      </c>
      <c r="C1635" s="3">
        <v>43106.553472222222</v>
      </c>
      <c r="D1635" s="3" t="s">
        <v>28</v>
      </c>
      <c r="E1635">
        <v>2</v>
      </c>
      <c r="F1635">
        <v>0</v>
      </c>
      <c r="G1635">
        <v>0</v>
      </c>
      <c r="I1635" t="s">
        <v>1672</v>
      </c>
      <c r="J1635" t="str">
        <f>HYPERLINK("http://pbs.twimg.com/media/DSsDhsHX4AAP8yA.jpg", "http://pbs.twimg.com/media/DSsDhsHX4AAP8yA.jpg")</f>
        <v>http://pbs.twimg.com/media/DSsDhsHX4AAP8yA.jpg</v>
      </c>
      <c r="N1635">
        <v>0</v>
      </c>
      <c r="O1635">
        <v>0</v>
      </c>
      <c r="P1635">
        <v>1</v>
      </c>
      <c r="Q1635">
        <v>0</v>
      </c>
    </row>
    <row r="1636" spans="1:17" x14ac:dyDescent="0.2">
      <c r="A1636" s="1" t="str">
        <f>HYPERLINK("http://www.twitter.com/Ugo_Roux/status/949285415080611840", "949285415080611840")</f>
        <v>949285415080611840</v>
      </c>
      <c r="B1636" t="s">
        <v>456</v>
      </c>
      <c r="C1636" s="3">
        <v>43105.600162037037</v>
      </c>
      <c r="D1636" t="s">
        <v>28</v>
      </c>
      <c r="E1636">
        <v>2</v>
      </c>
      <c r="F1636">
        <v>2</v>
      </c>
      <c r="G1636">
        <v>0</v>
      </c>
      <c r="I1636" t="s">
        <v>1673</v>
      </c>
      <c r="J1636" t="str">
        <f>HYPERLINK("http://pbs.twimg.com/media/DSyKB1QX4AEmobC.jpg", "http://pbs.twimg.com/media/DSyKB1QX4AEmobC.jpg")</f>
        <v>http://pbs.twimg.com/media/DSyKB1QX4AEmobC.jpg</v>
      </c>
      <c r="K1636" t="str">
        <f>HYPERLINK("http://pbs.twimg.com/media/DSyKB0cW4AAtL7n.jpg", "http://pbs.twimg.com/media/DSyKB0cW4AAtL7n.jpg")</f>
        <v>http://pbs.twimg.com/media/DSyKB0cW4AAtL7n.jpg</v>
      </c>
      <c r="N1636">
        <v>0</v>
      </c>
      <c r="O1636">
        <v>0</v>
      </c>
      <c r="P1636">
        <v>1</v>
      </c>
      <c r="Q1636">
        <v>0</v>
      </c>
    </row>
    <row r="1637" spans="1:17" x14ac:dyDescent="0.2">
      <c r="A1637" s="1" t="str">
        <f>HYPERLINK("http://www.twitter.com/Ugo_Roux/status/949263363225341952", "949263363225341952")</f>
        <v>949263363225341952</v>
      </c>
      <c r="B1637" t="s">
        <v>97</v>
      </c>
      <c r="C1637" s="3">
        <v>43105.539305555547</v>
      </c>
      <c r="D1637" s="5" t="s">
        <v>41</v>
      </c>
      <c r="E1637">
        <v>0</v>
      </c>
      <c r="F1637">
        <v>0</v>
      </c>
      <c r="G1637">
        <v>0</v>
      </c>
      <c r="I1637" t="s">
        <v>1674</v>
      </c>
      <c r="J1637" t="str">
        <f>HYPERLINK("http://pbs.twimg.com/media/DSx1_1XVQAAzs87.jpg", "http://pbs.twimg.com/media/DSx1_1XVQAAzs87.jpg")</f>
        <v>http://pbs.twimg.com/media/DSx1_1XVQAAzs87.jpg</v>
      </c>
      <c r="N1637">
        <v>0</v>
      </c>
      <c r="O1637">
        <v>0</v>
      </c>
      <c r="P1637">
        <v>1</v>
      </c>
      <c r="Q1637">
        <v>0</v>
      </c>
    </row>
    <row r="1638" spans="1:17" x14ac:dyDescent="0.2">
      <c r="A1638" s="1" t="str">
        <f>HYPERLINK("http://www.twitter.com/Ugo_Roux/status/949256671800561669", "949256671800561669")</f>
        <v>949256671800561669</v>
      </c>
      <c r="B1638" t="s">
        <v>16</v>
      </c>
      <c r="C1638" s="3">
        <v>43105.520844907413</v>
      </c>
      <c r="D1638" s="3" t="s">
        <v>28</v>
      </c>
      <c r="E1638">
        <v>6</v>
      </c>
      <c r="F1638">
        <v>2</v>
      </c>
      <c r="G1638">
        <v>0</v>
      </c>
      <c r="I1638" t="s">
        <v>1675</v>
      </c>
      <c r="J1638" t="str">
        <f>HYPERLINK("http://pbs.twimg.com/media/DSsA3-2WkAEeUqW.jpg", "http://pbs.twimg.com/media/DSsA3-2WkAEeUqW.jpg")</f>
        <v>http://pbs.twimg.com/media/DSsA3-2WkAEeUqW.jpg</v>
      </c>
      <c r="N1638">
        <v>0</v>
      </c>
      <c r="O1638">
        <v>0</v>
      </c>
      <c r="P1638">
        <v>1</v>
      </c>
      <c r="Q1638">
        <v>0</v>
      </c>
    </row>
    <row r="1639" spans="1:17" x14ac:dyDescent="0.2">
      <c r="A1639" s="1" t="str">
        <f>HYPERLINK("http://www.twitter.com/Ugo_Roux/status/949233593896849413", "949233593896849413")</f>
        <v>949233593896849413</v>
      </c>
      <c r="B1639" t="s">
        <v>414</v>
      </c>
      <c r="C1639" s="3">
        <v>43105.45716435185</v>
      </c>
      <c r="D1639" s="5" t="s">
        <v>28</v>
      </c>
      <c r="E1639">
        <v>0</v>
      </c>
      <c r="F1639">
        <v>0</v>
      </c>
      <c r="G1639">
        <v>0</v>
      </c>
      <c r="I1639" t="s">
        <v>1676</v>
      </c>
      <c r="N1639">
        <v>0</v>
      </c>
      <c r="O1639">
        <v>0</v>
      </c>
      <c r="P1639">
        <v>1</v>
      </c>
      <c r="Q1639">
        <v>0</v>
      </c>
    </row>
    <row r="1640" spans="1:17" x14ac:dyDescent="0.2">
      <c r="A1640" s="1" t="str">
        <f>HYPERLINK("http://www.twitter.com/Ugo_Roux/status/948884805982326786", "948884805982326786")</f>
        <v>948884805982326786</v>
      </c>
      <c r="B1640" t="s">
        <v>142</v>
      </c>
      <c r="C1640" s="3">
        <v>43104.494687500002</v>
      </c>
      <c r="D1640" s="5" t="s">
        <v>17</v>
      </c>
      <c r="E1640">
        <v>2</v>
      </c>
      <c r="F1640">
        <v>2</v>
      </c>
      <c r="G1640">
        <v>0</v>
      </c>
      <c r="I1640" t="s">
        <v>1677</v>
      </c>
      <c r="N1640">
        <v>0</v>
      </c>
      <c r="O1640">
        <v>0</v>
      </c>
      <c r="P1640">
        <v>1</v>
      </c>
      <c r="Q1640">
        <v>0</v>
      </c>
    </row>
    <row r="1641" spans="1:17" x14ac:dyDescent="0.2">
      <c r="A1641" s="1" t="str">
        <f>HYPERLINK("http://www.twitter.com/Ugo_Roux/status/948844607198191616", "948844607198191616")</f>
        <v>948844607198191616</v>
      </c>
      <c r="B1641" t="s">
        <v>16</v>
      </c>
      <c r="C1641" s="3">
        <v>43104.383761574078</v>
      </c>
      <c r="D1641" s="3" t="s">
        <v>28</v>
      </c>
      <c r="E1641">
        <v>1</v>
      </c>
      <c r="F1641">
        <v>1</v>
      </c>
      <c r="G1641">
        <v>1</v>
      </c>
      <c r="I1641" t="s">
        <v>1678</v>
      </c>
      <c r="N1641">
        <v>0</v>
      </c>
      <c r="O1641">
        <v>0</v>
      </c>
      <c r="P1641">
        <v>1</v>
      </c>
      <c r="Q1641">
        <v>0</v>
      </c>
    </row>
    <row r="1642" spans="1:17" x14ac:dyDescent="0.2">
      <c r="A1642" s="1" t="str">
        <f>HYPERLINK("http://www.twitter.com/Ugo_Roux/status/948486836858519553", "948486836858519553")</f>
        <v>948486836858519553</v>
      </c>
      <c r="B1642" t="s">
        <v>414</v>
      </c>
      <c r="C1642" s="3">
        <v>43103.396504629629</v>
      </c>
      <c r="D1642" s="5" t="s">
        <v>28</v>
      </c>
      <c r="E1642">
        <v>1</v>
      </c>
      <c r="F1642">
        <v>1</v>
      </c>
      <c r="G1642">
        <v>0</v>
      </c>
      <c r="I1642" t="s">
        <v>1679</v>
      </c>
      <c r="J1642" t="str">
        <f>HYPERLINK("http://pbs.twimg.com/media/DSmziLBWkAAInh-.jpg", "http://pbs.twimg.com/media/DSmziLBWkAAInh-.jpg")</f>
        <v>http://pbs.twimg.com/media/DSmziLBWkAAInh-.jpg</v>
      </c>
      <c r="N1642">
        <v>0</v>
      </c>
      <c r="O1642">
        <v>0</v>
      </c>
      <c r="P1642">
        <v>1</v>
      </c>
      <c r="Q1642">
        <v>0</v>
      </c>
    </row>
    <row r="1643" spans="1:17" x14ac:dyDescent="0.2">
      <c r="A1643" s="1" t="str">
        <f>HYPERLINK("http://www.twitter.com/Ugo_Roux/status/948481508142211072", "948481508142211072")</f>
        <v>948481508142211072</v>
      </c>
      <c r="B1643" t="s">
        <v>456</v>
      </c>
      <c r="C1643" s="3">
        <v>43103.381805555553</v>
      </c>
      <c r="D1643" t="s">
        <v>24</v>
      </c>
      <c r="E1643">
        <v>7</v>
      </c>
      <c r="F1643">
        <v>3</v>
      </c>
      <c r="G1643">
        <v>0</v>
      </c>
      <c r="I1643" t="s">
        <v>1680</v>
      </c>
      <c r="J1643" t="str">
        <f>HYPERLINK("http://pbs.twimg.com/media/DSmu5uWWkAAAoh-.jpg", "http://pbs.twimg.com/media/DSmu5uWWkAAAoh-.jpg")</f>
        <v>http://pbs.twimg.com/media/DSmu5uWWkAAAoh-.jpg</v>
      </c>
      <c r="N1643">
        <v>0</v>
      </c>
      <c r="O1643">
        <v>0</v>
      </c>
      <c r="P1643">
        <v>1</v>
      </c>
      <c r="Q1643">
        <v>0</v>
      </c>
    </row>
    <row r="1644" spans="1:17" x14ac:dyDescent="0.2">
      <c r="A1644" s="1" t="str">
        <f>HYPERLINK("http://www.twitter.com/Ugo_Roux/status/948455334355578881", "948455334355578881")</f>
        <v>948455334355578881</v>
      </c>
      <c r="B1644" t="s">
        <v>142</v>
      </c>
      <c r="C1644" s="3">
        <v>43103.309571759259</v>
      </c>
      <c r="D1644" s="5" t="s">
        <v>28</v>
      </c>
      <c r="E1644">
        <v>1</v>
      </c>
      <c r="F1644">
        <v>0</v>
      </c>
      <c r="G1644">
        <v>0</v>
      </c>
      <c r="I1644" t="s">
        <v>1681</v>
      </c>
      <c r="J1644" t="str">
        <f>HYPERLINK("http://pbs.twimg.com/media/DSmXGCRXUAUmIsk.jpg", "http://pbs.twimg.com/media/DSmXGCRXUAUmIsk.jpg")</f>
        <v>http://pbs.twimg.com/media/DSmXGCRXUAUmIsk.jpg</v>
      </c>
      <c r="N1644">
        <v>0</v>
      </c>
      <c r="O1644">
        <v>0</v>
      </c>
      <c r="P1644">
        <v>1</v>
      </c>
      <c r="Q1644">
        <v>0</v>
      </c>
    </row>
    <row r="1645" spans="1:17" x14ac:dyDescent="0.2">
      <c r="A1645" s="1" t="str">
        <f>HYPERLINK("http://www.twitter.com/Ugo_Roux/status/948453943998283777", "948453943998283777")</f>
        <v>948453943998283777</v>
      </c>
      <c r="B1645" t="s">
        <v>285</v>
      </c>
      <c r="C1645" s="3">
        <v>43103.30574074074</v>
      </c>
      <c r="D1645" s="5" t="s">
        <v>28</v>
      </c>
      <c r="E1645">
        <v>0</v>
      </c>
      <c r="F1645">
        <v>0</v>
      </c>
      <c r="G1645">
        <v>0</v>
      </c>
      <c r="I1645" t="s">
        <v>1682</v>
      </c>
      <c r="N1645">
        <v>0</v>
      </c>
      <c r="O1645">
        <v>0</v>
      </c>
      <c r="P1645">
        <v>1</v>
      </c>
      <c r="Q1645">
        <v>0</v>
      </c>
    </row>
    <row r="1646" spans="1:17" x14ac:dyDescent="0.2">
      <c r="A1646" s="1" t="str">
        <f>HYPERLINK("http://www.twitter.com/Ugo_Roux/status/948244592289370112", "948244592289370112")</f>
        <v>948244592289370112</v>
      </c>
      <c r="B1646" t="s">
        <v>414</v>
      </c>
      <c r="C1646" s="3">
        <v>43102.728032407409</v>
      </c>
      <c r="D1646" s="5" t="s">
        <v>28</v>
      </c>
      <c r="E1646">
        <v>0</v>
      </c>
      <c r="F1646">
        <v>0</v>
      </c>
      <c r="G1646">
        <v>0</v>
      </c>
      <c r="I1646" t="s">
        <v>1683</v>
      </c>
      <c r="J1646" t="str">
        <f>HYPERLINK("http://pbs.twimg.com/media/DSjXSDdXUAAloeD.jpg", "http://pbs.twimg.com/media/DSjXSDdXUAAloeD.jpg")</f>
        <v>http://pbs.twimg.com/media/DSjXSDdXUAAloeD.jpg</v>
      </c>
      <c r="N1646">
        <v>0</v>
      </c>
      <c r="O1646">
        <v>0</v>
      </c>
      <c r="P1646">
        <v>1</v>
      </c>
      <c r="Q1646">
        <v>0</v>
      </c>
    </row>
    <row r="1647" spans="1:17" x14ac:dyDescent="0.2">
      <c r="A1647" s="1" t="str">
        <f>HYPERLINK("http://www.twitter.com/Ugo_Roux/status/947873905292791808", "947873905292791808")</f>
        <v>947873905292791808</v>
      </c>
      <c r="B1647" t="s">
        <v>142</v>
      </c>
      <c r="C1647" s="3">
        <v>43101.705138888887</v>
      </c>
      <c r="D1647" s="5" t="s">
        <v>41</v>
      </c>
      <c r="E1647">
        <v>3</v>
      </c>
      <c r="F1647">
        <v>3</v>
      </c>
      <c r="G1647">
        <v>1</v>
      </c>
      <c r="I1647" t="s">
        <v>1684</v>
      </c>
      <c r="J1647" t="str">
        <f>HYPERLINK("http://pbs.twimg.com/media/DSeGO8WXUAIqp4W.jpg", "http://pbs.twimg.com/media/DSeGO8WXUAIqp4W.jpg")</f>
        <v>http://pbs.twimg.com/media/DSeGO8WXUAIqp4W.jpg</v>
      </c>
      <c r="N1647">
        <v>0</v>
      </c>
      <c r="O1647">
        <v>0</v>
      </c>
      <c r="P1647">
        <v>1</v>
      </c>
      <c r="Q1647">
        <v>0</v>
      </c>
    </row>
    <row r="1648" spans="1:17" x14ac:dyDescent="0.2">
      <c r="A1648" s="1" t="str">
        <f>HYPERLINK("http://www.twitter.com/Ugo_Roux/status/947708970784796672", "947708970784796672")</f>
        <v>947708970784796672</v>
      </c>
      <c r="B1648" t="s">
        <v>16</v>
      </c>
      <c r="C1648" s="3">
        <v>43101.25</v>
      </c>
      <c r="D1648" s="3" t="s">
        <v>41</v>
      </c>
      <c r="E1648">
        <v>7</v>
      </c>
      <c r="F1648">
        <v>1</v>
      </c>
      <c r="G1648">
        <v>3</v>
      </c>
      <c r="I1648" t="s">
        <v>1685</v>
      </c>
      <c r="J1648" t="str">
        <f>HYPERLINK("http://pbs.twimg.com/media/DSSoASwXcAARpKE.jpg", "http://pbs.twimg.com/media/DSSoASwXcAARpKE.jpg")</f>
        <v>http://pbs.twimg.com/media/DSSoASwXcAARpKE.jpg</v>
      </c>
      <c r="N1648">
        <v>0</v>
      </c>
      <c r="O1648">
        <v>0</v>
      </c>
      <c r="P1648">
        <v>1</v>
      </c>
      <c r="Q1648">
        <v>0</v>
      </c>
    </row>
    <row r="1649" spans="1:17" x14ac:dyDescent="0.2">
      <c r="A1649" s="1" t="str">
        <f>HYPERLINK("http://www.twitter.com/Ugo_Roux/status/947516203735638016", "947516203735638016")</f>
        <v>947516203735638016</v>
      </c>
      <c r="B1649" t="s">
        <v>456</v>
      </c>
      <c r="C1649" s="3">
        <v>43100.71806712963</v>
      </c>
      <c r="D1649" t="s">
        <v>28</v>
      </c>
      <c r="E1649">
        <v>5</v>
      </c>
      <c r="F1649">
        <v>0</v>
      </c>
      <c r="G1649">
        <v>0</v>
      </c>
      <c r="I1649" t="s">
        <v>1686</v>
      </c>
      <c r="J1649" t="str">
        <f>HYPERLINK("http://pbs.twimg.com/media/DSZA8uPWAAYAxjA.jpg", "http://pbs.twimg.com/media/DSZA8uPWAAYAxjA.jpg")</f>
        <v>http://pbs.twimg.com/media/DSZA8uPWAAYAxjA.jpg</v>
      </c>
      <c r="K1649" t="str">
        <f>HYPERLINK("http://pbs.twimg.com/media/DSZA8uTXkAALVOP.jpg", "http://pbs.twimg.com/media/DSZA8uTXkAALVOP.jpg")</f>
        <v>http://pbs.twimg.com/media/DSZA8uTXkAALVOP.jpg</v>
      </c>
      <c r="N1649">
        <v>0</v>
      </c>
      <c r="O1649">
        <v>0</v>
      </c>
      <c r="P1649">
        <v>1</v>
      </c>
      <c r="Q1649">
        <v>0</v>
      </c>
    </row>
    <row r="1650" spans="1:17" x14ac:dyDescent="0.2">
      <c r="A1650" s="1" t="str">
        <f>HYPERLINK("http://www.twitter.com/Ugo_Roux/status/946677952804253698", "946677952804253698")</f>
        <v>946677952804253698</v>
      </c>
      <c r="B1650" t="s">
        <v>476</v>
      </c>
      <c r="C1650" s="3">
        <v>43098.404942129629</v>
      </c>
      <c r="D1650" s="5" t="s">
        <v>17</v>
      </c>
      <c r="E1650">
        <v>0</v>
      </c>
      <c r="F1650">
        <v>0</v>
      </c>
      <c r="G1650">
        <v>0</v>
      </c>
      <c r="I1650" t="s">
        <v>1687</v>
      </c>
      <c r="J1650" t="str">
        <f>HYPERLINK("http://pbs.twimg.com/media/DSNGjIdWsAE6PA1.jpg", "http://pbs.twimg.com/media/DSNGjIdWsAE6PA1.jpg")</f>
        <v>http://pbs.twimg.com/media/DSNGjIdWsAE6PA1.jpg</v>
      </c>
      <c r="N1650">
        <v>0</v>
      </c>
      <c r="O1650">
        <v>0</v>
      </c>
      <c r="P1650">
        <v>1</v>
      </c>
      <c r="Q1650">
        <v>0</v>
      </c>
    </row>
    <row r="1651" spans="1:17" x14ac:dyDescent="0.2">
      <c r="A1651" s="1" t="str">
        <f>HYPERLINK("http://www.twitter.com/Ugo_Roux/status/946676176898183169", "946676176898183169")</f>
        <v>946676176898183169</v>
      </c>
      <c r="B1651" t="s">
        <v>142</v>
      </c>
      <c r="C1651" s="3">
        <v>43098.400034722217</v>
      </c>
      <c r="D1651" s="5" t="s">
        <v>41</v>
      </c>
      <c r="E1651">
        <v>3</v>
      </c>
      <c r="F1651">
        <v>1</v>
      </c>
      <c r="G1651">
        <v>0</v>
      </c>
      <c r="I1651" t="s">
        <v>1688</v>
      </c>
      <c r="J1651" t="str">
        <f>HYPERLINK("http://pbs.twimg.com/media/DSNE9rZX4AU9HMQ.jpg", "http://pbs.twimg.com/media/DSNE9rZX4AU9HMQ.jpg")</f>
        <v>http://pbs.twimg.com/media/DSNE9rZX4AU9HMQ.jpg</v>
      </c>
      <c r="N1651">
        <v>0</v>
      </c>
      <c r="O1651">
        <v>0</v>
      </c>
      <c r="P1651">
        <v>1</v>
      </c>
      <c r="Q1651">
        <v>0</v>
      </c>
    </row>
    <row r="1652" spans="1:17" x14ac:dyDescent="0.2">
      <c r="A1652" s="1" t="str">
        <f>HYPERLINK("http://www.twitter.com/Ugo_Roux/status/946097381610700800", "946097381610700800")</f>
        <v>946097381610700800</v>
      </c>
      <c r="B1652" t="s">
        <v>142</v>
      </c>
      <c r="C1652" s="3">
        <v>43096.802870370368</v>
      </c>
      <c r="D1652" s="5" t="s">
        <v>17</v>
      </c>
      <c r="E1652">
        <v>0</v>
      </c>
      <c r="F1652">
        <v>0</v>
      </c>
      <c r="G1652">
        <v>0</v>
      </c>
      <c r="I1652" t="s">
        <v>1689</v>
      </c>
      <c r="N1652">
        <v>0</v>
      </c>
      <c r="O1652">
        <v>0</v>
      </c>
      <c r="P1652">
        <v>1</v>
      </c>
      <c r="Q1652">
        <v>0</v>
      </c>
    </row>
    <row r="1653" spans="1:17" x14ac:dyDescent="0.2">
      <c r="A1653" s="1" t="str">
        <f>HYPERLINK("http://www.twitter.com/Ugo_Roux/status/944855171431043072", "944855171431043072")</f>
        <v>944855171431043072</v>
      </c>
      <c r="B1653" t="s">
        <v>16</v>
      </c>
      <c r="C1653" s="3">
        <v>43093.375023148154</v>
      </c>
      <c r="D1653" s="3" t="s">
        <v>17</v>
      </c>
      <c r="E1653">
        <v>2</v>
      </c>
      <c r="F1653">
        <v>0</v>
      </c>
      <c r="G1653">
        <v>0</v>
      </c>
      <c r="I1653" t="s">
        <v>1690</v>
      </c>
      <c r="J1653" t="str">
        <f>HYPERLINK("http://pbs.twimg.com/media/DRuMZH5X0AAX9Mv.jpg", "http://pbs.twimg.com/media/DRuMZH5X0AAX9Mv.jpg")</f>
        <v>http://pbs.twimg.com/media/DRuMZH5X0AAX9Mv.jpg</v>
      </c>
      <c r="N1653">
        <v>0.66879999999999995</v>
      </c>
      <c r="O1653">
        <v>0</v>
      </c>
      <c r="P1653">
        <v>0.85299999999999998</v>
      </c>
      <c r="Q1653">
        <v>0.14699999999999999</v>
      </c>
    </row>
    <row r="1654" spans="1:17" x14ac:dyDescent="0.2">
      <c r="A1654" s="1" t="str">
        <f>HYPERLINK("http://www.twitter.com/Ugo_Roux/status/944561654607564805", "944561654607564805")</f>
        <v>944561654607564805</v>
      </c>
      <c r="B1654" t="s">
        <v>130</v>
      </c>
      <c r="C1654" s="3">
        <v>43092.565069444441</v>
      </c>
      <c r="D1654" s="5" t="s">
        <v>17</v>
      </c>
      <c r="E1654">
        <v>0</v>
      </c>
      <c r="F1654">
        <v>0</v>
      </c>
      <c r="G1654">
        <v>0</v>
      </c>
      <c r="I1654" t="s">
        <v>1691</v>
      </c>
      <c r="N1654">
        <v>0</v>
      </c>
      <c r="O1654">
        <v>0</v>
      </c>
      <c r="P1654">
        <v>1</v>
      </c>
      <c r="Q1654">
        <v>0</v>
      </c>
    </row>
    <row r="1655" spans="1:17" x14ac:dyDescent="0.2">
      <c r="A1655" s="1" t="str">
        <f>HYPERLINK("http://www.twitter.com/Ugo_Roux/status/944502214533570560", "944502214533570560")</f>
        <v>944502214533570560</v>
      </c>
      <c r="B1655" t="s">
        <v>142</v>
      </c>
      <c r="C1655" s="3">
        <v>43092.401041666657</v>
      </c>
      <c r="D1655" s="5" t="s">
        <v>28</v>
      </c>
      <c r="E1655">
        <v>1</v>
      </c>
      <c r="F1655">
        <v>0</v>
      </c>
      <c r="G1655">
        <v>0</v>
      </c>
      <c r="I1655" t="s">
        <v>1692</v>
      </c>
      <c r="J1655" t="str">
        <f>HYPERLINK("http://pbs.twimg.com/media/DRuLwLaWAAEJnaI.jpg", "http://pbs.twimg.com/media/DRuLwLaWAAEJnaI.jpg")</f>
        <v>http://pbs.twimg.com/media/DRuLwLaWAAEJnaI.jpg</v>
      </c>
      <c r="N1655">
        <v>0</v>
      </c>
      <c r="O1655">
        <v>0</v>
      </c>
      <c r="P1655">
        <v>1</v>
      </c>
      <c r="Q1655">
        <v>0</v>
      </c>
    </row>
    <row r="1656" spans="1:17" x14ac:dyDescent="0.2">
      <c r="A1656" s="1" t="str">
        <f>HYPERLINK("http://www.twitter.com/Ugo_Roux/status/944249891018235904", "944249891018235904")</f>
        <v>944249891018235904</v>
      </c>
      <c r="B1656" t="s">
        <v>142</v>
      </c>
      <c r="C1656" s="3">
        <v>43091.704756944448</v>
      </c>
      <c r="D1656" s="5" t="s">
        <v>28</v>
      </c>
      <c r="E1656">
        <v>1</v>
      </c>
      <c r="F1656">
        <v>0</v>
      </c>
      <c r="G1656">
        <v>0</v>
      </c>
      <c r="I1656" t="s">
        <v>1693</v>
      </c>
      <c r="N1656">
        <v>0</v>
      </c>
      <c r="O1656">
        <v>0</v>
      </c>
      <c r="P1656">
        <v>1</v>
      </c>
      <c r="Q1656">
        <v>0</v>
      </c>
    </row>
    <row r="1657" spans="1:17" x14ac:dyDescent="0.2">
      <c r="A1657" s="1" t="str">
        <f>HYPERLINK("http://www.twitter.com/Ugo_Roux/status/944212087953387522", "944212087953387522")</f>
        <v>944212087953387522</v>
      </c>
      <c r="B1657" t="s">
        <v>476</v>
      </c>
      <c r="C1657" s="3">
        <v>43091.600451388891</v>
      </c>
      <c r="D1657" s="5" t="s">
        <v>24</v>
      </c>
      <c r="E1657">
        <v>0</v>
      </c>
      <c r="F1657">
        <v>0</v>
      </c>
      <c r="G1657">
        <v>0</v>
      </c>
      <c r="I1657" t="s">
        <v>1694</v>
      </c>
      <c r="N1657">
        <v>0</v>
      </c>
      <c r="O1657">
        <v>0</v>
      </c>
      <c r="P1657">
        <v>1</v>
      </c>
      <c r="Q1657">
        <v>0</v>
      </c>
    </row>
    <row r="1658" spans="1:17" x14ac:dyDescent="0.2">
      <c r="A1658" s="1" t="str">
        <f>HYPERLINK("http://www.twitter.com/Ugo_Roux/status/944138493231620097", "944138493231620097")</f>
        <v>944138493231620097</v>
      </c>
      <c r="B1658" t="s">
        <v>456</v>
      </c>
      <c r="C1658" s="3">
        <v>43091.397361111107</v>
      </c>
      <c r="D1658" t="s">
        <v>24</v>
      </c>
      <c r="E1658">
        <v>1</v>
      </c>
      <c r="F1658">
        <v>1</v>
      </c>
      <c r="G1658">
        <v>0</v>
      </c>
      <c r="I1658" t="s">
        <v>1695</v>
      </c>
      <c r="N1658">
        <v>0</v>
      </c>
      <c r="O1658">
        <v>0</v>
      </c>
      <c r="P1658">
        <v>1</v>
      </c>
      <c r="Q1658">
        <v>0</v>
      </c>
    </row>
    <row r="1659" spans="1:17" x14ac:dyDescent="0.2">
      <c r="A1659" s="1" t="str">
        <f>HYPERLINK("http://www.twitter.com/Ugo_Roux/status/943896033435832320", "943896033435832320")</f>
        <v>943896033435832320</v>
      </c>
      <c r="B1659" t="s">
        <v>456</v>
      </c>
      <c r="C1659" s="3">
        <v>43090.728298611109</v>
      </c>
      <c r="D1659" t="s">
        <v>24</v>
      </c>
      <c r="E1659">
        <v>1</v>
      </c>
      <c r="F1659">
        <v>0</v>
      </c>
      <c r="G1659">
        <v>0</v>
      </c>
      <c r="I1659" t="s">
        <v>1696</v>
      </c>
      <c r="J1659" t="str">
        <f>HYPERLINK("http://pbs.twimg.com/media/DRlkP1NWkAA0lgu.jpg", "http://pbs.twimg.com/media/DRlkP1NWkAA0lgu.jpg")</f>
        <v>http://pbs.twimg.com/media/DRlkP1NWkAA0lgu.jpg</v>
      </c>
      <c r="N1659">
        <v>0</v>
      </c>
      <c r="O1659">
        <v>0</v>
      </c>
      <c r="P1659">
        <v>1</v>
      </c>
      <c r="Q1659">
        <v>0</v>
      </c>
    </row>
    <row r="1660" spans="1:17" x14ac:dyDescent="0.2">
      <c r="A1660" s="1" t="str">
        <f>HYPERLINK("http://www.twitter.com/Ugo_Roux/status/943487176662224896", "943487176662224896")</f>
        <v>943487176662224896</v>
      </c>
      <c r="B1660" t="s">
        <v>471</v>
      </c>
      <c r="C1660" s="3">
        <v>43089.600069444437</v>
      </c>
      <c r="D1660" s="3" t="s">
        <v>24</v>
      </c>
      <c r="E1660">
        <v>0</v>
      </c>
      <c r="F1660">
        <v>0</v>
      </c>
      <c r="G1660">
        <v>0</v>
      </c>
      <c r="I1660" t="s">
        <v>1697</v>
      </c>
      <c r="J1660" t="str">
        <f>HYPERLINK("http://pbs.twimg.com/media/DRfvoRHW0AI8VFm.jpg", "http://pbs.twimg.com/media/DRfvoRHW0AI8VFm.jpg")</f>
        <v>http://pbs.twimg.com/media/DRfvoRHW0AI8VFm.jpg</v>
      </c>
      <c r="N1660">
        <v>0</v>
      </c>
      <c r="O1660">
        <v>0</v>
      </c>
      <c r="P1660">
        <v>1</v>
      </c>
      <c r="Q1660">
        <v>0</v>
      </c>
    </row>
    <row r="1661" spans="1:17" x14ac:dyDescent="0.2">
      <c r="A1661" s="1" t="str">
        <f>HYPERLINK("http://www.twitter.com/Ugo_Roux/status/943405615644151808", "943405615644151808")</f>
        <v>943405615644151808</v>
      </c>
      <c r="B1661" t="s">
        <v>16</v>
      </c>
      <c r="C1661" s="3">
        <v>43089.375011574077</v>
      </c>
      <c r="D1661" s="3" t="s">
        <v>17</v>
      </c>
      <c r="E1661">
        <v>2</v>
      </c>
      <c r="F1661">
        <v>0</v>
      </c>
      <c r="G1661">
        <v>0</v>
      </c>
      <c r="I1661" t="s">
        <v>1698</v>
      </c>
      <c r="J1661" t="str">
        <f>HYPERLINK("http://pbs.twimg.com/media/DQB_yfRU8AEqjGl.jpg", "http://pbs.twimg.com/media/DQB_yfRU8AEqjGl.jpg")</f>
        <v>http://pbs.twimg.com/media/DQB_yfRU8AEqjGl.jpg</v>
      </c>
      <c r="N1661">
        <v>0</v>
      </c>
      <c r="O1661">
        <v>0</v>
      </c>
      <c r="P1661">
        <v>1</v>
      </c>
      <c r="Q1661">
        <v>0</v>
      </c>
    </row>
    <row r="1662" spans="1:17" x14ac:dyDescent="0.2">
      <c r="A1662" s="1" t="str">
        <f>HYPERLINK("http://www.twitter.com/Ugo_Roux/status/943063534556078080", "943063534556078080")</f>
        <v>943063534556078080</v>
      </c>
      <c r="B1662" t="s">
        <v>456</v>
      </c>
      <c r="C1662" s="3">
        <v>43088.431041666663</v>
      </c>
      <c r="D1662" t="s">
        <v>28</v>
      </c>
      <c r="E1662">
        <v>0</v>
      </c>
      <c r="F1662">
        <v>0</v>
      </c>
      <c r="G1662">
        <v>0</v>
      </c>
      <c r="I1662" t="s">
        <v>1699</v>
      </c>
      <c r="N1662">
        <v>0</v>
      </c>
      <c r="O1662">
        <v>0</v>
      </c>
      <c r="P1662">
        <v>1</v>
      </c>
      <c r="Q1662">
        <v>0</v>
      </c>
    </row>
    <row r="1663" spans="1:17" x14ac:dyDescent="0.2">
      <c r="A1663" s="1" t="str">
        <f>HYPERLINK("http://www.twitter.com/Ugo_Roux/status/942680839627796481", "942680839627796481")</f>
        <v>942680839627796481</v>
      </c>
      <c r="B1663" t="s">
        <v>16</v>
      </c>
      <c r="C1663" s="3">
        <v>43087.375</v>
      </c>
      <c r="D1663" s="3" t="s">
        <v>17</v>
      </c>
      <c r="E1663">
        <v>1</v>
      </c>
      <c r="F1663">
        <v>0</v>
      </c>
      <c r="G1663">
        <v>0</v>
      </c>
      <c r="I1663" t="s">
        <v>1700</v>
      </c>
      <c r="J1663" t="str">
        <f>HYPERLINK("http://pbs.twimg.com/media/DP9-IhDX4AAnkgl.jpg", "http://pbs.twimg.com/media/DP9-IhDX4AAnkgl.jpg")</f>
        <v>http://pbs.twimg.com/media/DP9-IhDX4AAnkgl.jpg</v>
      </c>
      <c r="N1663">
        <v>0</v>
      </c>
      <c r="O1663">
        <v>0</v>
      </c>
      <c r="P1663">
        <v>1</v>
      </c>
      <c r="Q1663">
        <v>0</v>
      </c>
    </row>
    <row r="1664" spans="1:17" x14ac:dyDescent="0.2">
      <c r="A1664" s="1" t="str">
        <f>HYPERLINK("http://www.twitter.com/Ugo_Roux/status/942025420286947328", "942025420286947328")</f>
        <v>942025420286947328</v>
      </c>
      <c r="B1664" t="s">
        <v>142</v>
      </c>
      <c r="C1664" s="3">
        <v>43085.566388888888</v>
      </c>
      <c r="D1664" s="5" t="s">
        <v>28</v>
      </c>
      <c r="E1664">
        <v>0</v>
      </c>
      <c r="F1664">
        <v>0</v>
      </c>
      <c r="G1664">
        <v>0</v>
      </c>
      <c r="I1664" t="s">
        <v>1701</v>
      </c>
      <c r="J1664" t="str">
        <f>HYPERLINK("http://pbs.twimg.com/media/DRK_H4pW0AIHwXp.jpg", "http://pbs.twimg.com/media/DRK_H4pW0AIHwXp.jpg")</f>
        <v>http://pbs.twimg.com/media/DRK_H4pW0AIHwXp.jpg</v>
      </c>
      <c r="N1664">
        <v>0</v>
      </c>
      <c r="O1664">
        <v>0</v>
      </c>
      <c r="P1664">
        <v>1</v>
      </c>
      <c r="Q1664">
        <v>0</v>
      </c>
    </row>
    <row r="1665" spans="1:17" x14ac:dyDescent="0.2">
      <c r="A1665" s="1" t="str">
        <f>HYPERLINK("http://www.twitter.com/Ugo_Roux/status/941964764196032513", "941964764196032513")</f>
        <v>941964764196032513</v>
      </c>
      <c r="B1665" t="s">
        <v>16</v>
      </c>
      <c r="C1665" s="3">
        <v>43085.399016203701</v>
      </c>
      <c r="D1665" s="3" t="s">
        <v>28</v>
      </c>
      <c r="E1665">
        <v>2</v>
      </c>
      <c r="F1665">
        <v>0</v>
      </c>
      <c r="G1665">
        <v>0</v>
      </c>
      <c r="I1665" t="s">
        <v>1702</v>
      </c>
      <c r="J1665" t="str">
        <f>HYPERLINK("http://pbs.twimg.com/media/DRKH03zXcAALqHK.jpg", "http://pbs.twimg.com/media/DRKH03zXcAALqHK.jpg")</f>
        <v>http://pbs.twimg.com/media/DRKH03zXcAALqHK.jpg</v>
      </c>
      <c r="N1665">
        <v>0</v>
      </c>
      <c r="O1665">
        <v>0</v>
      </c>
      <c r="P1665">
        <v>1</v>
      </c>
      <c r="Q1665">
        <v>0</v>
      </c>
    </row>
    <row r="1666" spans="1:17" x14ac:dyDescent="0.2">
      <c r="A1666" s="1" t="str">
        <f>HYPERLINK("http://www.twitter.com/Ugo_Roux/status/941632251376427008", "941632251376427008")</f>
        <v>941632251376427008</v>
      </c>
      <c r="B1666" t="s">
        <v>16</v>
      </c>
      <c r="C1666" s="3">
        <v>43084.481458333343</v>
      </c>
      <c r="D1666" s="3" t="s">
        <v>28</v>
      </c>
      <c r="E1666">
        <v>3</v>
      </c>
      <c r="F1666">
        <v>1</v>
      </c>
      <c r="G1666">
        <v>0</v>
      </c>
      <c r="I1666" t="s">
        <v>1703</v>
      </c>
      <c r="N1666">
        <v>0</v>
      </c>
      <c r="O1666">
        <v>0</v>
      </c>
      <c r="P1666">
        <v>1</v>
      </c>
      <c r="Q1666">
        <v>0</v>
      </c>
    </row>
    <row r="1667" spans="1:17" x14ac:dyDescent="0.2">
      <c r="A1667" s="1" t="str">
        <f>HYPERLINK("http://www.twitter.com/Ugo_Roux/status/941599122020356096", "941599122020356096")</f>
        <v>941599122020356096</v>
      </c>
      <c r="B1667" t="s">
        <v>142</v>
      </c>
      <c r="C1667" s="3">
        <v>43084.390034722222</v>
      </c>
      <c r="D1667" s="5" t="s">
        <v>41</v>
      </c>
      <c r="E1667">
        <v>5</v>
      </c>
      <c r="F1667">
        <v>2</v>
      </c>
      <c r="G1667">
        <v>0</v>
      </c>
      <c r="I1667" t="s">
        <v>1704</v>
      </c>
      <c r="J1667" t="str">
        <f>HYPERLINK("http://pbs.twimg.com/media/DRE7ZwjW0AEAap2.jpg", "http://pbs.twimg.com/media/DRE7ZwjW0AEAap2.jpg")</f>
        <v>http://pbs.twimg.com/media/DRE7ZwjW0AEAap2.jpg</v>
      </c>
      <c r="N1667">
        <v>0</v>
      </c>
      <c r="O1667">
        <v>0</v>
      </c>
      <c r="P1667">
        <v>1</v>
      </c>
      <c r="Q1667">
        <v>0</v>
      </c>
    </row>
    <row r="1668" spans="1:17" x14ac:dyDescent="0.2">
      <c r="A1668" s="1" t="str">
        <f>HYPERLINK("http://www.twitter.com/Ugo_Roux/status/940907942982881280", "940907942982881280")</f>
        <v>940907942982881280</v>
      </c>
      <c r="B1668" t="s">
        <v>370</v>
      </c>
      <c r="C1668" s="3">
        <v>43082.482743055552</v>
      </c>
      <c r="D1668" s="3" t="s">
        <v>625</v>
      </c>
      <c r="E1668">
        <v>0</v>
      </c>
      <c r="F1668">
        <v>0</v>
      </c>
      <c r="G1668">
        <v>0</v>
      </c>
      <c r="I1668" t="s">
        <v>1705</v>
      </c>
      <c r="J1668" t="str">
        <f>HYPERLINK("http://pbs.twimg.com/media/DQ7GyViUQAARd0c.jpg", "http://pbs.twimg.com/media/DQ7GyViUQAARd0c.jpg")</f>
        <v>http://pbs.twimg.com/media/DQ7GyViUQAARd0c.jpg</v>
      </c>
      <c r="N1668">
        <v>0</v>
      </c>
      <c r="O1668">
        <v>0</v>
      </c>
      <c r="P1668">
        <v>1</v>
      </c>
      <c r="Q1668">
        <v>0</v>
      </c>
    </row>
    <row r="1669" spans="1:17" x14ac:dyDescent="0.2">
      <c r="A1669" s="1" t="str">
        <f>HYPERLINK("http://www.twitter.com/Ugo_Roux/status/940879254144864256", "940879254144864256")</f>
        <v>940879254144864256</v>
      </c>
      <c r="B1669" t="s">
        <v>142</v>
      </c>
      <c r="C1669" s="3">
        <v>43082.40357638889</v>
      </c>
      <c r="D1669" s="5" t="s">
        <v>41</v>
      </c>
      <c r="E1669">
        <v>2</v>
      </c>
      <c r="F1669">
        <v>3</v>
      </c>
      <c r="G1669">
        <v>0</v>
      </c>
      <c r="I1669" t="s">
        <v>1706</v>
      </c>
      <c r="J1669" t="str">
        <f>HYPERLINK("http://pbs.twimg.com/media/DQ6ssYIW0AIidJN.jpg", "http://pbs.twimg.com/media/DQ6ssYIW0AIidJN.jpg")</f>
        <v>http://pbs.twimg.com/media/DQ6ssYIW0AIidJN.jpg</v>
      </c>
      <c r="K1669" t="str">
        <f>HYPERLINK("http://pbs.twimg.com/media/DQ6ssXYX0AIADCT.jpg", "http://pbs.twimg.com/media/DQ6ssXYX0AIADCT.jpg")</f>
        <v>http://pbs.twimg.com/media/DQ6ssXYX0AIADCT.jpg</v>
      </c>
      <c r="N1669">
        <v>0</v>
      </c>
      <c r="O1669">
        <v>0</v>
      </c>
      <c r="P1669">
        <v>1</v>
      </c>
      <c r="Q1669">
        <v>0</v>
      </c>
    </row>
    <row r="1670" spans="1:17" x14ac:dyDescent="0.2">
      <c r="A1670" s="1" t="str">
        <f>HYPERLINK("http://www.twitter.com/Ugo_Roux/status/940875505502441472", "940875505502441472")</f>
        <v>940875505502441472</v>
      </c>
      <c r="B1670" t="s">
        <v>456</v>
      </c>
      <c r="C1670" s="3">
        <v>43082.393229166657</v>
      </c>
      <c r="D1670" t="s">
        <v>28</v>
      </c>
      <c r="E1670">
        <v>0</v>
      </c>
      <c r="F1670">
        <v>1</v>
      </c>
      <c r="G1670">
        <v>0</v>
      </c>
      <c r="I1670" t="s">
        <v>1707</v>
      </c>
      <c r="J1670" t="str">
        <f>HYPERLINK("http://pbs.twimg.com/media/DQ6pKDaXUAcfpyk.jpg", "http://pbs.twimg.com/media/DQ6pKDaXUAcfpyk.jpg")</f>
        <v>http://pbs.twimg.com/media/DQ6pKDaXUAcfpyk.jpg</v>
      </c>
      <c r="N1670">
        <v>0</v>
      </c>
      <c r="O1670">
        <v>0</v>
      </c>
      <c r="P1670">
        <v>1</v>
      </c>
      <c r="Q1670">
        <v>0</v>
      </c>
    </row>
    <row r="1671" spans="1:17" x14ac:dyDescent="0.2">
      <c r="A1671" s="1" t="str">
        <f>HYPERLINK("http://www.twitter.com/Ugo_Roux/status/940870569012101121", "940870569012101121")</f>
        <v>940870569012101121</v>
      </c>
      <c r="B1671" t="s">
        <v>456</v>
      </c>
      <c r="C1671" s="3">
        <v>43082.379606481481</v>
      </c>
      <c r="D1671" t="s">
        <v>28</v>
      </c>
      <c r="E1671">
        <v>0</v>
      </c>
      <c r="F1671">
        <v>0</v>
      </c>
      <c r="G1671">
        <v>0</v>
      </c>
      <c r="I1671" t="s">
        <v>1708</v>
      </c>
      <c r="J1671" t="str">
        <f>HYPERLINK("http://pbs.twimg.com/media/DQ6kSSvXUAA771M.jpg", "http://pbs.twimg.com/media/DQ6kSSvXUAA771M.jpg")</f>
        <v>http://pbs.twimg.com/media/DQ6kSSvXUAA771M.jpg</v>
      </c>
      <c r="N1671">
        <v>0</v>
      </c>
      <c r="O1671">
        <v>0</v>
      </c>
      <c r="P1671">
        <v>1</v>
      </c>
      <c r="Q1671">
        <v>0</v>
      </c>
    </row>
    <row r="1672" spans="1:17" x14ac:dyDescent="0.2">
      <c r="A1672" s="1" t="str">
        <f>HYPERLINK("http://www.twitter.com/Ugo_Roux/status/940868907354558465", "940868907354558465")</f>
        <v>940868907354558465</v>
      </c>
      <c r="B1672" t="s">
        <v>16</v>
      </c>
      <c r="C1672" s="3">
        <v>43082.375023148154</v>
      </c>
      <c r="D1672" s="3" t="s">
        <v>17</v>
      </c>
      <c r="E1672">
        <v>4</v>
      </c>
      <c r="F1672">
        <v>0</v>
      </c>
      <c r="G1672">
        <v>0</v>
      </c>
      <c r="I1672" t="s">
        <v>1709</v>
      </c>
      <c r="J1672" t="str">
        <f>HYPERLINK("http://pbs.twimg.com/media/DP82EisWkAATd0v.jpg", "http://pbs.twimg.com/media/DP82EisWkAATd0v.jpg")</f>
        <v>http://pbs.twimg.com/media/DP82EisWkAATd0v.jpg</v>
      </c>
      <c r="N1672">
        <v>0</v>
      </c>
      <c r="O1672">
        <v>0</v>
      </c>
      <c r="P1672">
        <v>1</v>
      </c>
      <c r="Q1672">
        <v>0</v>
      </c>
    </row>
    <row r="1673" spans="1:17" x14ac:dyDescent="0.2">
      <c r="A1673" s="1" t="str">
        <f>HYPERLINK("http://www.twitter.com/Ugo_Roux/status/940533196931915777", "940533196931915777")</f>
        <v>940533196931915777</v>
      </c>
      <c r="B1673" t="s">
        <v>414</v>
      </c>
      <c r="C1673" s="3">
        <v>43081.448645833327</v>
      </c>
      <c r="D1673" s="5" t="s">
        <v>24</v>
      </c>
      <c r="E1673">
        <v>0</v>
      </c>
      <c r="F1673">
        <v>0</v>
      </c>
      <c r="G1673">
        <v>0</v>
      </c>
      <c r="I1673" t="s">
        <v>1710</v>
      </c>
      <c r="J1673" t="str">
        <f>HYPERLINK("http://pbs.twimg.com/media/DQ1x3l_X0AIchyC.jpg", "http://pbs.twimg.com/media/DQ1x3l_X0AIchyC.jpg")</f>
        <v>http://pbs.twimg.com/media/DQ1x3l_X0AIchyC.jpg</v>
      </c>
      <c r="N1673">
        <v>0</v>
      </c>
      <c r="O1673">
        <v>0</v>
      </c>
      <c r="P1673">
        <v>1</v>
      </c>
      <c r="Q1673">
        <v>0</v>
      </c>
    </row>
    <row r="1674" spans="1:17" x14ac:dyDescent="0.2">
      <c r="A1674" s="1" t="str">
        <f>HYPERLINK("http://www.twitter.com/Ugo_Roux/status/940521018812239872", "940521018812239872")</f>
        <v>940521018812239872</v>
      </c>
      <c r="B1674" t="s">
        <v>476</v>
      </c>
      <c r="C1674" s="3">
        <v>43081.415034722217</v>
      </c>
      <c r="D1674" s="5" t="s">
        <v>41</v>
      </c>
      <c r="E1674">
        <v>0</v>
      </c>
      <c r="F1674">
        <v>0</v>
      </c>
      <c r="G1674">
        <v>0</v>
      </c>
      <c r="I1674" t="s">
        <v>1711</v>
      </c>
      <c r="J1674" t="str">
        <f>HYPERLINK("http://pbs.twimg.com/media/DQ1mU7qXUAEZ_Ip.jpg", "http://pbs.twimg.com/media/DQ1mU7qXUAEZ_Ip.jpg")</f>
        <v>http://pbs.twimg.com/media/DQ1mU7qXUAEZ_Ip.jpg</v>
      </c>
      <c r="K1674" t="str">
        <f>HYPERLINK("http://pbs.twimg.com/media/DQ1mU7EW4AAJkCS.jpg", "http://pbs.twimg.com/media/DQ1mU7EW4AAJkCS.jpg")</f>
        <v>http://pbs.twimg.com/media/DQ1mU7EW4AAJkCS.jpg</v>
      </c>
      <c r="L1674" t="str">
        <f>HYPERLINK("http://pbs.twimg.com/media/DQ1mU7YXUAAR0Du.jpg", "http://pbs.twimg.com/media/DQ1mU7YXUAAR0Du.jpg")</f>
        <v>http://pbs.twimg.com/media/DQ1mU7YXUAAR0Du.jpg</v>
      </c>
      <c r="N1674">
        <v>0.45879999999999999</v>
      </c>
      <c r="O1674">
        <v>0</v>
      </c>
      <c r="P1674">
        <v>0.88900000000000001</v>
      </c>
      <c r="Q1674">
        <v>0.111</v>
      </c>
    </row>
    <row r="1675" spans="1:17" x14ac:dyDescent="0.2">
      <c r="A1675" s="1" t="str">
        <f>HYPERLINK("http://www.twitter.com/Ugo_Roux/status/940496639369900032", "940496639369900032")</f>
        <v>940496639369900032</v>
      </c>
      <c r="B1675" t="s">
        <v>285</v>
      </c>
      <c r="C1675" s="3">
        <v>43081.347766203697</v>
      </c>
      <c r="D1675" s="5" t="s">
        <v>28</v>
      </c>
      <c r="E1675">
        <v>0</v>
      </c>
      <c r="F1675">
        <v>1</v>
      </c>
      <c r="G1675">
        <v>0</v>
      </c>
      <c r="I1675" t="s">
        <v>1712</v>
      </c>
      <c r="J1675" t="str">
        <f>HYPERLINK("http://pbs.twimg.com/media/DQ1Qq-fX0AEN8r4.jpg", "http://pbs.twimg.com/media/DQ1Qq-fX0AEN8r4.jpg")</f>
        <v>http://pbs.twimg.com/media/DQ1Qq-fX0AEN8r4.jpg</v>
      </c>
      <c r="N1675">
        <v>0</v>
      </c>
      <c r="O1675">
        <v>0</v>
      </c>
      <c r="P1675">
        <v>1</v>
      </c>
      <c r="Q1675">
        <v>0</v>
      </c>
    </row>
    <row r="1676" spans="1:17" x14ac:dyDescent="0.2">
      <c r="A1676" s="1" t="str">
        <f>HYPERLINK("http://www.twitter.com/Ugo_Roux/status/940149932933242880", "940149932933242880")</f>
        <v>940149932933242880</v>
      </c>
      <c r="B1676" t="s">
        <v>142</v>
      </c>
      <c r="C1676" s="3">
        <v>43080.391030092593</v>
      </c>
      <c r="D1676" s="5" t="s">
        <v>41</v>
      </c>
      <c r="E1676">
        <v>1</v>
      </c>
      <c r="F1676">
        <v>3</v>
      </c>
      <c r="G1676">
        <v>0</v>
      </c>
      <c r="I1676" t="s">
        <v>1713</v>
      </c>
      <c r="J1676" t="str">
        <f>HYPERLINK("http://pbs.twimg.com/media/DQwVX7QUEAASQ7j.jpg", "http://pbs.twimg.com/media/DQwVX7QUEAASQ7j.jpg")</f>
        <v>http://pbs.twimg.com/media/DQwVX7QUEAASQ7j.jpg</v>
      </c>
      <c r="N1676">
        <v>0</v>
      </c>
      <c r="O1676">
        <v>0</v>
      </c>
      <c r="P1676">
        <v>1</v>
      </c>
      <c r="Q1676">
        <v>0</v>
      </c>
    </row>
    <row r="1677" spans="1:17" x14ac:dyDescent="0.2">
      <c r="A1677" s="1" t="str">
        <f>HYPERLINK("http://www.twitter.com/Ugo_Roux/status/939429874267287552", "939429874267287552")</f>
        <v>939429874267287552</v>
      </c>
      <c r="B1677" t="s">
        <v>16</v>
      </c>
      <c r="C1677" s="3">
        <v>43078.404050925928</v>
      </c>
      <c r="D1677" s="3" t="s">
        <v>24</v>
      </c>
      <c r="E1677">
        <v>0</v>
      </c>
      <c r="F1677">
        <v>0</v>
      </c>
      <c r="G1677">
        <v>0</v>
      </c>
      <c r="I1677" t="s">
        <v>1714</v>
      </c>
      <c r="N1677">
        <v>0</v>
      </c>
      <c r="O1677">
        <v>0</v>
      </c>
      <c r="P1677">
        <v>1</v>
      </c>
      <c r="Q1677">
        <v>0</v>
      </c>
    </row>
    <row r="1678" spans="1:17" x14ac:dyDescent="0.2">
      <c r="A1678" s="1" t="str">
        <f>HYPERLINK("http://www.twitter.com/Ugo_Roux/status/939411073492574208", "939411073492574208")</f>
        <v>939411073492574208</v>
      </c>
      <c r="B1678" t="s">
        <v>456</v>
      </c>
      <c r="C1678" s="3">
        <v>43078.352164351847</v>
      </c>
      <c r="D1678" t="s">
        <v>28</v>
      </c>
      <c r="E1678">
        <v>1</v>
      </c>
      <c r="F1678">
        <v>0</v>
      </c>
      <c r="G1678">
        <v>0</v>
      </c>
      <c r="I1678" t="s">
        <v>1715</v>
      </c>
      <c r="J1678" t="str">
        <f>HYPERLINK("http://pbs.twimg.com/media/DQl0bIaWAAArvIb.jpg", "http://pbs.twimg.com/media/DQl0bIaWAAArvIb.jpg")</f>
        <v>http://pbs.twimg.com/media/DQl0bIaWAAArvIb.jpg</v>
      </c>
      <c r="N1678">
        <v>0</v>
      </c>
      <c r="O1678">
        <v>0</v>
      </c>
      <c r="P1678">
        <v>1</v>
      </c>
      <c r="Q1678">
        <v>0</v>
      </c>
    </row>
    <row r="1679" spans="1:17" x14ac:dyDescent="0.2">
      <c r="A1679" s="1" t="str">
        <f>HYPERLINK("http://www.twitter.com/Ugo_Roux/status/939171198122057729", "939171198122057729")</f>
        <v>939171198122057729</v>
      </c>
      <c r="B1679" t="s">
        <v>142</v>
      </c>
      <c r="C1679" s="3">
        <v>43077.690243055556</v>
      </c>
      <c r="D1679" s="5" t="s">
        <v>17</v>
      </c>
      <c r="E1679">
        <v>0</v>
      </c>
      <c r="F1679">
        <v>0</v>
      </c>
      <c r="G1679">
        <v>0</v>
      </c>
      <c r="I1679" t="s">
        <v>1716</v>
      </c>
      <c r="N1679">
        <v>0</v>
      </c>
      <c r="O1679">
        <v>0</v>
      </c>
      <c r="P1679">
        <v>1</v>
      </c>
      <c r="Q1679">
        <v>0</v>
      </c>
    </row>
    <row r="1680" spans="1:17" x14ac:dyDescent="0.2">
      <c r="A1680" s="1" t="str">
        <f>HYPERLINK("http://www.twitter.com/Ugo_Roux/status/939030750069846017", "939030750069846017")</f>
        <v>939030750069846017</v>
      </c>
      <c r="B1680" t="s">
        <v>285</v>
      </c>
      <c r="C1680" s="3">
        <v>43077.302673611113</v>
      </c>
      <c r="D1680" s="5" t="s">
        <v>17</v>
      </c>
      <c r="E1680">
        <v>1</v>
      </c>
      <c r="F1680">
        <v>0</v>
      </c>
      <c r="G1680">
        <v>0</v>
      </c>
      <c r="I1680" t="s">
        <v>1717</v>
      </c>
      <c r="J1680" t="str">
        <f>HYPERLINK("http://pbs.twimg.com/media/DQgbQXHUIAEO3dt.jpg", "http://pbs.twimg.com/media/DQgbQXHUIAEO3dt.jpg")</f>
        <v>http://pbs.twimg.com/media/DQgbQXHUIAEO3dt.jpg</v>
      </c>
      <c r="N1680">
        <v>0</v>
      </c>
      <c r="O1680">
        <v>0</v>
      </c>
      <c r="P1680">
        <v>1</v>
      </c>
      <c r="Q1680">
        <v>0</v>
      </c>
    </row>
    <row r="1681" spans="1:17" x14ac:dyDescent="0.2">
      <c r="A1681" s="1" t="str">
        <f>HYPERLINK("http://www.twitter.com/Ugo_Roux/status/938670703032840192", "938670703032840192")</f>
        <v>938670703032840192</v>
      </c>
      <c r="B1681" t="s">
        <v>285</v>
      </c>
      <c r="C1681" s="3">
        <v>43076.309131944443</v>
      </c>
      <c r="D1681" s="5" t="s">
        <v>17</v>
      </c>
      <c r="E1681">
        <v>0</v>
      </c>
      <c r="F1681">
        <v>0</v>
      </c>
      <c r="G1681">
        <v>0</v>
      </c>
      <c r="I1681" t="s">
        <v>1718</v>
      </c>
      <c r="J1681" t="str">
        <f>HYPERLINK("http://pbs.twimg.com/media/DQbUBVTU8AAGaxP.jpg", "http://pbs.twimg.com/media/DQbUBVTU8AAGaxP.jpg")</f>
        <v>http://pbs.twimg.com/media/DQbUBVTU8AAGaxP.jpg</v>
      </c>
      <c r="N1681">
        <v>0.45879999999999999</v>
      </c>
      <c r="O1681">
        <v>0</v>
      </c>
      <c r="P1681">
        <v>0.88900000000000001</v>
      </c>
      <c r="Q1681">
        <v>0.111</v>
      </c>
    </row>
    <row r="1682" spans="1:17" x14ac:dyDescent="0.2">
      <c r="A1682" s="1" t="str">
        <f>HYPERLINK("http://www.twitter.com/Ugo_Roux/status/938451386760617985", "938451386760617985")</f>
        <v>938451386760617985</v>
      </c>
      <c r="B1682" t="s">
        <v>142</v>
      </c>
      <c r="C1682" s="3">
        <v>43075.703935185193</v>
      </c>
      <c r="D1682" s="5" t="s">
        <v>17</v>
      </c>
      <c r="E1682">
        <v>0</v>
      </c>
      <c r="F1682">
        <v>1</v>
      </c>
      <c r="G1682">
        <v>0</v>
      </c>
      <c r="I1682" t="s">
        <v>1719</v>
      </c>
      <c r="J1682" t="str">
        <f>HYPERLINK("http://pbs.twimg.com/media/DQYMjugX4AEhV1v.jpg", "http://pbs.twimg.com/media/DQYMjugX4AEhV1v.jpg")</f>
        <v>http://pbs.twimg.com/media/DQYMjugX4AEhV1v.jpg</v>
      </c>
      <c r="N1682">
        <v>-0.29599999999999999</v>
      </c>
      <c r="O1682">
        <v>0.121</v>
      </c>
      <c r="P1682">
        <v>0.879</v>
      </c>
      <c r="Q1682">
        <v>0</v>
      </c>
    </row>
    <row r="1683" spans="1:17" x14ac:dyDescent="0.2">
      <c r="A1683" s="1" t="str">
        <f>HYPERLINK("http://www.twitter.com/Ugo_Roux/status/938438428089356290", "938438428089356290")</f>
        <v>938438428089356290</v>
      </c>
      <c r="B1683" t="s">
        <v>97</v>
      </c>
      <c r="C1683" s="3">
        <v>43075.668182870373</v>
      </c>
      <c r="D1683" s="5" t="s">
        <v>41</v>
      </c>
      <c r="E1683">
        <v>0</v>
      </c>
      <c r="F1683">
        <v>0</v>
      </c>
      <c r="G1683">
        <v>0</v>
      </c>
      <c r="I1683" t="s">
        <v>1720</v>
      </c>
      <c r="J1683" t="str">
        <f>HYPERLINK("http://pbs.twimg.com/media/DQYAxpSV4AAA1P9.jpg", "http://pbs.twimg.com/media/DQYAxpSV4AAA1P9.jpg")</f>
        <v>http://pbs.twimg.com/media/DQYAxpSV4AAA1P9.jpg</v>
      </c>
      <c r="N1683">
        <v>0</v>
      </c>
      <c r="O1683">
        <v>0</v>
      </c>
      <c r="P1683">
        <v>1</v>
      </c>
      <c r="Q1683">
        <v>0</v>
      </c>
    </row>
    <row r="1684" spans="1:17" x14ac:dyDescent="0.2">
      <c r="A1684" s="1" t="str">
        <f>HYPERLINK("http://www.twitter.com/Ugo_Roux/status/938421019517358081", "938421019517358081")</f>
        <v>938421019517358081</v>
      </c>
      <c r="B1684" t="s">
        <v>456</v>
      </c>
      <c r="C1684" s="3">
        <v>43075.620138888888</v>
      </c>
      <c r="D1684" t="s">
        <v>28</v>
      </c>
      <c r="E1684">
        <v>0</v>
      </c>
      <c r="F1684">
        <v>0</v>
      </c>
      <c r="G1684">
        <v>0</v>
      </c>
      <c r="I1684" t="s">
        <v>1721</v>
      </c>
      <c r="J1684" t="str">
        <f>HYPERLINK("http://pbs.twimg.com/media/DQXv9lMW0AAbX39.jpg", "http://pbs.twimg.com/media/DQXv9lMW0AAbX39.jpg")</f>
        <v>http://pbs.twimg.com/media/DQXv9lMW0AAbX39.jpg</v>
      </c>
      <c r="N1684">
        <v>0</v>
      </c>
      <c r="O1684">
        <v>0</v>
      </c>
      <c r="P1684">
        <v>1</v>
      </c>
      <c r="Q1684">
        <v>0</v>
      </c>
    </row>
    <row r="1685" spans="1:17" x14ac:dyDescent="0.2">
      <c r="A1685" s="1" t="str">
        <f>HYPERLINK("http://www.twitter.com/Ugo_Roux/status/938420982531883009", "938420982531883009")</f>
        <v>938420982531883009</v>
      </c>
      <c r="B1685" t="s">
        <v>16</v>
      </c>
      <c r="C1685" s="3">
        <v>43075.620034722233</v>
      </c>
      <c r="D1685" s="3" t="s">
        <v>17</v>
      </c>
      <c r="E1685">
        <v>0</v>
      </c>
      <c r="F1685">
        <v>0</v>
      </c>
      <c r="G1685">
        <v>0</v>
      </c>
      <c r="I1685" t="s">
        <v>1722</v>
      </c>
      <c r="N1685">
        <v>0</v>
      </c>
      <c r="O1685">
        <v>0</v>
      </c>
      <c r="P1685">
        <v>1</v>
      </c>
      <c r="Q1685">
        <v>0</v>
      </c>
    </row>
    <row r="1686" spans="1:17" x14ac:dyDescent="0.2">
      <c r="A1686" s="1" t="str">
        <f>HYPERLINK("http://www.twitter.com/Ugo_Roux/status/938335321896509440", "938335321896509440")</f>
        <v>938335321896509440</v>
      </c>
      <c r="B1686" t="s">
        <v>471</v>
      </c>
      <c r="C1686" s="3">
        <v>43075.383657407408</v>
      </c>
      <c r="D1686" s="3" t="s">
        <v>28</v>
      </c>
      <c r="E1686">
        <v>0</v>
      </c>
      <c r="F1686">
        <v>1</v>
      </c>
      <c r="G1686">
        <v>0</v>
      </c>
      <c r="I1686" t="s">
        <v>1723</v>
      </c>
      <c r="J1686" t="str">
        <f>HYPERLINK("http://pbs.twimg.com/media/DQWi_QEXkAEIy5N.jpg", "http://pbs.twimg.com/media/DQWi_QEXkAEIy5N.jpg")</f>
        <v>http://pbs.twimg.com/media/DQWi_QEXkAEIy5N.jpg</v>
      </c>
      <c r="N1686">
        <v>0</v>
      </c>
      <c r="O1686">
        <v>0</v>
      </c>
      <c r="P1686">
        <v>1</v>
      </c>
      <c r="Q1686">
        <v>0</v>
      </c>
    </row>
    <row r="1687" spans="1:17" x14ac:dyDescent="0.2">
      <c r="A1687" s="1" t="str">
        <f>HYPERLINK("http://www.twitter.com/Ugo_Roux/status/937994550513201152", "937994550513201152")</f>
        <v>937994550513201152</v>
      </c>
      <c r="B1687" t="s">
        <v>456</v>
      </c>
      <c r="C1687" s="3">
        <v>43074.443310185183</v>
      </c>
      <c r="D1687" t="s">
        <v>28</v>
      </c>
      <c r="E1687">
        <v>1</v>
      </c>
      <c r="F1687">
        <v>1</v>
      </c>
      <c r="G1687">
        <v>0</v>
      </c>
      <c r="I1687" t="s">
        <v>1724</v>
      </c>
      <c r="J1687" t="str">
        <f>HYPERLINK("http://pbs.twimg.com/media/DQRshPGWAAEteyc.jpg", "http://pbs.twimg.com/media/DQRshPGWAAEteyc.jpg")</f>
        <v>http://pbs.twimg.com/media/DQRshPGWAAEteyc.jpg</v>
      </c>
      <c r="N1687">
        <v>0.38179999999999997</v>
      </c>
      <c r="O1687">
        <v>0</v>
      </c>
      <c r="P1687">
        <v>0.91500000000000004</v>
      </c>
      <c r="Q1687">
        <v>8.5000000000000006E-2</v>
      </c>
    </row>
    <row r="1688" spans="1:17" x14ac:dyDescent="0.2">
      <c r="A1688" s="1" t="str">
        <f>HYPERLINK("http://www.twitter.com/Ugo_Roux/status/937986490692440064", "937986490692440064")</f>
        <v>937986490692440064</v>
      </c>
      <c r="B1688" t="s">
        <v>456</v>
      </c>
      <c r="C1688" s="3">
        <v>43074.421064814807</v>
      </c>
      <c r="D1688" t="s">
        <v>28</v>
      </c>
      <c r="E1688">
        <v>0</v>
      </c>
      <c r="F1688">
        <v>0</v>
      </c>
      <c r="G1688">
        <v>0</v>
      </c>
      <c r="I1688" t="s">
        <v>1725</v>
      </c>
      <c r="J1688" t="str">
        <f>HYPERLINK("http://pbs.twimg.com/media/DQRlKL1WsAEHuwk.jpg", "http://pbs.twimg.com/media/DQRlKL1WsAEHuwk.jpg")</f>
        <v>http://pbs.twimg.com/media/DQRlKL1WsAEHuwk.jpg</v>
      </c>
      <c r="N1688">
        <v>0</v>
      </c>
      <c r="O1688">
        <v>0</v>
      </c>
      <c r="P1688">
        <v>1</v>
      </c>
      <c r="Q1688">
        <v>0</v>
      </c>
    </row>
    <row r="1689" spans="1:17" x14ac:dyDescent="0.2">
      <c r="A1689" s="1" t="str">
        <f>HYPERLINK("http://www.twitter.com/Ugo_Roux/status/937984587761967107", "937984587761967107")</f>
        <v>937984587761967107</v>
      </c>
      <c r="B1689" t="s">
        <v>16</v>
      </c>
      <c r="C1689" s="3">
        <v>43074.415821759263</v>
      </c>
      <c r="D1689" s="3" t="s">
        <v>41</v>
      </c>
      <c r="E1689">
        <v>1</v>
      </c>
      <c r="F1689">
        <v>0</v>
      </c>
      <c r="G1689">
        <v>0</v>
      </c>
      <c r="I1689" t="s">
        <v>1726</v>
      </c>
      <c r="J1689" t="str">
        <f>HYPERLINK("http://pbs.twimg.com/media/DQRj3m6X0AAnGqq.jpg", "http://pbs.twimg.com/media/DQRj3m6X0AAnGqq.jpg")</f>
        <v>http://pbs.twimg.com/media/DQRj3m6X0AAnGqq.jpg</v>
      </c>
      <c r="N1689">
        <v>0.50929999999999997</v>
      </c>
      <c r="O1689">
        <v>0</v>
      </c>
      <c r="P1689">
        <v>0.91200000000000003</v>
      </c>
      <c r="Q1689">
        <v>8.7999999999999995E-2</v>
      </c>
    </row>
    <row r="1690" spans="1:17" x14ac:dyDescent="0.2">
      <c r="A1690" s="1" t="str">
        <f>HYPERLINK("http://www.twitter.com/Ugo_Roux/status/937979004283387904", "937979004283387904")</f>
        <v>937979004283387904</v>
      </c>
      <c r="B1690" t="s">
        <v>414</v>
      </c>
      <c r="C1690" s="3">
        <v>43074.400416666656</v>
      </c>
      <c r="D1690" s="5" t="s">
        <v>28</v>
      </c>
      <c r="E1690">
        <v>0</v>
      </c>
      <c r="F1690">
        <v>0</v>
      </c>
      <c r="G1690">
        <v>0</v>
      </c>
      <c r="I1690" t="s">
        <v>1727</v>
      </c>
      <c r="J1690" t="str">
        <f>HYPERLINK("http://pbs.twimg.com/media/DQRe7EWWkAAN2av.jpg", "http://pbs.twimg.com/media/DQRe7EWWkAAN2av.jpg")</f>
        <v>http://pbs.twimg.com/media/DQRe7EWWkAAN2av.jpg</v>
      </c>
      <c r="N1690">
        <v>0</v>
      </c>
      <c r="O1690">
        <v>0</v>
      </c>
      <c r="P1690">
        <v>1</v>
      </c>
      <c r="Q1690">
        <v>0</v>
      </c>
    </row>
    <row r="1691" spans="1:17" x14ac:dyDescent="0.2">
      <c r="A1691" s="1" t="str">
        <f>HYPERLINK("http://www.twitter.com/Ugo_Roux/status/937969799728128000", "937969799728128000")</f>
        <v>937969799728128000</v>
      </c>
      <c r="B1691" t="s">
        <v>16</v>
      </c>
      <c r="C1691" s="3">
        <v>43074.375011574077</v>
      </c>
      <c r="D1691" s="3" t="s">
        <v>17</v>
      </c>
      <c r="E1691">
        <v>3</v>
      </c>
      <c r="F1691">
        <v>0</v>
      </c>
      <c r="G1691">
        <v>0</v>
      </c>
      <c r="I1691" t="s">
        <v>1728</v>
      </c>
      <c r="J1691" t="str">
        <f>HYPERLINK("http://pbs.twimg.com/media/DP4Cf4OW0AAQk8D.jpg", "http://pbs.twimg.com/media/DP4Cf4OW0AAQk8D.jpg")</f>
        <v>http://pbs.twimg.com/media/DP4Cf4OW0AAQk8D.jpg</v>
      </c>
      <c r="N1691">
        <v>0.126</v>
      </c>
      <c r="O1691">
        <v>0</v>
      </c>
      <c r="P1691">
        <v>0.95499999999999996</v>
      </c>
      <c r="Q1691">
        <v>4.4999999999999998E-2</v>
      </c>
    </row>
    <row r="1692" spans="1:17" x14ac:dyDescent="0.2">
      <c r="A1692" s="1" t="str">
        <f>HYPERLINK("http://www.twitter.com/Ugo_Roux/status/936919628458049538", "936919628458049538")</f>
        <v>936919628458049538</v>
      </c>
      <c r="B1692" t="s">
        <v>16</v>
      </c>
      <c r="C1692" s="3">
        <v>43071.477094907408</v>
      </c>
      <c r="D1692" s="3" t="s">
        <v>17</v>
      </c>
      <c r="E1692">
        <v>0</v>
      </c>
      <c r="F1692">
        <v>0</v>
      </c>
      <c r="G1692">
        <v>0</v>
      </c>
      <c r="I1692" t="s">
        <v>1729</v>
      </c>
      <c r="J1692" t="str">
        <f>HYPERLINK("http://pbs.twimg.com/media/DQCJUOoVQAAnFqu.jpg", "http://pbs.twimg.com/media/DQCJUOoVQAAnFqu.jpg")</f>
        <v>http://pbs.twimg.com/media/DQCJUOoVQAAnFqu.jpg</v>
      </c>
      <c r="N1692">
        <v>0</v>
      </c>
      <c r="O1692">
        <v>0</v>
      </c>
      <c r="P1692">
        <v>1</v>
      </c>
      <c r="Q1692">
        <v>0</v>
      </c>
    </row>
    <row r="1693" spans="1:17" x14ac:dyDescent="0.2">
      <c r="A1693" s="1" t="str">
        <f>HYPERLINK("http://www.twitter.com/Ugo_Roux/status/936916319139651584", "936916319139651584")</f>
        <v>936916319139651584</v>
      </c>
      <c r="B1693" t="s">
        <v>130</v>
      </c>
      <c r="C1693" s="3">
        <v>43071.467962962961</v>
      </c>
      <c r="D1693" s="5" t="s">
        <v>41</v>
      </c>
      <c r="E1693">
        <v>0</v>
      </c>
      <c r="F1693">
        <v>0</v>
      </c>
      <c r="G1693">
        <v>0</v>
      </c>
      <c r="I1693" t="s">
        <v>1730</v>
      </c>
      <c r="N1693">
        <v>0</v>
      </c>
      <c r="O1693">
        <v>0</v>
      </c>
      <c r="P1693">
        <v>1</v>
      </c>
      <c r="Q1693">
        <v>0</v>
      </c>
    </row>
    <row r="1694" spans="1:17" x14ac:dyDescent="0.2">
      <c r="A1694" s="1" t="str">
        <f>HYPERLINK("http://www.twitter.com/Ugo_Roux/status/936893453165912064", "936893453165912064")</f>
        <v>936893453165912064</v>
      </c>
      <c r="B1694" t="s">
        <v>16</v>
      </c>
      <c r="C1694" s="3">
        <v>43071.404861111107</v>
      </c>
      <c r="D1694" s="3" t="s">
        <v>17</v>
      </c>
      <c r="E1694">
        <v>8</v>
      </c>
      <c r="F1694">
        <v>2</v>
      </c>
      <c r="G1694">
        <v>0</v>
      </c>
      <c r="I1694" t="s">
        <v>1731</v>
      </c>
      <c r="J1694" t="str">
        <f>HYPERLINK("http://pbs.twimg.com/media/DP35stSW4AAg8Kn.jpg", "http://pbs.twimg.com/media/DP35stSW4AAg8Kn.jpg")</f>
        <v>http://pbs.twimg.com/media/DP35stSW4AAg8Kn.jpg</v>
      </c>
      <c r="N1694">
        <v>0</v>
      </c>
      <c r="O1694">
        <v>0</v>
      </c>
      <c r="P1694">
        <v>1</v>
      </c>
      <c r="Q1694">
        <v>0</v>
      </c>
    </row>
    <row r="1695" spans="1:17" x14ac:dyDescent="0.2">
      <c r="A1695" s="1" t="str">
        <f>HYPERLINK("http://www.twitter.com/Ugo_Roux/status/936644857912799232", "936644857912799232")</f>
        <v>936644857912799232</v>
      </c>
      <c r="B1695" t="s">
        <v>456</v>
      </c>
      <c r="C1695" s="3">
        <v>43070.718865740739</v>
      </c>
      <c r="D1695" t="s">
        <v>17</v>
      </c>
      <c r="E1695">
        <v>0</v>
      </c>
      <c r="F1695">
        <v>0</v>
      </c>
      <c r="G1695">
        <v>0</v>
      </c>
      <c r="I1695" t="s">
        <v>1732</v>
      </c>
      <c r="J1695" t="str">
        <f>HYPERLINK("http://pbs.twimg.com/media/DP-g9iaX0AMp7Qv.jpg", "http://pbs.twimg.com/media/DP-g9iaX0AMp7Qv.jpg")</f>
        <v>http://pbs.twimg.com/media/DP-g9iaX0AMp7Qv.jpg</v>
      </c>
      <c r="N1695">
        <v>0</v>
      </c>
      <c r="O1695">
        <v>0</v>
      </c>
      <c r="P1695">
        <v>1</v>
      </c>
      <c r="Q1695">
        <v>0</v>
      </c>
    </row>
    <row r="1696" spans="1:17" x14ac:dyDescent="0.2">
      <c r="A1696" s="1" t="str">
        <f>HYPERLINK("http://www.twitter.com/Ugo_Roux/status/936593103665991681", "936593103665991681")</f>
        <v>936593103665991681</v>
      </c>
      <c r="B1696" t="s">
        <v>476</v>
      </c>
      <c r="C1696" s="3">
        <v>43070.576053240737</v>
      </c>
      <c r="D1696" s="5" t="s">
        <v>28</v>
      </c>
      <c r="E1696">
        <v>1</v>
      </c>
      <c r="F1696">
        <v>0</v>
      </c>
      <c r="G1696">
        <v>0</v>
      </c>
      <c r="I1696" t="s">
        <v>1733</v>
      </c>
      <c r="N1696">
        <v>-0.20030000000000001</v>
      </c>
      <c r="O1696">
        <v>4.2000000000000003E-2</v>
      </c>
      <c r="P1696">
        <v>0.95799999999999996</v>
      </c>
      <c r="Q1696">
        <v>0</v>
      </c>
    </row>
    <row r="1697" spans="1:17" x14ac:dyDescent="0.2">
      <c r="A1697" s="1" t="str">
        <f>HYPERLINK("http://www.twitter.com/Ugo_Roux/status/936518127759843328", "936518127759843328")</f>
        <v>936518127759843328</v>
      </c>
      <c r="B1697" t="s">
        <v>16</v>
      </c>
      <c r="C1697" s="3">
        <v>43070.369155092587</v>
      </c>
      <c r="D1697" s="3" t="s">
        <v>41</v>
      </c>
      <c r="E1697">
        <v>2</v>
      </c>
      <c r="F1697">
        <v>0</v>
      </c>
      <c r="G1697">
        <v>0</v>
      </c>
      <c r="I1697" t="s">
        <v>1734</v>
      </c>
      <c r="J1697" t="str">
        <f>HYPERLINK("http://pbs.twimg.com/media/DP8uQ4IWsAAZI4s.jpg", "http://pbs.twimg.com/media/DP8uQ4IWsAAZI4s.jpg")</f>
        <v>http://pbs.twimg.com/media/DP8uQ4IWsAAZI4s.jpg</v>
      </c>
      <c r="N1697">
        <v>0</v>
      </c>
      <c r="O1697">
        <v>0</v>
      </c>
      <c r="P1697">
        <v>1</v>
      </c>
      <c r="Q1697">
        <v>0</v>
      </c>
    </row>
    <row r="1698" spans="1:17" x14ac:dyDescent="0.2">
      <c r="A1698" s="1" t="str">
        <f>HYPERLINK("http://www.twitter.com/Ugo_Roux/status/936137939066736640", "936137939066736640")</f>
        <v>936137939066736640</v>
      </c>
      <c r="B1698" t="s">
        <v>142</v>
      </c>
      <c r="C1698" s="3">
        <v>43069.320034722223</v>
      </c>
      <c r="D1698" s="5" t="s">
        <v>28</v>
      </c>
      <c r="E1698">
        <v>2</v>
      </c>
      <c r="F1698">
        <v>1</v>
      </c>
      <c r="G1698">
        <v>0</v>
      </c>
      <c r="I1698" t="s">
        <v>1735</v>
      </c>
      <c r="N1698">
        <v>0</v>
      </c>
      <c r="O1698">
        <v>0</v>
      </c>
      <c r="P1698">
        <v>1</v>
      </c>
      <c r="Q1698">
        <v>0</v>
      </c>
    </row>
    <row r="1699" spans="1:17" x14ac:dyDescent="0.2">
      <c r="A1699" s="1" t="str">
        <f>HYPERLINK("http://www.twitter.com/Ugo_Roux/status/936132715275005953", "936132715275005953")</f>
        <v>936132715275005953</v>
      </c>
      <c r="B1699" t="s">
        <v>285</v>
      </c>
      <c r="C1699" s="3">
        <v>43069.305625000001</v>
      </c>
      <c r="D1699" s="5" t="s">
        <v>17</v>
      </c>
      <c r="E1699">
        <v>0</v>
      </c>
      <c r="F1699">
        <v>0</v>
      </c>
      <c r="G1699">
        <v>0</v>
      </c>
      <c r="I1699" t="s">
        <v>1736</v>
      </c>
      <c r="J1699" t="str">
        <f>HYPERLINK("http://pbs.twimg.com/media/DP3PikNWsAAA1XN.jpg", "http://pbs.twimg.com/media/DP3PikNWsAAA1XN.jpg")</f>
        <v>http://pbs.twimg.com/media/DP3PikNWsAAA1XN.jpg</v>
      </c>
      <c r="N1699">
        <v>0.45879999999999999</v>
      </c>
      <c r="O1699">
        <v>0</v>
      </c>
      <c r="P1699">
        <v>0.83299999999999996</v>
      </c>
      <c r="Q1699">
        <v>0.16700000000000001</v>
      </c>
    </row>
    <row r="1700" spans="1:17" x14ac:dyDescent="0.2">
      <c r="A1700" s="1" t="str">
        <f>HYPERLINK("http://www.twitter.com/Ugo_Roux/status/935857244100550656", "935857244100550656")</f>
        <v>935857244100550656</v>
      </c>
      <c r="B1700" t="s">
        <v>456</v>
      </c>
      <c r="C1700" s="3">
        <v>43068.545474537037</v>
      </c>
      <c r="D1700" t="s">
        <v>1187</v>
      </c>
      <c r="E1700">
        <v>3</v>
      </c>
      <c r="F1700">
        <v>0</v>
      </c>
      <c r="G1700">
        <v>0</v>
      </c>
      <c r="I1700" t="s">
        <v>1737</v>
      </c>
      <c r="N1700">
        <v>0.31819999999999998</v>
      </c>
      <c r="O1700">
        <v>0</v>
      </c>
      <c r="P1700">
        <v>0.93300000000000005</v>
      </c>
      <c r="Q1700">
        <v>6.7000000000000004E-2</v>
      </c>
    </row>
    <row r="1701" spans="1:17" x14ac:dyDescent="0.2">
      <c r="A1701" s="1" t="str">
        <f>HYPERLINK("http://www.twitter.com/Ugo_Roux/status/935410119805980672", "935410119805980672")</f>
        <v>935410119805980672</v>
      </c>
      <c r="B1701" t="s">
        <v>285</v>
      </c>
      <c r="C1701" s="3">
        <v>43067.311643518522</v>
      </c>
      <c r="D1701" s="5" t="s">
        <v>17</v>
      </c>
      <c r="E1701">
        <v>2</v>
      </c>
      <c r="F1701">
        <v>0</v>
      </c>
      <c r="G1701">
        <v>0</v>
      </c>
      <c r="I1701" t="s">
        <v>1738</v>
      </c>
      <c r="J1701" t="str">
        <f>HYPERLINK("http://pbs.twimg.com/media/DPs-hzfWAAEpzBi.jpg", "http://pbs.twimg.com/media/DPs-hzfWAAEpzBi.jpg")</f>
        <v>http://pbs.twimg.com/media/DPs-hzfWAAEpzBi.jpg</v>
      </c>
      <c r="N1701">
        <v>0</v>
      </c>
      <c r="O1701">
        <v>0</v>
      </c>
      <c r="P1701">
        <v>1</v>
      </c>
      <c r="Q1701">
        <v>0</v>
      </c>
    </row>
    <row r="1702" spans="1:17" x14ac:dyDescent="0.2">
      <c r="A1702" s="1" t="str">
        <f>HYPERLINK("http://www.twitter.com/Ugo_Roux/status/935409177941434370", "935409177941434370")</f>
        <v>935409177941434370</v>
      </c>
      <c r="B1702" t="s">
        <v>285</v>
      </c>
      <c r="C1702" s="3">
        <v>43067.309039351851</v>
      </c>
      <c r="D1702" s="5" t="s">
        <v>17</v>
      </c>
      <c r="E1702">
        <v>0</v>
      </c>
      <c r="F1702">
        <v>0</v>
      </c>
      <c r="G1702">
        <v>0</v>
      </c>
      <c r="I1702" t="s">
        <v>1739</v>
      </c>
      <c r="N1702">
        <v>0</v>
      </c>
      <c r="O1702">
        <v>0</v>
      </c>
      <c r="P1702">
        <v>1</v>
      </c>
      <c r="Q1702">
        <v>0</v>
      </c>
    </row>
    <row r="1703" spans="1:17" x14ac:dyDescent="0.2">
      <c r="A1703" s="1" t="str">
        <f>HYPERLINK("http://www.twitter.com/Ugo_Roux/status/934350035608891392", "934350035608891392")</f>
        <v>934350035608891392</v>
      </c>
      <c r="B1703" t="s">
        <v>370</v>
      </c>
      <c r="C1703" s="3">
        <v>43064.386365740742</v>
      </c>
      <c r="D1703" s="5" t="s">
        <v>28</v>
      </c>
      <c r="E1703">
        <v>0</v>
      </c>
      <c r="F1703">
        <v>0</v>
      </c>
      <c r="G1703">
        <v>0</v>
      </c>
      <c r="I1703" t="s">
        <v>1740</v>
      </c>
      <c r="J1703" t="str">
        <f>HYPERLINK("http://pbs.twimg.com/media/DPd6Z6lV4AAz8PT.jpg", "http://pbs.twimg.com/media/DPd6Z6lV4AAz8PT.jpg")</f>
        <v>http://pbs.twimg.com/media/DPd6Z6lV4AAz8PT.jpg</v>
      </c>
      <c r="N1703">
        <v>0</v>
      </c>
      <c r="O1703">
        <v>0</v>
      </c>
      <c r="P1703">
        <v>1</v>
      </c>
      <c r="Q1703">
        <v>0</v>
      </c>
    </row>
    <row r="1704" spans="1:17" x14ac:dyDescent="0.2">
      <c r="A1704" s="1" t="str">
        <f>HYPERLINK("http://www.twitter.com/Ugo_Roux/status/934346554198040576", "934346554198040576")</f>
        <v>934346554198040576</v>
      </c>
      <c r="B1704" t="s">
        <v>370</v>
      </c>
      <c r="C1704" s="3">
        <v>43064.376759259263</v>
      </c>
      <c r="D1704" s="5" t="s">
        <v>28</v>
      </c>
      <c r="E1704">
        <v>0</v>
      </c>
      <c r="F1704">
        <v>0</v>
      </c>
      <c r="G1704">
        <v>0</v>
      </c>
      <c r="I1704" t="s">
        <v>1741</v>
      </c>
      <c r="J1704" t="str">
        <f>HYPERLINK("http://pbs.twimg.com/media/DPd3PRYVwAAfIvh.jpg", "http://pbs.twimg.com/media/DPd3PRYVwAAfIvh.jpg")</f>
        <v>http://pbs.twimg.com/media/DPd3PRYVwAAfIvh.jpg</v>
      </c>
      <c r="N1704">
        <v>0</v>
      </c>
      <c r="O1704">
        <v>0</v>
      </c>
      <c r="P1704">
        <v>1</v>
      </c>
      <c r="Q1704">
        <v>0</v>
      </c>
    </row>
    <row r="1705" spans="1:17" x14ac:dyDescent="0.2">
      <c r="A1705" s="1" t="str">
        <f>HYPERLINK("http://www.twitter.com/Ugo_Roux/status/934341256758603777", "934341256758603777")</f>
        <v>934341256758603777</v>
      </c>
      <c r="B1705" t="s">
        <v>370</v>
      </c>
      <c r="C1705" s="3">
        <v>43064.362141203703</v>
      </c>
      <c r="D1705" s="5" t="s">
        <v>41</v>
      </c>
      <c r="E1705">
        <v>0</v>
      </c>
      <c r="F1705">
        <v>0</v>
      </c>
      <c r="G1705">
        <v>0</v>
      </c>
      <c r="I1705" t="s">
        <v>1742</v>
      </c>
      <c r="J1705" t="str">
        <f>HYPERLINK("http://pbs.twimg.com/media/DPdya7GVwAEBNOo.jpg", "http://pbs.twimg.com/media/DPdya7GVwAEBNOo.jpg")</f>
        <v>http://pbs.twimg.com/media/DPdya7GVwAEBNOo.jpg</v>
      </c>
      <c r="N1705">
        <v>0</v>
      </c>
      <c r="O1705">
        <v>0</v>
      </c>
      <c r="P1705">
        <v>1</v>
      </c>
      <c r="Q1705">
        <v>0</v>
      </c>
    </row>
    <row r="1706" spans="1:17" x14ac:dyDescent="0.2">
      <c r="A1706" s="1" t="str">
        <f>HYPERLINK("http://www.twitter.com/Ugo_Roux/status/934340041362563073", "934340041362563073")</f>
        <v>934340041362563073</v>
      </c>
      <c r="B1706" t="s">
        <v>370</v>
      </c>
      <c r="C1706" s="3">
        <v>43064.358784722222</v>
      </c>
      <c r="D1706" s="5" t="s">
        <v>24</v>
      </c>
      <c r="E1706">
        <v>0</v>
      </c>
      <c r="F1706">
        <v>0</v>
      </c>
      <c r="G1706">
        <v>0</v>
      </c>
      <c r="I1706" t="s">
        <v>1743</v>
      </c>
      <c r="J1706" t="str">
        <f>HYPERLINK("http://pbs.twimg.com/media/DPdxULDVQAAhdbc.jpg", "http://pbs.twimg.com/media/DPdxULDVQAAhdbc.jpg")</f>
        <v>http://pbs.twimg.com/media/DPdxULDVQAAhdbc.jpg</v>
      </c>
      <c r="N1706">
        <v>0</v>
      </c>
      <c r="O1706">
        <v>0</v>
      </c>
      <c r="P1706">
        <v>1</v>
      </c>
      <c r="Q1706">
        <v>0</v>
      </c>
    </row>
    <row r="1707" spans="1:17" x14ac:dyDescent="0.2">
      <c r="A1707" s="1" t="str">
        <f>HYPERLINK("http://www.twitter.com/Ugo_Roux/status/934147463551881217", "934147463551881217")</f>
        <v>934147463551881217</v>
      </c>
      <c r="B1707" t="s">
        <v>476</v>
      </c>
      <c r="C1707" s="3">
        <v>43063.827372685177</v>
      </c>
      <c r="D1707" s="5" t="s">
        <v>28</v>
      </c>
      <c r="E1707">
        <v>0</v>
      </c>
      <c r="F1707">
        <v>1</v>
      </c>
      <c r="G1707">
        <v>0</v>
      </c>
      <c r="I1707" t="s">
        <v>1744</v>
      </c>
      <c r="J1707" t="str">
        <f>HYPERLINK("http://pbs.twimg.com/media/DPbB_WWX0AAuKQV.jpg", "http://pbs.twimg.com/media/DPbB_WWX0AAuKQV.jpg")</f>
        <v>http://pbs.twimg.com/media/DPbB_WWX0AAuKQV.jpg</v>
      </c>
      <c r="N1707">
        <v>0.49390000000000001</v>
      </c>
      <c r="O1707">
        <v>0</v>
      </c>
      <c r="P1707">
        <v>0.86199999999999999</v>
      </c>
      <c r="Q1707">
        <v>0.13800000000000001</v>
      </c>
    </row>
    <row r="1708" spans="1:17" x14ac:dyDescent="0.2">
      <c r="A1708" s="1" t="str">
        <f>HYPERLINK("http://www.twitter.com/Ugo_Roux/status/934042318977585152", "934042318977585152")</f>
        <v>934042318977585152</v>
      </c>
      <c r="B1708" t="s">
        <v>476</v>
      </c>
      <c r="C1708" s="3">
        <v>43063.537233796298</v>
      </c>
      <c r="D1708" s="5" t="s">
        <v>28</v>
      </c>
      <c r="E1708">
        <v>1</v>
      </c>
      <c r="F1708">
        <v>1</v>
      </c>
      <c r="G1708">
        <v>0</v>
      </c>
      <c r="I1708" t="s">
        <v>1745</v>
      </c>
      <c r="N1708">
        <v>0</v>
      </c>
      <c r="O1708">
        <v>0</v>
      </c>
      <c r="P1708">
        <v>1</v>
      </c>
      <c r="Q1708">
        <v>0</v>
      </c>
    </row>
    <row r="1709" spans="1:17" x14ac:dyDescent="0.2">
      <c r="A1709" s="1" t="str">
        <f>HYPERLINK("http://www.twitter.com/Ugo_Roux/status/933338319806779392", "933338319806779392")</f>
        <v>933338319806779392</v>
      </c>
      <c r="B1709" t="s">
        <v>476</v>
      </c>
      <c r="C1709" s="3">
        <v>43061.594560185193</v>
      </c>
      <c r="D1709" s="5" t="s">
        <v>28</v>
      </c>
      <c r="E1709">
        <v>0</v>
      </c>
      <c r="F1709">
        <v>0</v>
      </c>
      <c r="G1709">
        <v>0</v>
      </c>
      <c r="I1709" t="s">
        <v>1746</v>
      </c>
      <c r="N1709">
        <v>0</v>
      </c>
      <c r="O1709">
        <v>0</v>
      </c>
      <c r="P1709">
        <v>1</v>
      </c>
      <c r="Q1709">
        <v>0</v>
      </c>
    </row>
    <row r="1710" spans="1:17" x14ac:dyDescent="0.2">
      <c r="A1710" s="1" t="str">
        <f>HYPERLINK("http://www.twitter.com/Ugo_Roux/status/932994881731088384", "932994881731088384")</f>
        <v>932994881731088384</v>
      </c>
      <c r="B1710" t="s">
        <v>456</v>
      </c>
      <c r="C1710" s="3">
        <v>43060.646851851852</v>
      </c>
      <c r="D1710" t="s">
        <v>28</v>
      </c>
      <c r="E1710">
        <v>0</v>
      </c>
      <c r="F1710">
        <v>0</v>
      </c>
      <c r="G1710">
        <v>0</v>
      </c>
      <c r="I1710" t="s">
        <v>1747</v>
      </c>
      <c r="J1710" t="str">
        <f>HYPERLINK("http://pbs.twimg.com/media/DPKljhJXUAAuL91.jpg", "http://pbs.twimg.com/media/DPKljhJXUAAuL91.jpg")</f>
        <v>http://pbs.twimg.com/media/DPKljhJXUAAuL91.jpg</v>
      </c>
      <c r="N1710">
        <v>0</v>
      </c>
      <c r="O1710">
        <v>0</v>
      </c>
      <c r="P1710">
        <v>1</v>
      </c>
      <c r="Q1710">
        <v>0</v>
      </c>
    </row>
    <row r="1711" spans="1:17" x14ac:dyDescent="0.2">
      <c r="A1711" s="1" t="str">
        <f>HYPERLINK("http://www.twitter.com/Ugo_Roux/status/932961196545847296", "932961196545847296")</f>
        <v>932961196545847296</v>
      </c>
      <c r="B1711" t="s">
        <v>414</v>
      </c>
      <c r="C1711" s="3">
        <v>43060.553900462961</v>
      </c>
      <c r="D1711" s="5" t="s">
        <v>28</v>
      </c>
      <c r="E1711">
        <v>0</v>
      </c>
      <c r="F1711">
        <v>0</v>
      </c>
      <c r="G1711">
        <v>0</v>
      </c>
      <c r="I1711" t="s">
        <v>1748</v>
      </c>
      <c r="N1711">
        <v>0.71840000000000004</v>
      </c>
      <c r="O1711">
        <v>0</v>
      </c>
      <c r="P1711">
        <v>0.625</v>
      </c>
      <c r="Q1711">
        <v>0.375</v>
      </c>
    </row>
    <row r="1712" spans="1:17" x14ac:dyDescent="0.2">
      <c r="A1712" s="1" t="str">
        <f>HYPERLINK("http://www.twitter.com/Ugo_Roux/status/932632384352280576", "932632384352280576")</f>
        <v>932632384352280576</v>
      </c>
      <c r="B1712" t="s">
        <v>97</v>
      </c>
      <c r="C1712" s="3">
        <v>43059.646550925929</v>
      </c>
      <c r="D1712" s="5" t="s">
        <v>28</v>
      </c>
      <c r="E1712">
        <v>1</v>
      </c>
      <c r="F1712">
        <v>0</v>
      </c>
      <c r="G1712">
        <v>0</v>
      </c>
      <c r="I1712" t="s">
        <v>1749</v>
      </c>
      <c r="J1712" t="str">
        <f>HYPERLINK("http://pbs.twimg.com/media/DPFgNbYVAAAb6uS.jpg", "http://pbs.twimg.com/media/DPFgNbYVAAAb6uS.jpg")</f>
        <v>http://pbs.twimg.com/media/DPFgNbYVAAAb6uS.jpg</v>
      </c>
      <c r="N1712">
        <v>0</v>
      </c>
      <c r="O1712">
        <v>0</v>
      </c>
      <c r="P1712">
        <v>1</v>
      </c>
      <c r="Q1712">
        <v>0</v>
      </c>
    </row>
    <row r="1713" spans="1:17" x14ac:dyDescent="0.2">
      <c r="A1713" s="1" t="str">
        <f>HYPERLINK("http://www.twitter.com/Ugo_Roux/status/932542786305511424", "932542786305511424")</f>
        <v>932542786305511424</v>
      </c>
      <c r="B1713" t="s">
        <v>142</v>
      </c>
      <c r="C1713" s="3">
        <v>43059.399305555547</v>
      </c>
      <c r="D1713" s="5" t="s">
        <v>28</v>
      </c>
      <c r="E1713">
        <v>3</v>
      </c>
      <c r="F1713">
        <v>0</v>
      </c>
      <c r="G1713">
        <v>0</v>
      </c>
      <c r="I1713" t="s">
        <v>1750</v>
      </c>
      <c r="N1713">
        <v>0</v>
      </c>
      <c r="O1713">
        <v>0</v>
      </c>
      <c r="P1713">
        <v>1</v>
      </c>
      <c r="Q1713">
        <v>0</v>
      </c>
    </row>
    <row r="1714" spans="1:17" x14ac:dyDescent="0.2">
      <c r="A1714" s="1" t="str">
        <f>HYPERLINK("http://www.twitter.com/Ugo_Roux/status/931910033440493568", "931910033440493568")</f>
        <v>931910033440493568</v>
      </c>
      <c r="B1714" t="s">
        <v>142</v>
      </c>
      <c r="C1714" s="3">
        <v>43057.653240740743</v>
      </c>
      <c r="D1714" s="5" t="s">
        <v>17</v>
      </c>
      <c r="E1714">
        <v>0</v>
      </c>
      <c r="F1714">
        <v>1</v>
      </c>
      <c r="G1714">
        <v>0</v>
      </c>
      <c r="I1714" t="s">
        <v>1751</v>
      </c>
      <c r="N1714">
        <v>0</v>
      </c>
      <c r="O1714">
        <v>0</v>
      </c>
      <c r="P1714">
        <v>1</v>
      </c>
      <c r="Q1714">
        <v>0</v>
      </c>
    </row>
    <row r="1715" spans="1:17" x14ac:dyDescent="0.2">
      <c r="A1715" s="1" t="str">
        <f>HYPERLINK("http://www.twitter.com/Ugo_Roux/status/931904279438352384", "931904279438352384")</f>
        <v>931904279438352384</v>
      </c>
      <c r="B1715" t="s">
        <v>142</v>
      </c>
      <c r="C1715" s="3">
        <v>43057.637361111112</v>
      </c>
      <c r="D1715" s="5" t="s">
        <v>41</v>
      </c>
      <c r="E1715">
        <v>1</v>
      </c>
      <c r="F1715">
        <v>1</v>
      </c>
      <c r="G1715">
        <v>0</v>
      </c>
      <c r="I1715" t="s">
        <v>1752</v>
      </c>
      <c r="J1715" t="str">
        <f>HYPERLINK("http://pbs.twimg.com/media/DO7J_npW0AEXnkI.jpg", "http://pbs.twimg.com/media/DO7J_npW0AEXnkI.jpg")</f>
        <v>http://pbs.twimg.com/media/DO7J_npW0AEXnkI.jpg</v>
      </c>
      <c r="N1715">
        <v>0</v>
      </c>
      <c r="O1715">
        <v>0</v>
      </c>
      <c r="P1715">
        <v>1</v>
      </c>
      <c r="Q1715">
        <v>0</v>
      </c>
    </row>
    <row r="1716" spans="1:17" x14ac:dyDescent="0.2">
      <c r="A1716" s="1" t="str">
        <f>HYPERLINK("http://www.twitter.com/Ugo_Roux/status/931504981089366017", "931504981089366017")</f>
        <v>931504981089366017</v>
      </c>
      <c r="B1716" t="s">
        <v>414</v>
      </c>
      <c r="C1716" s="3">
        <v>43056.535509259258</v>
      </c>
      <c r="D1716" s="5" t="s">
        <v>28</v>
      </c>
      <c r="E1716">
        <v>0</v>
      </c>
      <c r="F1716">
        <v>0</v>
      </c>
      <c r="G1716">
        <v>0</v>
      </c>
      <c r="I1716" t="s">
        <v>1753</v>
      </c>
      <c r="N1716">
        <v>0.45879999999999999</v>
      </c>
      <c r="O1716">
        <v>0</v>
      </c>
      <c r="P1716">
        <v>0.4</v>
      </c>
      <c r="Q1716">
        <v>0.6</v>
      </c>
    </row>
    <row r="1717" spans="1:17" x14ac:dyDescent="0.2">
      <c r="A1717" s="1" t="str">
        <f>HYPERLINK("http://www.twitter.com/Ugo_Roux/status/931496914457161729", "931496914457161729")</f>
        <v>931496914457161729</v>
      </c>
      <c r="B1717" t="s">
        <v>476</v>
      </c>
      <c r="C1717" s="3">
        <v>43056.513252314813</v>
      </c>
      <c r="D1717" s="5" t="s">
        <v>28</v>
      </c>
      <c r="E1717">
        <v>1</v>
      </c>
      <c r="F1717">
        <v>0</v>
      </c>
      <c r="G1717">
        <v>0</v>
      </c>
      <c r="I1717" t="s">
        <v>1754</v>
      </c>
      <c r="N1717">
        <v>0.25</v>
      </c>
      <c r="O1717">
        <v>0</v>
      </c>
      <c r="P1717">
        <v>0.94899999999999995</v>
      </c>
      <c r="Q1717">
        <v>5.0999999999999997E-2</v>
      </c>
    </row>
    <row r="1718" spans="1:17" x14ac:dyDescent="0.2">
      <c r="A1718" s="1" t="str">
        <f>HYPERLINK("http://www.twitter.com/Ugo_Roux/status/931096329664819200", "931096329664819200")</f>
        <v>931096329664819200</v>
      </c>
      <c r="B1718" t="s">
        <v>16</v>
      </c>
      <c r="C1718" s="3">
        <v>43055.407847222217</v>
      </c>
      <c r="D1718" s="3" t="s">
        <v>28</v>
      </c>
      <c r="E1718">
        <v>1</v>
      </c>
      <c r="F1718">
        <v>1</v>
      </c>
      <c r="G1718">
        <v>0</v>
      </c>
      <c r="I1718" t="s">
        <v>1755</v>
      </c>
      <c r="J1718" t="str">
        <f>HYPERLINK("http://pbs.twimg.com/media/DOvp4McWAAAVWA1.png", "http://pbs.twimg.com/media/DOvp4McWAAAVWA1.png")</f>
        <v>http://pbs.twimg.com/media/DOvp4McWAAAVWA1.png</v>
      </c>
      <c r="N1718">
        <v>0</v>
      </c>
      <c r="O1718">
        <v>0</v>
      </c>
      <c r="P1718">
        <v>1</v>
      </c>
      <c r="Q1718">
        <v>0</v>
      </c>
    </row>
    <row r="1719" spans="1:17" x14ac:dyDescent="0.2">
      <c r="A1719" s="1" t="str">
        <f>HYPERLINK("http://www.twitter.com/Ugo_Roux/status/928968319167844352", "928968319167844352")</f>
        <v>928968319167844352</v>
      </c>
      <c r="B1719" t="s">
        <v>476</v>
      </c>
      <c r="C1719" s="3">
        <v>43049.53565972222</v>
      </c>
      <c r="D1719" s="5" t="s">
        <v>28</v>
      </c>
      <c r="E1719">
        <v>1</v>
      </c>
      <c r="F1719">
        <v>0</v>
      </c>
      <c r="G1719">
        <v>0</v>
      </c>
      <c r="I1719" t="s">
        <v>1756</v>
      </c>
      <c r="N1719">
        <v>0</v>
      </c>
      <c r="O1719">
        <v>0</v>
      </c>
      <c r="P1719">
        <v>1</v>
      </c>
      <c r="Q1719">
        <v>0</v>
      </c>
    </row>
    <row r="1720" spans="1:17" x14ac:dyDescent="0.2">
      <c r="A1720" s="1" t="str">
        <f>HYPERLINK("http://www.twitter.com/Ugo_Roux/status/928927696423477248", "928927696423477248")</f>
        <v>928927696423477248</v>
      </c>
      <c r="B1720" t="s">
        <v>16</v>
      </c>
      <c r="C1720" s="3">
        <v>43049.423564814817</v>
      </c>
      <c r="D1720" s="3" t="s">
        <v>28</v>
      </c>
      <c r="E1720">
        <v>1</v>
      </c>
      <c r="F1720">
        <v>1</v>
      </c>
      <c r="G1720">
        <v>0</v>
      </c>
      <c r="I1720" t="s">
        <v>1757</v>
      </c>
      <c r="J1720" t="str">
        <f>HYPERLINK("http://pbs.twimg.com/media/DOQ2GGYX4AA1bNe.png", "http://pbs.twimg.com/media/DOQ2GGYX4AA1bNe.png")</f>
        <v>http://pbs.twimg.com/media/DOQ2GGYX4AA1bNe.png</v>
      </c>
      <c r="N1720">
        <v>-0.55740000000000001</v>
      </c>
      <c r="O1720">
        <v>0.126</v>
      </c>
      <c r="P1720">
        <v>0.874</v>
      </c>
      <c r="Q1720">
        <v>0</v>
      </c>
    </row>
    <row r="1721" spans="1:17" x14ac:dyDescent="0.2">
      <c r="A1721" s="1" t="str">
        <f>HYPERLINK("http://www.twitter.com/Ugo_Roux/status/928889330659184641", "928889330659184641")</f>
        <v>928889330659184641</v>
      </c>
      <c r="B1721" t="s">
        <v>285</v>
      </c>
      <c r="C1721" s="3">
        <v>43049.317696759259</v>
      </c>
      <c r="D1721" s="5" t="s">
        <v>28</v>
      </c>
      <c r="E1721">
        <v>0</v>
      </c>
      <c r="F1721">
        <v>0</v>
      </c>
      <c r="G1721">
        <v>0</v>
      </c>
      <c r="I1721" t="s">
        <v>1758</v>
      </c>
      <c r="J1721" t="str">
        <f>HYPERLINK("http://pbs.twimg.com/media/DOQT4y_WkAUwWpE.png", "http://pbs.twimg.com/media/DOQT4y_WkAUwWpE.png")</f>
        <v>http://pbs.twimg.com/media/DOQT4y_WkAUwWpE.png</v>
      </c>
      <c r="N1721">
        <v>0</v>
      </c>
      <c r="O1721">
        <v>0</v>
      </c>
      <c r="P1721">
        <v>1</v>
      </c>
      <c r="Q1721">
        <v>0</v>
      </c>
    </row>
    <row r="1722" spans="1:17" x14ac:dyDescent="0.2">
      <c r="A1722" s="1" t="str">
        <f>HYPERLINK("http://www.twitter.com/Ugo_Roux/status/928632152937451520", "928632152937451520")</f>
        <v>928632152937451520</v>
      </c>
      <c r="B1722" t="s">
        <v>285</v>
      </c>
      <c r="C1722" s="3">
        <v>43048.608020833337</v>
      </c>
      <c r="D1722" s="5" t="s">
        <v>28</v>
      </c>
      <c r="E1722">
        <v>0</v>
      </c>
      <c r="F1722">
        <v>0</v>
      </c>
      <c r="G1722">
        <v>0</v>
      </c>
      <c r="I1722" t="s">
        <v>1759</v>
      </c>
      <c r="J1722" t="str">
        <f>HYPERLINK("http://pbs.twimg.com/media/DOMqAbWWAAA8TnL.png", "http://pbs.twimg.com/media/DOMqAbWWAAA8TnL.png")</f>
        <v>http://pbs.twimg.com/media/DOMqAbWWAAA8TnL.png</v>
      </c>
      <c r="N1722">
        <v>0</v>
      </c>
      <c r="O1722">
        <v>0</v>
      </c>
      <c r="P1722">
        <v>1</v>
      </c>
      <c r="Q1722">
        <v>0</v>
      </c>
    </row>
    <row r="1723" spans="1:17" x14ac:dyDescent="0.2">
      <c r="A1723" s="1" t="str">
        <f>HYPERLINK("http://www.twitter.com/Ugo_Roux/status/928347290280120321", "928347290280120321")</f>
        <v>928347290280120321</v>
      </c>
      <c r="B1723" t="s">
        <v>142</v>
      </c>
      <c r="C1723" s="3">
        <v>43047.821944444448</v>
      </c>
      <c r="D1723" s="5" t="s">
        <v>17</v>
      </c>
      <c r="E1723">
        <v>1</v>
      </c>
      <c r="F1723">
        <v>0</v>
      </c>
      <c r="G1723">
        <v>0</v>
      </c>
      <c r="I1723" t="s">
        <v>1760</v>
      </c>
      <c r="N1723">
        <v>0</v>
      </c>
      <c r="O1723">
        <v>0</v>
      </c>
      <c r="P1723">
        <v>1</v>
      </c>
      <c r="Q1723">
        <v>0</v>
      </c>
    </row>
    <row r="1724" spans="1:17" x14ac:dyDescent="0.2">
      <c r="A1724" s="1" t="str">
        <f>HYPERLINK("http://www.twitter.com/Ugo_Roux/status/928269687527542784", "928269687527542784")</f>
        <v>928269687527542784</v>
      </c>
      <c r="B1724" t="s">
        <v>456</v>
      </c>
      <c r="C1724" s="3">
        <v>43047.607800925929</v>
      </c>
      <c r="D1724" t="s">
        <v>41</v>
      </c>
      <c r="E1724">
        <v>0</v>
      </c>
      <c r="F1724">
        <v>0</v>
      </c>
      <c r="G1724">
        <v>0</v>
      </c>
      <c r="I1724" t="s">
        <v>1761</v>
      </c>
      <c r="N1724">
        <v>0</v>
      </c>
      <c r="O1724">
        <v>0</v>
      </c>
      <c r="P1724">
        <v>1</v>
      </c>
      <c r="Q1724">
        <v>0</v>
      </c>
    </row>
    <row r="1725" spans="1:17" x14ac:dyDescent="0.2">
      <c r="A1725" s="1" t="str">
        <f>HYPERLINK("http://www.twitter.com/Ugo_Roux/status/928261220892925952", "928261220892925952")</f>
        <v>928261220892925952</v>
      </c>
      <c r="B1725" t="s">
        <v>456</v>
      </c>
      <c r="C1725" s="3">
        <v>43047.584432870368</v>
      </c>
      <c r="D1725" t="s">
        <v>41</v>
      </c>
      <c r="E1725">
        <v>2</v>
      </c>
      <c r="F1725">
        <v>0</v>
      </c>
      <c r="G1725">
        <v>1</v>
      </c>
      <c r="I1725" t="s">
        <v>1762</v>
      </c>
      <c r="J1725" t="str">
        <f>HYPERLINK("http://pbs.twimg.com/media/DOHYbSYWkAEQVuz.jpg", "http://pbs.twimg.com/media/DOHYbSYWkAEQVuz.jpg")</f>
        <v>http://pbs.twimg.com/media/DOHYbSYWkAEQVuz.jpg</v>
      </c>
      <c r="K1725" t="str">
        <f>HYPERLINK("http://pbs.twimg.com/media/DOHYcq_X0AAp-U5.jpg", "http://pbs.twimg.com/media/DOHYcq_X0AAp-U5.jpg")</f>
        <v>http://pbs.twimg.com/media/DOHYcq_X0AAp-U5.jpg</v>
      </c>
      <c r="N1725">
        <v>0</v>
      </c>
      <c r="O1725">
        <v>0</v>
      </c>
      <c r="P1725">
        <v>1</v>
      </c>
      <c r="Q1725">
        <v>0</v>
      </c>
    </row>
    <row r="1726" spans="1:17" x14ac:dyDescent="0.2">
      <c r="A1726" s="1" t="str">
        <f>HYPERLINK("http://www.twitter.com/Ugo_Roux/status/928222728284405762", "928222728284405762")</f>
        <v>928222728284405762</v>
      </c>
      <c r="B1726" t="s">
        <v>142</v>
      </c>
      <c r="C1726" s="3">
        <v>43047.478217592587</v>
      </c>
      <c r="D1726" s="5" t="s">
        <v>24</v>
      </c>
      <c r="E1726">
        <v>3</v>
      </c>
      <c r="F1726">
        <v>2</v>
      </c>
      <c r="G1726">
        <v>0</v>
      </c>
      <c r="I1726" t="s">
        <v>1763</v>
      </c>
      <c r="J1726" t="str">
        <f>HYPERLINK("http://pbs.twimg.com/media/DOG1pU4W4AAugSA.jpg", "http://pbs.twimg.com/media/DOG1pU4W4AAugSA.jpg")</f>
        <v>http://pbs.twimg.com/media/DOG1pU4W4AAugSA.jpg</v>
      </c>
      <c r="N1726">
        <v>0</v>
      </c>
      <c r="O1726">
        <v>0</v>
      </c>
      <c r="P1726">
        <v>1</v>
      </c>
      <c r="Q1726">
        <v>0</v>
      </c>
    </row>
    <row r="1727" spans="1:17" x14ac:dyDescent="0.2">
      <c r="A1727" s="1" t="str">
        <f>HYPERLINK("http://www.twitter.com/Ugo_Roux/status/928187071365304320", "928187071365304320")</f>
        <v>928187071365304320</v>
      </c>
      <c r="B1727" t="s">
        <v>16</v>
      </c>
      <c r="C1727" s="3">
        <v>43047.379826388889</v>
      </c>
      <c r="D1727" s="3" t="s">
        <v>41</v>
      </c>
      <c r="E1727">
        <v>2</v>
      </c>
      <c r="F1727">
        <v>0</v>
      </c>
      <c r="G1727">
        <v>0</v>
      </c>
      <c r="I1727" t="s">
        <v>1764</v>
      </c>
      <c r="N1727">
        <v>0</v>
      </c>
      <c r="O1727">
        <v>0</v>
      </c>
      <c r="P1727">
        <v>1</v>
      </c>
      <c r="Q1727">
        <v>0</v>
      </c>
    </row>
    <row r="1728" spans="1:17" x14ac:dyDescent="0.2">
      <c r="A1728" s="1" t="str">
        <f>HYPERLINK("http://www.twitter.com/Ugo_Roux/status/927840427755081728", "927840427755081728")</f>
        <v>927840427755081728</v>
      </c>
      <c r="B1728" t="s">
        <v>414</v>
      </c>
      <c r="C1728" s="3">
        <v>43046.423275462963</v>
      </c>
      <c r="D1728" s="5" t="s">
        <v>28</v>
      </c>
      <c r="E1728">
        <v>0</v>
      </c>
      <c r="F1728">
        <v>0</v>
      </c>
      <c r="G1728">
        <v>0</v>
      </c>
      <c r="I1728" t="s">
        <v>1765</v>
      </c>
      <c r="N1728">
        <v>0.45879999999999999</v>
      </c>
      <c r="O1728">
        <v>0</v>
      </c>
      <c r="P1728">
        <v>0.75</v>
      </c>
      <c r="Q1728">
        <v>0.25</v>
      </c>
    </row>
    <row r="1729" spans="1:17" x14ac:dyDescent="0.2">
      <c r="A1729" s="1" t="str">
        <f>HYPERLINK("http://www.twitter.com/Ugo_Roux/status/926774960525381632", "926774960525381632")</f>
        <v>926774960525381632</v>
      </c>
      <c r="B1729" t="s">
        <v>16</v>
      </c>
      <c r="C1729" s="3">
        <v>43043.483136574083</v>
      </c>
      <c r="D1729" s="3" t="s">
        <v>41</v>
      </c>
      <c r="E1729">
        <v>1</v>
      </c>
      <c r="F1729">
        <v>0</v>
      </c>
      <c r="G1729">
        <v>0</v>
      </c>
      <c r="I1729" t="s">
        <v>1766</v>
      </c>
      <c r="J1729" t="str">
        <f>HYPERLINK("http://pbs.twimg.com/media/DNyQL_HW0AAsUNU.jpg", "http://pbs.twimg.com/media/DNyQL_HW0AAsUNU.jpg")</f>
        <v>http://pbs.twimg.com/media/DNyQL_HW0AAsUNU.jpg</v>
      </c>
      <c r="K1729" t="str">
        <f>HYPERLINK("http://pbs.twimg.com/media/DNyQOW-UQAA6noE.jpg", "http://pbs.twimg.com/media/DNyQOW-UQAA6noE.jpg")</f>
        <v>http://pbs.twimg.com/media/DNyQOW-UQAA6noE.jpg</v>
      </c>
      <c r="N1729">
        <v>0.25</v>
      </c>
      <c r="O1729">
        <v>0</v>
      </c>
      <c r="P1729">
        <v>0.92</v>
      </c>
      <c r="Q1729">
        <v>0.08</v>
      </c>
    </row>
    <row r="1730" spans="1:17" x14ac:dyDescent="0.2">
      <c r="A1730" s="1" t="str">
        <f>HYPERLINK("http://www.twitter.com/Ugo_Roux/status/926751926770954240", "926751926770954240")</f>
        <v>926751926770954240</v>
      </c>
      <c r="B1730" t="s">
        <v>130</v>
      </c>
      <c r="C1730" s="3">
        <v>43043.419583333343</v>
      </c>
      <c r="D1730" s="5" t="s">
        <v>17</v>
      </c>
      <c r="E1730">
        <v>0</v>
      </c>
      <c r="F1730">
        <v>0</v>
      </c>
      <c r="G1730">
        <v>0</v>
      </c>
      <c r="I1730" t="s">
        <v>1767</v>
      </c>
      <c r="N1730">
        <v>0</v>
      </c>
      <c r="O1730">
        <v>0</v>
      </c>
      <c r="P1730">
        <v>1</v>
      </c>
      <c r="Q1730">
        <v>0</v>
      </c>
    </row>
    <row r="1731" spans="1:17" x14ac:dyDescent="0.2">
      <c r="A1731" s="1" t="str">
        <f>HYPERLINK("http://www.twitter.com/Ugo_Roux/status/926476372704415744", "926476372704415744")</f>
        <v>926476372704415744</v>
      </c>
      <c r="B1731" t="s">
        <v>47</v>
      </c>
      <c r="C1731" s="3">
        <v>43042.659201388888</v>
      </c>
      <c r="D1731" s="5" t="s">
        <v>41</v>
      </c>
      <c r="E1731">
        <v>1</v>
      </c>
      <c r="F1731">
        <v>0</v>
      </c>
      <c r="G1731">
        <v>0</v>
      </c>
      <c r="I1731" t="s">
        <v>1768</v>
      </c>
      <c r="N1731">
        <v>0.5423</v>
      </c>
      <c r="O1731">
        <v>0</v>
      </c>
      <c r="P1731">
        <v>0.82099999999999995</v>
      </c>
      <c r="Q1731">
        <v>0.17899999999999999</v>
      </c>
    </row>
    <row r="1732" spans="1:17" x14ac:dyDescent="0.2">
      <c r="A1732" s="1" t="str">
        <f>HYPERLINK("http://www.twitter.com/Ugo_Roux/status/926417024678494208", "926417024678494208")</f>
        <v>926417024678494208</v>
      </c>
      <c r="B1732" t="s">
        <v>16</v>
      </c>
      <c r="C1732" s="3">
        <v>43042.495428240742</v>
      </c>
      <c r="D1732" s="3" t="s">
        <v>17</v>
      </c>
      <c r="E1732">
        <v>1</v>
      </c>
      <c r="F1732">
        <v>0</v>
      </c>
      <c r="G1732">
        <v>0</v>
      </c>
      <c r="I1732" t="s">
        <v>1769</v>
      </c>
      <c r="N1732">
        <v>0</v>
      </c>
      <c r="O1732">
        <v>0</v>
      </c>
      <c r="P1732">
        <v>1</v>
      </c>
      <c r="Q1732">
        <v>0</v>
      </c>
    </row>
    <row r="1733" spans="1:17" x14ac:dyDescent="0.2">
      <c r="A1733" s="1" t="str">
        <f>HYPERLINK("http://www.twitter.com/Ugo_Roux/status/925290324959875072", "925290324959875072")</f>
        <v>925290324959875072</v>
      </c>
      <c r="B1733" t="s">
        <v>414</v>
      </c>
      <c r="C1733" s="3">
        <v>43039.386331018519</v>
      </c>
      <c r="D1733" s="5" t="s">
        <v>28</v>
      </c>
      <c r="E1733">
        <v>0</v>
      </c>
      <c r="F1733">
        <v>0</v>
      </c>
      <c r="G1733">
        <v>0</v>
      </c>
      <c r="I1733" t="s">
        <v>1770</v>
      </c>
      <c r="J1733" t="str">
        <f>HYPERLINK("http://pbs.twimg.com/media/DNdKoJRXkAAJ2TX.jpg", "http://pbs.twimg.com/media/DNdKoJRXkAAJ2TX.jpg")</f>
        <v>http://pbs.twimg.com/media/DNdKoJRXkAAJ2TX.jpg</v>
      </c>
      <c r="N1733">
        <v>0</v>
      </c>
      <c r="O1733">
        <v>0</v>
      </c>
      <c r="P1733">
        <v>1</v>
      </c>
      <c r="Q1733">
        <v>0</v>
      </c>
    </row>
    <row r="1734" spans="1:17" x14ac:dyDescent="0.2">
      <c r="A1734" s="1" t="str">
        <f>HYPERLINK("http://www.twitter.com/Ugo_Roux/status/925007290268356608", "925007290268356608")</f>
        <v>925007290268356608</v>
      </c>
      <c r="B1734" t="s">
        <v>142</v>
      </c>
      <c r="C1734" s="3">
        <v>43038.605300925927</v>
      </c>
      <c r="D1734" s="5" t="s">
        <v>17</v>
      </c>
      <c r="E1734">
        <v>4</v>
      </c>
      <c r="F1734">
        <v>3</v>
      </c>
      <c r="G1734">
        <v>0</v>
      </c>
      <c r="I1734" t="s">
        <v>1771</v>
      </c>
      <c r="J1734" t="str">
        <f>HYPERLINK("http://pbs.twimg.com/media/DNZJOBaXcAAB8Fl.jpg", "http://pbs.twimg.com/media/DNZJOBaXcAAB8Fl.jpg")</f>
        <v>http://pbs.twimg.com/media/DNZJOBaXcAAB8Fl.jpg</v>
      </c>
      <c r="N1734">
        <v>0</v>
      </c>
      <c r="O1734">
        <v>0</v>
      </c>
      <c r="P1734">
        <v>1</v>
      </c>
      <c r="Q1734">
        <v>0</v>
      </c>
    </row>
    <row r="1735" spans="1:17" x14ac:dyDescent="0.2">
      <c r="A1735" s="1" t="str">
        <f>HYPERLINK("http://www.twitter.com/Ugo_Roux/status/924235915291217923", "924235915291217923")</f>
        <v>924235915291217923</v>
      </c>
      <c r="B1735" t="s">
        <v>142</v>
      </c>
      <c r="C1735" s="3">
        <v>43036.476712962962</v>
      </c>
      <c r="D1735" s="5" t="s">
        <v>17</v>
      </c>
      <c r="E1735">
        <v>0</v>
      </c>
      <c r="F1735">
        <v>2</v>
      </c>
      <c r="G1735">
        <v>0</v>
      </c>
      <c r="I1735" t="s">
        <v>1772</v>
      </c>
      <c r="N1735">
        <v>0.4199</v>
      </c>
      <c r="O1735">
        <v>0.04</v>
      </c>
      <c r="P1735">
        <v>0.873</v>
      </c>
      <c r="Q1735">
        <v>8.6999999999999994E-2</v>
      </c>
    </row>
    <row r="1736" spans="1:17" x14ac:dyDescent="0.2">
      <c r="A1736" s="1" t="str">
        <f>HYPERLINK("http://www.twitter.com/Ugo_Roux/status/923901988739350528", "923901988739350528")</f>
        <v>923901988739350528</v>
      </c>
      <c r="B1736" t="s">
        <v>414</v>
      </c>
      <c r="C1736" s="3">
        <v>43035.555254629631</v>
      </c>
      <c r="D1736" s="5" t="s">
        <v>17</v>
      </c>
      <c r="E1736">
        <v>0</v>
      </c>
      <c r="F1736">
        <v>0</v>
      </c>
      <c r="G1736">
        <v>0</v>
      </c>
      <c r="I1736" t="s">
        <v>1773</v>
      </c>
      <c r="J1736" t="str">
        <f>HYPERLINK("http://pbs.twimg.com/media/DNJb9IAWAAArR0_.jpg", "http://pbs.twimg.com/media/DNJb9IAWAAArR0_.jpg")</f>
        <v>http://pbs.twimg.com/media/DNJb9IAWAAArR0_.jpg</v>
      </c>
      <c r="N1736">
        <v>0.71840000000000004</v>
      </c>
      <c r="O1736">
        <v>0</v>
      </c>
      <c r="P1736">
        <v>0.76</v>
      </c>
      <c r="Q1736">
        <v>0.24</v>
      </c>
    </row>
    <row r="1737" spans="1:17" x14ac:dyDescent="0.2">
      <c r="A1737" s="1" t="str">
        <f>HYPERLINK("http://www.twitter.com/Ugo_Roux/status/923799397745528833", "923799397745528833")</f>
        <v>923799397745528833</v>
      </c>
      <c r="B1737" t="s">
        <v>285</v>
      </c>
      <c r="C1737" s="3">
        <v>43035.272152777783</v>
      </c>
      <c r="D1737" s="5" t="s">
        <v>28</v>
      </c>
      <c r="E1737">
        <v>0</v>
      </c>
      <c r="F1737">
        <v>0</v>
      </c>
      <c r="G1737">
        <v>0</v>
      </c>
      <c r="I1737" t="s">
        <v>1774</v>
      </c>
      <c r="J1737" t="str">
        <f>HYPERLINK("http://pbs.twimg.com/media/DNH-osUWsAAWz3w.jpg", "http://pbs.twimg.com/media/DNH-osUWsAAWz3w.jpg")</f>
        <v>http://pbs.twimg.com/media/DNH-osUWsAAWz3w.jpg</v>
      </c>
      <c r="N1737">
        <v>0</v>
      </c>
      <c r="O1737">
        <v>0</v>
      </c>
      <c r="P1737">
        <v>1</v>
      </c>
      <c r="Q1737">
        <v>0</v>
      </c>
    </row>
    <row r="1738" spans="1:17" x14ac:dyDescent="0.2">
      <c r="A1738" s="1" t="str">
        <f>HYPERLINK("http://www.twitter.com/Ugo_Roux/status/923510855366569985", "923510855366569985")</f>
        <v>923510855366569985</v>
      </c>
      <c r="B1738" t="s">
        <v>130</v>
      </c>
      <c r="C1738" s="3">
        <v>43034.475925925923</v>
      </c>
      <c r="D1738" s="5" t="s">
        <v>17</v>
      </c>
      <c r="E1738">
        <v>0</v>
      </c>
      <c r="F1738">
        <v>0</v>
      </c>
      <c r="G1738">
        <v>0</v>
      </c>
      <c r="I1738" t="s">
        <v>1775</v>
      </c>
      <c r="N1738">
        <v>0</v>
      </c>
      <c r="O1738">
        <v>0</v>
      </c>
      <c r="P1738">
        <v>1</v>
      </c>
      <c r="Q1738">
        <v>0</v>
      </c>
    </row>
    <row r="1739" spans="1:17" x14ac:dyDescent="0.2">
      <c r="A1739" s="1" t="str">
        <f>HYPERLINK("http://www.twitter.com/Ugo_Roux/status/923470990142836737", "923470990142836737")</f>
        <v>923470990142836737</v>
      </c>
      <c r="B1739" t="s">
        <v>47</v>
      </c>
      <c r="C1739" s="3">
        <v>43034.365914351853</v>
      </c>
      <c r="D1739" s="5" t="s">
        <v>41</v>
      </c>
      <c r="E1739">
        <v>0</v>
      </c>
      <c r="F1739">
        <v>0</v>
      </c>
      <c r="G1739">
        <v>1</v>
      </c>
      <c r="I1739" t="s">
        <v>1776</v>
      </c>
      <c r="N1739">
        <v>0.4451</v>
      </c>
      <c r="O1739">
        <v>0</v>
      </c>
      <c r="P1739">
        <v>0.73199999999999998</v>
      </c>
      <c r="Q1739">
        <v>0.26800000000000002</v>
      </c>
    </row>
    <row r="1740" spans="1:17" x14ac:dyDescent="0.2">
      <c r="A1740" s="1" t="str">
        <f>HYPERLINK("http://www.twitter.com/Ugo_Roux/status/923433473389539328", "923433473389539328")</f>
        <v>923433473389539328</v>
      </c>
      <c r="B1740" t="s">
        <v>285</v>
      </c>
      <c r="C1740" s="3">
        <v>43034.262395833342</v>
      </c>
      <c r="D1740" s="5" t="s">
        <v>460</v>
      </c>
      <c r="E1740">
        <v>0</v>
      </c>
      <c r="F1740">
        <v>0</v>
      </c>
      <c r="G1740">
        <v>0</v>
      </c>
      <c r="I1740" t="s">
        <v>1777</v>
      </c>
      <c r="N1740">
        <v>0</v>
      </c>
      <c r="O1740">
        <v>0</v>
      </c>
      <c r="P1740">
        <v>1</v>
      </c>
      <c r="Q1740">
        <v>0</v>
      </c>
    </row>
    <row r="1741" spans="1:17" x14ac:dyDescent="0.2">
      <c r="A1741" s="1" t="str">
        <f>HYPERLINK("http://www.twitter.com/Ugo_Roux/status/922714707554947072", "922714707554947072")</f>
        <v>922714707554947072</v>
      </c>
      <c r="B1741" t="s">
        <v>285</v>
      </c>
      <c r="C1741" s="3">
        <v>43032.278981481482</v>
      </c>
      <c r="D1741" s="5" t="s">
        <v>17</v>
      </c>
      <c r="E1741">
        <v>0</v>
      </c>
      <c r="F1741">
        <v>0</v>
      </c>
      <c r="G1741">
        <v>0</v>
      </c>
      <c r="I1741" t="s">
        <v>1778</v>
      </c>
      <c r="J1741" t="str">
        <f>HYPERLINK("http://pbs.twimg.com/media/DM4kHkQXkAAbeQc.jpg", "http://pbs.twimg.com/media/DM4kHkQXkAAbeQc.jpg")</f>
        <v>http://pbs.twimg.com/media/DM4kHkQXkAAbeQc.jpg</v>
      </c>
      <c r="N1741">
        <v>0</v>
      </c>
      <c r="O1741">
        <v>0</v>
      </c>
      <c r="P1741">
        <v>1</v>
      </c>
      <c r="Q1741">
        <v>0</v>
      </c>
    </row>
    <row r="1742" spans="1:17" x14ac:dyDescent="0.2">
      <c r="A1742" s="1" t="str">
        <f>HYPERLINK("http://www.twitter.com/Ugo_Roux/status/921322339698200576", "921322339698200576")</f>
        <v>921322339698200576</v>
      </c>
      <c r="B1742" t="s">
        <v>142</v>
      </c>
      <c r="C1742" s="3">
        <v>43028.43677083333</v>
      </c>
      <c r="D1742" s="5" t="s">
        <v>41</v>
      </c>
      <c r="E1742">
        <v>2</v>
      </c>
      <c r="F1742">
        <v>5</v>
      </c>
      <c r="G1742">
        <v>2</v>
      </c>
      <c r="I1742" t="s">
        <v>1779</v>
      </c>
      <c r="J1742" t="str">
        <f>HYPERLINK("http://pbs.twimg.com/media/DMkxrT4XUAAQhBa.jpg", "http://pbs.twimg.com/media/DMkxrT4XUAAQhBa.jpg")</f>
        <v>http://pbs.twimg.com/media/DMkxrT4XUAAQhBa.jpg</v>
      </c>
      <c r="N1742">
        <v>-0.22439999999999999</v>
      </c>
      <c r="O1742">
        <v>0.16400000000000001</v>
      </c>
      <c r="P1742">
        <v>0.73599999999999999</v>
      </c>
      <c r="Q1742">
        <v>0.1</v>
      </c>
    </row>
    <row r="1743" spans="1:17" x14ac:dyDescent="0.2">
      <c r="A1743" s="1" t="str">
        <f>HYPERLINK("http://www.twitter.com/Ugo_Roux/status/920315422515265538", "920315422515265538")</f>
        <v>920315422515265538</v>
      </c>
      <c r="B1743" t="s">
        <v>142</v>
      </c>
      <c r="C1743" s="3">
        <v>43025.658217592587</v>
      </c>
      <c r="D1743" s="5" t="s">
        <v>41</v>
      </c>
      <c r="E1743">
        <v>0</v>
      </c>
      <c r="F1743">
        <v>1</v>
      </c>
      <c r="G1743">
        <v>0</v>
      </c>
      <c r="I1743" t="s">
        <v>1780</v>
      </c>
      <c r="J1743" t="str">
        <f>HYPERLINK("http://pbs.twimg.com/media/DMWd_NWWsAIRoz1.jpg", "http://pbs.twimg.com/media/DMWd_NWWsAIRoz1.jpg")</f>
        <v>http://pbs.twimg.com/media/DMWd_NWWsAIRoz1.jpg</v>
      </c>
      <c r="N1743">
        <v>0</v>
      </c>
      <c r="O1743">
        <v>0</v>
      </c>
      <c r="P1743">
        <v>1</v>
      </c>
      <c r="Q1743">
        <v>0</v>
      </c>
    </row>
    <row r="1744" spans="1:17" x14ac:dyDescent="0.2">
      <c r="A1744" s="1" t="str">
        <f>HYPERLINK("http://www.twitter.com/Ugo_Roux/status/920279154112602112", "920279154112602112")</f>
        <v>920279154112602112</v>
      </c>
      <c r="B1744" t="s">
        <v>370</v>
      </c>
      <c r="C1744" s="3">
        <v>43025.558125000003</v>
      </c>
      <c r="D1744" s="5" t="s">
        <v>28</v>
      </c>
      <c r="E1744">
        <v>0</v>
      </c>
      <c r="F1744">
        <v>0</v>
      </c>
      <c r="G1744">
        <v>0</v>
      </c>
      <c r="I1744" t="s">
        <v>1781</v>
      </c>
      <c r="J1744" t="str">
        <f>HYPERLINK("http://pbs.twimg.com/media/DMV9AyHVwAAz_h_.jpg", "http://pbs.twimg.com/media/DMV9AyHVwAAz_h_.jpg")</f>
        <v>http://pbs.twimg.com/media/DMV9AyHVwAAz_h_.jpg</v>
      </c>
      <c r="N1744">
        <v>0</v>
      </c>
      <c r="O1744">
        <v>0</v>
      </c>
      <c r="P1744">
        <v>1</v>
      </c>
      <c r="Q1744">
        <v>0</v>
      </c>
    </row>
    <row r="1745" spans="1:17" x14ac:dyDescent="0.2">
      <c r="A1745" s="1" t="str">
        <f>HYPERLINK("http://www.twitter.com/Ugo_Roux/status/920278966224568320", "920278966224568320")</f>
        <v>920278966224568320</v>
      </c>
      <c r="B1745" t="s">
        <v>370</v>
      </c>
      <c r="C1745" s="3">
        <v>43025.557615740741</v>
      </c>
      <c r="D1745" s="5" t="s">
        <v>28</v>
      </c>
      <c r="E1745">
        <v>0</v>
      </c>
      <c r="F1745">
        <v>0</v>
      </c>
      <c r="G1745">
        <v>0</v>
      </c>
      <c r="I1745" t="s">
        <v>1782</v>
      </c>
      <c r="J1745" t="str">
        <f>HYPERLINK("http://pbs.twimg.com/media/DMV81zdUIAAIo1O.jpg", "http://pbs.twimg.com/media/DMV81zdUIAAIo1O.jpg")</f>
        <v>http://pbs.twimg.com/media/DMV81zdUIAAIo1O.jpg</v>
      </c>
      <c r="N1745">
        <v>0</v>
      </c>
      <c r="O1745">
        <v>0</v>
      </c>
      <c r="P1745">
        <v>1</v>
      </c>
      <c r="Q1745">
        <v>0</v>
      </c>
    </row>
    <row r="1746" spans="1:17" x14ac:dyDescent="0.2">
      <c r="A1746" s="1" t="str">
        <f>HYPERLINK("http://www.twitter.com/Ugo_Roux/status/920278909362495489", "920278909362495489")</f>
        <v>920278909362495489</v>
      </c>
      <c r="B1746" t="s">
        <v>370</v>
      </c>
      <c r="C1746" s="3">
        <v>43025.557453703703</v>
      </c>
      <c r="D1746" s="5" t="s">
        <v>28</v>
      </c>
      <c r="E1746">
        <v>0</v>
      </c>
      <c r="F1746">
        <v>0</v>
      </c>
      <c r="G1746">
        <v>0</v>
      </c>
      <c r="I1746" t="s">
        <v>1783</v>
      </c>
      <c r="J1746" t="str">
        <f>HYPERLINK("http://pbs.twimg.com/media/DMV8ygSUQAA74B3.jpg", "http://pbs.twimg.com/media/DMV8ygSUQAA74B3.jpg")</f>
        <v>http://pbs.twimg.com/media/DMV8ygSUQAA74B3.jpg</v>
      </c>
      <c r="N1746">
        <v>0</v>
      </c>
      <c r="O1746">
        <v>0</v>
      </c>
      <c r="P1746">
        <v>1</v>
      </c>
      <c r="Q1746">
        <v>0</v>
      </c>
    </row>
    <row r="1747" spans="1:17" x14ac:dyDescent="0.2">
      <c r="A1747" s="1" t="str">
        <f>HYPERLINK("http://www.twitter.com/Ugo_Roux/status/920278860251279360", "920278860251279360")</f>
        <v>920278860251279360</v>
      </c>
      <c r="B1747" t="s">
        <v>370</v>
      </c>
      <c r="C1747" s="3">
        <v>43025.557314814818</v>
      </c>
      <c r="D1747" s="5" t="s">
        <v>28</v>
      </c>
      <c r="E1747">
        <v>0</v>
      </c>
      <c r="F1747">
        <v>0</v>
      </c>
      <c r="G1747">
        <v>0</v>
      </c>
      <c r="I1747" t="s">
        <v>1784</v>
      </c>
      <c r="J1747" t="str">
        <f>HYPERLINK("http://pbs.twimg.com/media/DMV8vsFVQAEO6cF.jpg", "http://pbs.twimg.com/media/DMV8vsFVQAEO6cF.jpg")</f>
        <v>http://pbs.twimg.com/media/DMV8vsFVQAEO6cF.jpg</v>
      </c>
      <c r="N1747">
        <v>0</v>
      </c>
      <c r="O1747">
        <v>0</v>
      </c>
      <c r="P1747">
        <v>1</v>
      </c>
      <c r="Q1747">
        <v>0</v>
      </c>
    </row>
    <row r="1748" spans="1:17" x14ac:dyDescent="0.2">
      <c r="A1748" s="1" t="str">
        <f>HYPERLINK("http://www.twitter.com/Ugo_Roux/status/920278690436603905", "920278690436603905")</f>
        <v>920278690436603905</v>
      </c>
      <c r="B1748" t="s">
        <v>370</v>
      </c>
      <c r="C1748" s="3">
        <v>43025.556851851848</v>
      </c>
      <c r="D1748" s="5" t="s">
        <v>28</v>
      </c>
      <c r="E1748">
        <v>0</v>
      </c>
      <c r="F1748">
        <v>0</v>
      </c>
      <c r="G1748">
        <v>0</v>
      </c>
      <c r="I1748" t="s">
        <v>1785</v>
      </c>
      <c r="J1748" t="str">
        <f>HYPERLINK("http://pbs.twimg.com/media/DMV8lzIUQAA--iB.jpg", "http://pbs.twimg.com/media/DMV8lzIUQAA--iB.jpg")</f>
        <v>http://pbs.twimg.com/media/DMV8lzIUQAA--iB.jpg</v>
      </c>
      <c r="N1748">
        <v>0</v>
      </c>
      <c r="O1748">
        <v>0</v>
      </c>
      <c r="P1748">
        <v>1</v>
      </c>
      <c r="Q1748">
        <v>0</v>
      </c>
    </row>
    <row r="1749" spans="1:17" x14ac:dyDescent="0.2">
      <c r="A1749" s="1" t="str">
        <f>HYPERLINK("http://www.twitter.com/Ugo_Roux/status/920190813220622336", "920190813220622336")</f>
        <v>920190813220622336</v>
      </c>
      <c r="B1749" t="s">
        <v>414</v>
      </c>
      <c r="C1749" s="3">
        <v>43025.314351851863</v>
      </c>
      <c r="D1749" s="5" t="s">
        <v>28</v>
      </c>
      <c r="E1749">
        <v>0</v>
      </c>
      <c r="F1749">
        <v>0</v>
      </c>
      <c r="G1749">
        <v>0</v>
      </c>
      <c r="I1749" t="s">
        <v>1786</v>
      </c>
      <c r="J1749" t="str">
        <f>HYPERLINK("http://pbs.twimg.com/media/DMUsfBlXcAAPEyR.jpg", "http://pbs.twimg.com/media/DMUsfBlXcAAPEyR.jpg")</f>
        <v>http://pbs.twimg.com/media/DMUsfBlXcAAPEyR.jpg</v>
      </c>
      <c r="N1749">
        <v>0</v>
      </c>
      <c r="O1749">
        <v>0</v>
      </c>
      <c r="P1749">
        <v>1</v>
      </c>
      <c r="Q1749">
        <v>0</v>
      </c>
    </row>
    <row r="1750" spans="1:17" x14ac:dyDescent="0.2">
      <c r="A1750" s="1" t="str">
        <f>HYPERLINK("http://www.twitter.com/Ugo_Roux/status/920189102716280832", "920189102716280832")</f>
        <v>920189102716280832</v>
      </c>
      <c r="B1750" t="s">
        <v>414</v>
      </c>
      <c r="C1750" s="3">
        <v>43025.309641203698</v>
      </c>
      <c r="D1750" s="5" t="s">
        <v>28</v>
      </c>
      <c r="E1750">
        <v>0</v>
      </c>
      <c r="F1750">
        <v>0</v>
      </c>
      <c r="G1750">
        <v>0</v>
      </c>
      <c r="I1750" t="s">
        <v>1787</v>
      </c>
      <c r="J1750" t="str">
        <f>HYPERLINK("http://pbs.twimg.com/media/DMUq1OwWsAAuffx.jpg", "http://pbs.twimg.com/media/DMUq1OwWsAAuffx.jpg")</f>
        <v>http://pbs.twimg.com/media/DMUq1OwWsAAuffx.jpg</v>
      </c>
      <c r="N1750">
        <v>0</v>
      </c>
      <c r="O1750">
        <v>0</v>
      </c>
      <c r="P1750">
        <v>1</v>
      </c>
      <c r="Q1750">
        <v>0</v>
      </c>
    </row>
    <row r="1751" spans="1:17" x14ac:dyDescent="0.2">
      <c r="A1751" s="1" t="str">
        <f>HYPERLINK("http://www.twitter.com/Ugo_Roux/status/920182590933417984", "920182590933417984")</f>
        <v>920182590933417984</v>
      </c>
      <c r="B1751" t="s">
        <v>16</v>
      </c>
      <c r="C1751" s="3">
        <v>43025.291666666657</v>
      </c>
      <c r="D1751" s="3" t="s">
        <v>17</v>
      </c>
      <c r="E1751">
        <v>0</v>
      </c>
      <c r="F1751">
        <v>0</v>
      </c>
      <c r="G1751">
        <v>0</v>
      </c>
      <c r="I1751" t="s">
        <v>1788</v>
      </c>
      <c r="N1751">
        <v>0.40189999999999998</v>
      </c>
      <c r="O1751">
        <v>0</v>
      </c>
      <c r="P1751">
        <v>0.84699999999999998</v>
      </c>
      <c r="Q1751">
        <v>0.153</v>
      </c>
    </row>
    <row r="1752" spans="1:17" x14ac:dyDescent="0.2">
      <c r="A1752" s="1" t="str">
        <f>HYPERLINK("http://www.twitter.com/Ugo_Roux/status/918360552161861632", "918360552161861632")</f>
        <v>918360552161861632</v>
      </c>
      <c r="B1752" t="s">
        <v>285</v>
      </c>
      <c r="C1752" s="3">
        <v>43020.263796296298</v>
      </c>
      <c r="D1752" s="5" t="s">
        <v>17</v>
      </c>
      <c r="E1752">
        <v>0</v>
      </c>
      <c r="F1752">
        <v>0</v>
      </c>
      <c r="G1752">
        <v>0</v>
      </c>
      <c r="I1752" t="s">
        <v>1789</v>
      </c>
      <c r="N1752">
        <v>0</v>
      </c>
      <c r="O1752">
        <v>0</v>
      </c>
      <c r="P1752">
        <v>1</v>
      </c>
      <c r="Q1752">
        <v>0</v>
      </c>
    </row>
    <row r="1753" spans="1:17" x14ac:dyDescent="0.2">
      <c r="A1753" s="1" t="str">
        <f>HYPERLINK("http://www.twitter.com/Ugo_Roux/status/917991289932734465", "917991289932734465")</f>
        <v>917991289932734465</v>
      </c>
      <c r="B1753" t="s">
        <v>285</v>
      </c>
      <c r="C1753" s="3">
        <v>43019.244826388887</v>
      </c>
      <c r="D1753" s="5" t="s">
        <v>17</v>
      </c>
      <c r="E1753">
        <v>0</v>
      </c>
      <c r="F1753">
        <v>0</v>
      </c>
      <c r="G1753">
        <v>0</v>
      </c>
      <c r="I1753" t="s">
        <v>1790</v>
      </c>
      <c r="J1753" t="str">
        <f>HYPERLINK("http://pbs.twimg.com/media/DL1cKviX0AAbePh.jpg", "http://pbs.twimg.com/media/DL1cKviX0AAbePh.jpg")</f>
        <v>http://pbs.twimg.com/media/DL1cKviX0AAbePh.jpg</v>
      </c>
      <c r="N1753">
        <v>0</v>
      </c>
      <c r="O1753">
        <v>0</v>
      </c>
      <c r="P1753">
        <v>1</v>
      </c>
      <c r="Q1753">
        <v>0</v>
      </c>
    </row>
    <row r="1754" spans="1:17" x14ac:dyDescent="0.2">
      <c r="A1754" s="1" t="str">
        <f>HYPERLINK("http://www.twitter.com/Ugo_Roux/status/917674197278711808", "917674197278711808")</f>
        <v>917674197278711808</v>
      </c>
      <c r="B1754" t="s">
        <v>47</v>
      </c>
      <c r="C1754" s="3">
        <v>43018.369814814818</v>
      </c>
      <c r="D1754" s="5" t="s">
        <v>24</v>
      </c>
      <c r="E1754">
        <v>1</v>
      </c>
      <c r="F1754">
        <v>0</v>
      </c>
      <c r="G1754">
        <v>1</v>
      </c>
      <c r="I1754" t="s">
        <v>1791</v>
      </c>
      <c r="N1754">
        <v>0</v>
      </c>
      <c r="O1754">
        <v>0</v>
      </c>
      <c r="P1754">
        <v>1</v>
      </c>
      <c r="Q1754">
        <v>0</v>
      </c>
    </row>
    <row r="1755" spans="1:17" x14ac:dyDescent="0.2">
      <c r="A1755" s="1" t="str">
        <f>HYPERLINK("http://www.twitter.com/Ugo_Roux/status/917636550539841536", "917636550539841536")</f>
        <v>917636550539841536</v>
      </c>
      <c r="B1755" t="s">
        <v>285</v>
      </c>
      <c r="C1755" s="3">
        <v>43018.2659375</v>
      </c>
      <c r="D1755" s="5" t="s">
        <v>17</v>
      </c>
      <c r="E1755">
        <v>0</v>
      </c>
      <c r="F1755">
        <v>0</v>
      </c>
      <c r="G1755">
        <v>0</v>
      </c>
      <c r="I1755" t="s">
        <v>1792</v>
      </c>
      <c r="J1755" t="str">
        <f>HYPERLINK("http://pbs.twimg.com/media/DLwZj71XUAAVLA3.jpg", "http://pbs.twimg.com/media/DLwZj71XUAAVLA3.jpg")</f>
        <v>http://pbs.twimg.com/media/DLwZj71XUAAVLA3.jpg</v>
      </c>
      <c r="N1755">
        <v>0</v>
      </c>
      <c r="O1755">
        <v>0</v>
      </c>
      <c r="P1755">
        <v>1</v>
      </c>
      <c r="Q1755">
        <v>0</v>
      </c>
    </row>
    <row r="1756" spans="1:17" x14ac:dyDescent="0.2">
      <c r="A1756" s="1" t="str">
        <f>HYPERLINK("http://www.twitter.com/Ugo_Roux/status/916710151574388736", "916710151574388736")</f>
        <v>916710151574388736</v>
      </c>
      <c r="B1756" t="s">
        <v>130</v>
      </c>
      <c r="C1756" s="3">
        <v>43015.709560185183</v>
      </c>
      <c r="D1756" s="5" t="s">
        <v>41</v>
      </c>
      <c r="E1756">
        <v>0</v>
      </c>
      <c r="F1756">
        <v>0</v>
      </c>
      <c r="G1756">
        <v>0</v>
      </c>
      <c r="I1756" t="s">
        <v>1793</v>
      </c>
      <c r="N1756">
        <v>0</v>
      </c>
      <c r="O1756">
        <v>0</v>
      </c>
      <c r="P1756">
        <v>1</v>
      </c>
      <c r="Q1756">
        <v>0</v>
      </c>
    </row>
    <row r="1757" spans="1:17" x14ac:dyDescent="0.2">
      <c r="A1757" s="1" t="str">
        <f>HYPERLINK("http://www.twitter.com/Ugo_Roux/status/916591140882829313", "916591140882829313")</f>
        <v>916591140882829313</v>
      </c>
      <c r="B1757" t="s">
        <v>47</v>
      </c>
      <c r="C1757" s="3">
        <v>43015.381157407413</v>
      </c>
      <c r="D1757" s="3" t="s">
        <v>17</v>
      </c>
      <c r="E1757">
        <v>4</v>
      </c>
      <c r="F1757">
        <v>2</v>
      </c>
      <c r="G1757">
        <v>1</v>
      </c>
      <c r="I1757" t="s">
        <v>1794</v>
      </c>
      <c r="J1757" t="str">
        <f>HYPERLINK("http://pbs.twimg.com/media/DLhiuYRWkAAPWjd.jpg", "http://pbs.twimg.com/media/DLhiuYRWkAAPWjd.jpg")</f>
        <v>http://pbs.twimg.com/media/DLhiuYRWkAAPWjd.jpg</v>
      </c>
      <c r="N1757">
        <v>0</v>
      </c>
      <c r="O1757">
        <v>0</v>
      </c>
      <c r="P1757">
        <v>1</v>
      </c>
      <c r="Q1757">
        <v>0</v>
      </c>
    </row>
    <row r="1758" spans="1:17" x14ac:dyDescent="0.2">
      <c r="A1758" s="1" t="str">
        <f>HYPERLINK("http://www.twitter.com/Ugo_Roux/status/916300706528755712", "916300706528755712")</f>
        <v>916300706528755712</v>
      </c>
      <c r="B1758" t="s">
        <v>16</v>
      </c>
      <c r="C1758" s="3">
        <v>43014.579710648148</v>
      </c>
      <c r="D1758" s="3" t="s">
        <v>17</v>
      </c>
      <c r="E1758">
        <v>2</v>
      </c>
      <c r="F1758">
        <v>1</v>
      </c>
      <c r="G1758">
        <v>1</v>
      </c>
      <c r="I1758" t="s">
        <v>1795</v>
      </c>
      <c r="J1758" t="str">
        <f>HYPERLINK("http://pbs.twimg.com/media/DLdZ__FWkAE72Ch.jpg", "http://pbs.twimg.com/media/DLdZ__FWkAE72Ch.jpg")</f>
        <v>http://pbs.twimg.com/media/DLdZ__FWkAE72Ch.jpg</v>
      </c>
      <c r="N1758">
        <v>0</v>
      </c>
      <c r="O1758">
        <v>0</v>
      </c>
      <c r="P1758">
        <v>1</v>
      </c>
      <c r="Q1758">
        <v>0</v>
      </c>
    </row>
    <row r="1759" spans="1:17" x14ac:dyDescent="0.2">
      <c r="A1759" s="1" t="str">
        <f>HYPERLINK("http://www.twitter.com/Ugo_Roux/status/916214806297939968", "916214806297939968")</f>
        <v>916214806297939968</v>
      </c>
      <c r="B1759" t="s">
        <v>414</v>
      </c>
      <c r="C1759" s="3">
        <v>43014.342662037037</v>
      </c>
      <c r="D1759" s="5" t="s">
        <v>28</v>
      </c>
      <c r="E1759">
        <v>0</v>
      </c>
      <c r="F1759">
        <v>0</v>
      </c>
      <c r="G1759">
        <v>0</v>
      </c>
      <c r="I1759" t="s">
        <v>1796</v>
      </c>
      <c r="J1759" t="str">
        <f>HYPERLINK("http://pbs.twimg.com/media/DLcMgLbX0AAslMv.jpg", "http://pbs.twimg.com/media/DLcMgLbX0AAslMv.jpg")</f>
        <v>http://pbs.twimg.com/media/DLcMgLbX0AAslMv.jpg</v>
      </c>
      <c r="N1759">
        <v>0</v>
      </c>
      <c r="O1759">
        <v>0</v>
      </c>
      <c r="P1759">
        <v>1</v>
      </c>
      <c r="Q1759">
        <v>0</v>
      </c>
    </row>
    <row r="1760" spans="1:17" x14ac:dyDescent="0.2">
      <c r="A1760" s="1" t="str">
        <f>HYPERLINK("http://www.twitter.com/Ugo_Roux/status/916189633968529408", "916189633968529408")</f>
        <v>916189633968529408</v>
      </c>
      <c r="B1760" t="s">
        <v>285</v>
      </c>
      <c r="C1760" s="3">
        <v>43014.273206018523</v>
      </c>
      <c r="D1760" s="5" t="s">
        <v>17</v>
      </c>
      <c r="E1760">
        <v>0</v>
      </c>
      <c r="F1760">
        <v>0</v>
      </c>
      <c r="G1760">
        <v>0</v>
      </c>
      <c r="I1760" t="s">
        <v>1797</v>
      </c>
      <c r="J1760" t="str">
        <f>HYPERLINK("http://pbs.twimg.com/media/DLb1gRyWkAAgdmJ.jpg", "http://pbs.twimg.com/media/DLb1gRyWkAAgdmJ.jpg")</f>
        <v>http://pbs.twimg.com/media/DLb1gRyWkAAgdmJ.jpg</v>
      </c>
      <c r="K1760" t="str">
        <f>HYPERLINK("http://pbs.twimg.com/media/DLb1hixWAAAIZry.jpg", "http://pbs.twimg.com/media/DLb1hixWAAAIZry.jpg")</f>
        <v>http://pbs.twimg.com/media/DLb1hixWAAAIZry.jpg</v>
      </c>
      <c r="L1760" t="str">
        <f>HYPERLINK("http://pbs.twimg.com/media/DLb1i97WAAAk3ic.jpg", "http://pbs.twimg.com/media/DLb1i97WAAAk3ic.jpg")</f>
        <v>http://pbs.twimg.com/media/DLb1i97WAAAk3ic.jpg</v>
      </c>
      <c r="N1760">
        <v>-0.4753</v>
      </c>
      <c r="O1760">
        <v>0.123</v>
      </c>
      <c r="P1760">
        <v>0.877</v>
      </c>
      <c r="Q1760">
        <v>0</v>
      </c>
    </row>
    <row r="1761" spans="1:17" x14ac:dyDescent="0.2">
      <c r="A1761" s="1" t="str">
        <f>HYPERLINK("http://www.twitter.com/Ugo_Roux/status/915984841124012035", "915984841124012035")</f>
        <v>915984841124012035</v>
      </c>
      <c r="B1761" t="s">
        <v>47</v>
      </c>
      <c r="C1761" s="3">
        <v>43013.708078703698</v>
      </c>
      <c r="D1761" s="5" t="s">
        <v>41</v>
      </c>
      <c r="E1761">
        <v>12</v>
      </c>
      <c r="F1761">
        <v>3</v>
      </c>
      <c r="G1761">
        <v>0</v>
      </c>
      <c r="I1761" t="s">
        <v>1798</v>
      </c>
      <c r="N1761">
        <v>0</v>
      </c>
      <c r="O1761">
        <v>0</v>
      </c>
      <c r="P1761">
        <v>1</v>
      </c>
      <c r="Q1761">
        <v>0</v>
      </c>
    </row>
    <row r="1762" spans="1:17" x14ac:dyDescent="0.2">
      <c r="A1762" s="1" t="str">
        <f>HYPERLINK("http://www.twitter.com/Ugo_Roux/status/915925908426493952", "915925908426493952")</f>
        <v>915925908426493952</v>
      </c>
      <c r="B1762" t="s">
        <v>142</v>
      </c>
      <c r="C1762" s="3">
        <v>43013.54546296296</v>
      </c>
      <c r="D1762" s="5" t="s">
        <v>28</v>
      </c>
      <c r="E1762">
        <v>1</v>
      </c>
      <c r="F1762">
        <v>1</v>
      </c>
      <c r="G1762">
        <v>0</v>
      </c>
      <c r="I1762" t="s">
        <v>1799</v>
      </c>
      <c r="J1762" t="str">
        <f>HYPERLINK("http://pbs.twimg.com/media/DLYFuaUWAAIqJL5.jpg", "http://pbs.twimg.com/media/DLYFuaUWAAIqJL5.jpg")</f>
        <v>http://pbs.twimg.com/media/DLYFuaUWAAIqJL5.jpg</v>
      </c>
      <c r="N1762">
        <v>0</v>
      </c>
      <c r="O1762">
        <v>0</v>
      </c>
      <c r="P1762">
        <v>1</v>
      </c>
      <c r="Q1762">
        <v>0</v>
      </c>
    </row>
    <row r="1763" spans="1:17" x14ac:dyDescent="0.2">
      <c r="A1763" s="1" t="str">
        <f>HYPERLINK("http://www.twitter.com/Ugo_Roux/status/915822700580532224", "915822700580532224")</f>
        <v>915822700580532224</v>
      </c>
      <c r="B1763" t="s">
        <v>285</v>
      </c>
      <c r="C1763" s="3">
        <v>43013.260659722233</v>
      </c>
      <c r="D1763" s="5" t="s">
        <v>17</v>
      </c>
      <c r="E1763">
        <v>1</v>
      </c>
      <c r="F1763">
        <v>0</v>
      </c>
      <c r="G1763">
        <v>0</v>
      </c>
      <c r="I1763" t="s">
        <v>1800</v>
      </c>
      <c r="J1763" t="str">
        <f>HYPERLINK("http://pbs.twimg.com/media/DLWn4DuXkAE0YtK.jpg", "http://pbs.twimg.com/media/DLWn4DuXkAE0YtK.jpg")</f>
        <v>http://pbs.twimg.com/media/DLWn4DuXkAE0YtK.jpg</v>
      </c>
      <c r="N1763">
        <v>0.45879999999999999</v>
      </c>
      <c r="O1763">
        <v>0</v>
      </c>
      <c r="P1763">
        <v>0.82399999999999995</v>
      </c>
      <c r="Q1763">
        <v>0.17599999999999999</v>
      </c>
    </row>
    <row r="1764" spans="1:17" x14ac:dyDescent="0.2">
      <c r="A1764" s="1" t="str">
        <f>HYPERLINK("http://www.twitter.com/Ugo_Roux/status/915581042559520770", "915581042559520770")</f>
        <v>915581042559520770</v>
      </c>
      <c r="B1764" t="s">
        <v>142</v>
      </c>
      <c r="C1764" s="3">
        <v>43012.593807870369</v>
      </c>
      <c r="D1764" s="5" t="s">
        <v>41</v>
      </c>
      <c r="E1764">
        <v>2</v>
      </c>
      <c r="F1764">
        <v>5</v>
      </c>
      <c r="G1764">
        <v>1</v>
      </c>
      <c r="I1764" t="s">
        <v>1801</v>
      </c>
      <c r="J1764" t="str">
        <f>HYPERLINK("http://pbs.twimg.com/media/DLTMF7BW4AUELtC.jpg", "http://pbs.twimg.com/media/DLTMF7BW4AUELtC.jpg")</f>
        <v>http://pbs.twimg.com/media/DLTMF7BW4AUELtC.jpg</v>
      </c>
      <c r="K1764" t="str">
        <f>HYPERLINK("http://pbs.twimg.com/media/DLTMF7dXUAIyUL_.jpg", "http://pbs.twimg.com/media/DLTMF7dXUAIyUL_.jpg")</f>
        <v>http://pbs.twimg.com/media/DLTMF7dXUAIyUL_.jpg</v>
      </c>
      <c r="N1764">
        <v>0</v>
      </c>
      <c r="O1764">
        <v>0</v>
      </c>
      <c r="P1764">
        <v>1</v>
      </c>
      <c r="Q1764">
        <v>0</v>
      </c>
    </row>
    <row r="1765" spans="1:17" x14ac:dyDescent="0.2">
      <c r="A1765" s="1" t="str">
        <f>HYPERLINK("http://www.twitter.com/Ugo_Roux/status/915461491129819136", "915461491129819136")</f>
        <v>915461491129819136</v>
      </c>
      <c r="B1765" t="s">
        <v>285</v>
      </c>
      <c r="C1765" s="3">
        <v>43012.263912037037</v>
      </c>
      <c r="D1765" s="5" t="s">
        <v>17</v>
      </c>
      <c r="E1765">
        <v>0</v>
      </c>
      <c r="F1765">
        <v>0</v>
      </c>
      <c r="G1765">
        <v>0</v>
      </c>
      <c r="I1765" t="s">
        <v>1802</v>
      </c>
      <c r="J1765" t="str">
        <f>HYPERLINK("http://pbs.twimg.com/media/DLRfU2TW0AADA9_.jpg", "http://pbs.twimg.com/media/DLRfU2TW0AADA9_.jpg")</f>
        <v>http://pbs.twimg.com/media/DLRfU2TW0AADA9_.jpg</v>
      </c>
      <c r="N1765">
        <v>0</v>
      </c>
      <c r="O1765">
        <v>0</v>
      </c>
      <c r="P1765">
        <v>1</v>
      </c>
      <c r="Q1765">
        <v>0</v>
      </c>
    </row>
    <row r="1766" spans="1:17" x14ac:dyDescent="0.2">
      <c r="A1766" s="1" t="str">
        <f>HYPERLINK("http://www.twitter.com/Ugo_Roux/status/915151598673973248", "915151598673973248")</f>
        <v>915151598673973248</v>
      </c>
      <c r="B1766" t="s">
        <v>97</v>
      </c>
      <c r="C1766" s="3">
        <v>43011.408773148149</v>
      </c>
      <c r="D1766" s="5" t="s">
        <v>28</v>
      </c>
      <c r="E1766">
        <v>0</v>
      </c>
      <c r="F1766">
        <v>0</v>
      </c>
      <c r="G1766">
        <v>0</v>
      </c>
      <c r="I1766" t="s">
        <v>1803</v>
      </c>
      <c r="J1766" t="str">
        <f>HYPERLINK("http://pbs.twimg.com/media/DLNFhwnUQAA4dTZ.jpg", "http://pbs.twimg.com/media/DLNFhwnUQAA4dTZ.jpg")</f>
        <v>http://pbs.twimg.com/media/DLNFhwnUQAA4dTZ.jpg</v>
      </c>
      <c r="N1766">
        <v>0</v>
      </c>
      <c r="O1766">
        <v>0</v>
      </c>
      <c r="P1766">
        <v>1</v>
      </c>
      <c r="Q1766">
        <v>0</v>
      </c>
    </row>
    <row r="1767" spans="1:17" x14ac:dyDescent="0.2">
      <c r="A1767" s="1" t="str">
        <f>HYPERLINK("http://www.twitter.com/Ugo_Roux/status/915098778293669888", "915098778293669888")</f>
        <v>915098778293669888</v>
      </c>
      <c r="B1767" t="s">
        <v>285</v>
      </c>
      <c r="C1767" s="3">
        <v>43011.263020833343</v>
      </c>
      <c r="D1767" s="5" t="s">
        <v>17</v>
      </c>
      <c r="E1767">
        <v>0</v>
      </c>
      <c r="F1767">
        <v>0</v>
      </c>
      <c r="G1767">
        <v>0</v>
      </c>
      <c r="I1767" t="s">
        <v>1804</v>
      </c>
      <c r="J1767" t="str">
        <f>HYPERLINK("http://pbs.twimg.com/media/DLMVeDcWsAAv3SY.jpg", "http://pbs.twimg.com/media/DLMVeDcWsAAv3SY.jpg")</f>
        <v>http://pbs.twimg.com/media/DLMVeDcWsAAv3SY.jpg</v>
      </c>
      <c r="N1767">
        <v>0</v>
      </c>
      <c r="O1767">
        <v>0</v>
      </c>
      <c r="P1767">
        <v>1</v>
      </c>
      <c r="Q1767">
        <v>0</v>
      </c>
    </row>
    <row r="1768" spans="1:17" x14ac:dyDescent="0.2">
      <c r="A1768" s="1" t="str">
        <f>HYPERLINK("http://www.twitter.com/Ugo_Roux/status/915097519142686720", "915097519142686720")</f>
        <v>915097519142686720</v>
      </c>
      <c r="B1768" t="s">
        <v>285</v>
      </c>
      <c r="C1768" s="3">
        <v>43011.25953703704</v>
      </c>
      <c r="D1768" s="5" t="s">
        <v>28</v>
      </c>
      <c r="E1768">
        <v>0</v>
      </c>
      <c r="F1768">
        <v>0</v>
      </c>
      <c r="G1768">
        <v>0</v>
      </c>
      <c r="I1768" t="s">
        <v>1805</v>
      </c>
      <c r="J1768" t="str">
        <f>HYPERLINK("http://pbs.twimg.com/media/DLMUVb1W0AA8ymg.jpg", "http://pbs.twimg.com/media/DLMUVb1W0AA8ymg.jpg")</f>
        <v>http://pbs.twimg.com/media/DLMUVb1W0AA8ymg.jpg</v>
      </c>
      <c r="N1768">
        <v>0</v>
      </c>
      <c r="O1768">
        <v>0</v>
      </c>
      <c r="P1768">
        <v>1</v>
      </c>
      <c r="Q1768">
        <v>0</v>
      </c>
    </row>
    <row r="1769" spans="1:17" x14ac:dyDescent="0.2">
      <c r="A1769" s="1" t="str">
        <f>HYPERLINK("http://www.twitter.com/Ugo_Roux/status/914426742504378369", "914426742504378369")</f>
        <v>914426742504378369</v>
      </c>
      <c r="B1769" t="s">
        <v>142</v>
      </c>
      <c r="C1769" s="3">
        <v>43009.408553240741</v>
      </c>
      <c r="D1769" s="5" t="s">
        <v>17</v>
      </c>
      <c r="E1769">
        <v>1</v>
      </c>
      <c r="F1769">
        <v>0</v>
      </c>
      <c r="G1769">
        <v>0</v>
      </c>
      <c r="I1769" t="s">
        <v>1806</v>
      </c>
      <c r="J1769" t="str">
        <f>HYPERLINK("http://pbs.twimg.com/media/DLCyRZKXUAA6fwC.jpg", "http://pbs.twimg.com/media/DLCyRZKXUAA6fwC.jpg")</f>
        <v>http://pbs.twimg.com/media/DLCyRZKXUAA6fwC.jpg</v>
      </c>
      <c r="N1769">
        <v>0</v>
      </c>
      <c r="O1769">
        <v>0</v>
      </c>
      <c r="P1769">
        <v>1</v>
      </c>
      <c r="Q1769">
        <v>0</v>
      </c>
    </row>
    <row r="1770" spans="1:17" x14ac:dyDescent="0.2">
      <c r="A1770" s="1" t="str">
        <f>HYPERLINK("http://www.twitter.com/Ugo_Roux/status/914417555095334912", "914417555095334912")</f>
        <v>914417555095334912</v>
      </c>
      <c r="B1770" t="s">
        <v>142</v>
      </c>
      <c r="C1770" s="3">
        <v>43009.383194444446</v>
      </c>
      <c r="D1770" s="5" t="s">
        <v>515</v>
      </c>
      <c r="E1770">
        <v>0</v>
      </c>
      <c r="F1770">
        <v>0</v>
      </c>
      <c r="G1770">
        <v>0</v>
      </c>
      <c r="I1770" t="s">
        <v>1807</v>
      </c>
      <c r="N1770">
        <v>0</v>
      </c>
      <c r="O1770">
        <v>0</v>
      </c>
      <c r="P1770">
        <v>1</v>
      </c>
      <c r="Q1770">
        <v>0</v>
      </c>
    </row>
    <row r="1771" spans="1:17" x14ac:dyDescent="0.2">
      <c r="A1771" s="1" t="str">
        <f>HYPERLINK("http://www.twitter.com/Ugo_Roux/status/913788678077665285", "913788678077665285")</f>
        <v>913788678077665285</v>
      </c>
      <c r="B1771" t="s">
        <v>47</v>
      </c>
      <c r="C1771" s="3">
        <v>43007.647824074083</v>
      </c>
      <c r="D1771" s="5" t="s">
        <v>17</v>
      </c>
      <c r="E1771">
        <v>0</v>
      </c>
      <c r="F1771">
        <v>0</v>
      </c>
      <c r="G1771">
        <v>0</v>
      </c>
      <c r="I1771" t="s">
        <v>1808</v>
      </c>
      <c r="J1771" t="str">
        <f>HYPERLINK("http://pbs.twimg.com/media/DK5ttoqWsAA-SiP.jpg", "http://pbs.twimg.com/media/DK5ttoqWsAA-SiP.jpg")</f>
        <v>http://pbs.twimg.com/media/DK5ttoqWsAA-SiP.jpg</v>
      </c>
      <c r="K1771" t="str">
        <f>HYPERLINK("http://pbs.twimg.com/media/DK5twcLXoAAmz0-.jpg", "http://pbs.twimg.com/media/DK5twcLXoAAmz0-.jpg")</f>
        <v>http://pbs.twimg.com/media/DK5twcLXoAAmz0-.jpg</v>
      </c>
      <c r="N1771">
        <v>0</v>
      </c>
      <c r="O1771">
        <v>0</v>
      </c>
      <c r="P1771">
        <v>1</v>
      </c>
      <c r="Q1771">
        <v>0</v>
      </c>
    </row>
    <row r="1772" spans="1:17" x14ac:dyDescent="0.2">
      <c r="A1772" s="1" t="str">
        <f>HYPERLINK("http://www.twitter.com/Ugo_Roux/status/913658964650414080", "913658964650414080")</f>
        <v>913658964650414080</v>
      </c>
      <c r="B1772" t="s">
        <v>285</v>
      </c>
      <c r="C1772" s="3">
        <v>43007.289884259262</v>
      </c>
      <c r="D1772" s="5" t="s">
        <v>28</v>
      </c>
      <c r="E1772">
        <v>0</v>
      </c>
      <c r="F1772">
        <v>0</v>
      </c>
      <c r="G1772">
        <v>0</v>
      </c>
      <c r="I1772" t="s">
        <v>1809</v>
      </c>
      <c r="J1772" t="str">
        <f>HYPERLINK("http://pbs.twimg.com/media/DK33-UrXoAUw-Br.jpg", "http://pbs.twimg.com/media/DK33-UrXoAUw-Br.jpg")</f>
        <v>http://pbs.twimg.com/media/DK33-UrXoAUw-Br.jpg</v>
      </c>
      <c r="N1772">
        <v>0</v>
      </c>
      <c r="O1772">
        <v>0</v>
      </c>
      <c r="P1772">
        <v>1</v>
      </c>
      <c r="Q1772">
        <v>0</v>
      </c>
    </row>
    <row r="1773" spans="1:17" x14ac:dyDescent="0.2">
      <c r="A1773" s="1" t="str">
        <f>HYPERLINK("http://www.twitter.com/Ugo_Roux/status/913657749757669376", "913657749757669376")</f>
        <v>913657749757669376</v>
      </c>
      <c r="B1773" t="s">
        <v>285</v>
      </c>
      <c r="C1773" s="3">
        <v>43007.286539351851</v>
      </c>
      <c r="D1773" s="5" t="s">
        <v>17</v>
      </c>
      <c r="E1773">
        <v>0</v>
      </c>
      <c r="F1773">
        <v>0</v>
      </c>
      <c r="G1773">
        <v>0</v>
      </c>
      <c r="I1773" t="s">
        <v>1810</v>
      </c>
      <c r="J1773" t="str">
        <f>HYPERLINK("http://pbs.twimg.com/media/DK32BUoW4AAyHaQ.jpg", "http://pbs.twimg.com/media/DK32BUoW4AAyHaQ.jpg")</f>
        <v>http://pbs.twimg.com/media/DK32BUoW4AAyHaQ.jpg</v>
      </c>
      <c r="N1773">
        <v>0</v>
      </c>
      <c r="O1773">
        <v>0</v>
      </c>
      <c r="P1773">
        <v>1</v>
      </c>
      <c r="Q1773">
        <v>0</v>
      </c>
    </row>
    <row r="1774" spans="1:17" x14ac:dyDescent="0.2">
      <c r="A1774" s="1" t="str">
        <f>HYPERLINK("http://www.twitter.com/Ugo_Roux/status/913444307687890944", "913444307687890944")</f>
        <v>913444307687890944</v>
      </c>
      <c r="B1774" t="s">
        <v>142</v>
      </c>
      <c r="C1774" s="3">
        <v>43006.697546296287</v>
      </c>
      <c r="D1774" s="5" t="s">
        <v>41</v>
      </c>
      <c r="E1774">
        <v>1</v>
      </c>
      <c r="F1774">
        <v>1</v>
      </c>
      <c r="G1774">
        <v>0</v>
      </c>
      <c r="I1774" t="s">
        <v>1811</v>
      </c>
      <c r="J1774" t="str">
        <f>HYPERLINK("http://pbs.twimg.com/media/DK00v5IXcAAG4aM.jpg", "http://pbs.twimg.com/media/DK00v5IXcAAG4aM.jpg")</f>
        <v>http://pbs.twimg.com/media/DK00v5IXcAAG4aM.jpg</v>
      </c>
      <c r="N1774">
        <v>0</v>
      </c>
      <c r="O1774">
        <v>0</v>
      </c>
      <c r="P1774">
        <v>1</v>
      </c>
      <c r="Q1774">
        <v>0</v>
      </c>
    </row>
    <row r="1775" spans="1:17" x14ac:dyDescent="0.2">
      <c r="A1775" s="1" t="str">
        <f>HYPERLINK("http://www.twitter.com/Ugo_Roux/status/913390739052269568", "913390739052269568")</f>
        <v>913390739052269568</v>
      </c>
      <c r="B1775" t="s">
        <v>142</v>
      </c>
      <c r="C1775" s="3">
        <v>43006.549722222233</v>
      </c>
      <c r="D1775" s="5" t="s">
        <v>17</v>
      </c>
      <c r="E1775">
        <v>0</v>
      </c>
      <c r="F1775">
        <v>1</v>
      </c>
      <c r="G1775">
        <v>0</v>
      </c>
      <c r="I1775" t="s">
        <v>1812</v>
      </c>
      <c r="J1775" t="str">
        <f>HYPERLINK("http://pbs.twimg.com/media/DK0EB27W4AAOxpH.jpg", "http://pbs.twimg.com/media/DK0EB27W4AAOxpH.jpg")</f>
        <v>http://pbs.twimg.com/media/DK0EB27W4AAOxpH.jpg</v>
      </c>
      <c r="N1775">
        <v>0</v>
      </c>
      <c r="O1775">
        <v>0</v>
      </c>
      <c r="P1775">
        <v>1</v>
      </c>
      <c r="Q1775">
        <v>0</v>
      </c>
    </row>
    <row r="1776" spans="1:17" x14ac:dyDescent="0.2">
      <c r="A1776" s="1" t="str">
        <f>HYPERLINK("http://www.twitter.com/Ugo_Roux/status/913287647833051142", "913287647833051142")</f>
        <v>913287647833051142</v>
      </c>
      <c r="B1776" t="s">
        <v>285</v>
      </c>
      <c r="C1776" s="3">
        <v>43006.265243055554</v>
      </c>
      <c r="D1776" s="5" t="s">
        <v>28</v>
      </c>
      <c r="E1776">
        <v>1</v>
      </c>
      <c r="F1776">
        <v>0</v>
      </c>
      <c r="G1776">
        <v>0</v>
      </c>
      <c r="I1776" t="s">
        <v>1813</v>
      </c>
      <c r="J1776" t="str">
        <f>HYPERLINK("http://pbs.twimg.com/media/DKymQ31XkAEFg9M.jpg", "http://pbs.twimg.com/media/DKymQ31XkAEFg9M.jpg")</f>
        <v>http://pbs.twimg.com/media/DKymQ31XkAEFg9M.jpg</v>
      </c>
      <c r="N1776">
        <v>0</v>
      </c>
      <c r="O1776">
        <v>0</v>
      </c>
      <c r="P1776">
        <v>1</v>
      </c>
      <c r="Q1776">
        <v>0</v>
      </c>
    </row>
    <row r="1777" spans="1:17" x14ac:dyDescent="0.2">
      <c r="A1777" s="1" t="str">
        <f>HYPERLINK("http://www.twitter.com/Ugo_Roux/status/912955214285635584", "912955214285635584")</f>
        <v>912955214285635584</v>
      </c>
      <c r="B1777" t="s">
        <v>16</v>
      </c>
      <c r="C1777" s="3">
        <v>43005.347905092603</v>
      </c>
      <c r="D1777" s="3" t="s">
        <v>24</v>
      </c>
      <c r="E1777">
        <v>2</v>
      </c>
      <c r="F1777">
        <v>0</v>
      </c>
      <c r="G1777">
        <v>1</v>
      </c>
      <c r="I1777" t="s">
        <v>1814</v>
      </c>
      <c r="J1777" t="str">
        <f>HYPERLINK("http://pbs.twimg.com/media/DKt3w_xWkAAt6yC.jpg", "http://pbs.twimg.com/media/DKt3w_xWkAAt6yC.jpg")</f>
        <v>http://pbs.twimg.com/media/DKt3w_xWkAAt6yC.jpg</v>
      </c>
      <c r="N1777">
        <v>-0.26950000000000002</v>
      </c>
      <c r="O1777">
        <v>0.109</v>
      </c>
      <c r="P1777">
        <v>0.89100000000000001</v>
      </c>
      <c r="Q1777">
        <v>0</v>
      </c>
    </row>
    <row r="1778" spans="1:17" x14ac:dyDescent="0.2">
      <c r="A1778" s="1" t="str">
        <f>HYPERLINK("http://www.twitter.com/Ugo_Roux/status/912640223594647553", "912640223594647553")</f>
        <v>912640223594647553</v>
      </c>
      <c r="B1778" t="s">
        <v>285</v>
      </c>
      <c r="C1778" s="3">
        <v>43004.478692129633</v>
      </c>
      <c r="D1778" s="5" t="s">
        <v>28</v>
      </c>
      <c r="E1778">
        <v>0</v>
      </c>
      <c r="F1778">
        <v>0</v>
      </c>
      <c r="G1778">
        <v>0</v>
      </c>
      <c r="I1778" t="s">
        <v>1815</v>
      </c>
      <c r="J1778" t="str">
        <f>HYPERLINK("http://pbs.twimg.com/media/DKpZcHUWsAA3kkv.jpg", "http://pbs.twimg.com/media/DKpZcHUWsAA3kkv.jpg")</f>
        <v>http://pbs.twimg.com/media/DKpZcHUWsAA3kkv.jpg</v>
      </c>
      <c r="N1778">
        <v>0</v>
      </c>
      <c r="O1778">
        <v>0</v>
      </c>
      <c r="P1778">
        <v>1</v>
      </c>
      <c r="Q1778">
        <v>0</v>
      </c>
    </row>
    <row r="1779" spans="1:17" x14ac:dyDescent="0.2">
      <c r="A1779" s="1" t="str">
        <f>HYPERLINK("http://www.twitter.com/Ugo_Roux/status/911481127373811712", "911481127373811712")</f>
        <v>911481127373811712</v>
      </c>
      <c r="B1779" t="s">
        <v>142</v>
      </c>
      <c r="C1779" s="3">
        <v>43001.28019675926</v>
      </c>
      <c r="D1779" s="5" t="s">
        <v>17</v>
      </c>
      <c r="E1779">
        <v>0</v>
      </c>
      <c r="F1779">
        <v>1</v>
      </c>
      <c r="G1779">
        <v>0</v>
      </c>
      <c r="I1779" t="s">
        <v>1816</v>
      </c>
      <c r="J1779" t="str">
        <f>HYPERLINK("http://pbs.twimg.com/media/DKY7P3FWsAAhenx.jpg", "http://pbs.twimg.com/media/DKY7P3FWsAAhenx.jpg")</f>
        <v>http://pbs.twimg.com/media/DKY7P3FWsAAhenx.jpg</v>
      </c>
      <c r="N1779">
        <v>0</v>
      </c>
      <c r="O1779">
        <v>0</v>
      </c>
      <c r="P1779">
        <v>1</v>
      </c>
      <c r="Q1779">
        <v>0</v>
      </c>
    </row>
    <row r="1780" spans="1:17" x14ac:dyDescent="0.2">
      <c r="A1780" s="1" t="str">
        <f>HYPERLINK("http://www.twitter.com/Ugo_Roux/status/911209898553298944", "911209898553298944")</f>
        <v>911209898553298944</v>
      </c>
      <c r="B1780" t="s">
        <v>142</v>
      </c>
      <c r="C1780" s="3">
        <v>43000.531747685192</v>
      </c>
      <c r="D1780" s="5" t="s">
        <v>28</v>
      </c>
      <c r="E1780">
        <v>1</v>
      </c>
      <c r="F1780">
        <v>1</v>
      </c>
      <c r="G1780">
        <v>0</v>
      </c>
      <c r="I1780" t="s">
        <v>1817</v>
      </c>
      <c r="J1780" t="str">
        <f>HYPERLINK("http://pbs.twimg.com/media/DKVEUGOXoAENYQP.jpg", "http://pbs.twimg.com/media/DKVEUGOXoAENYQP.jpg")</f>
        <v>http://pbs.twimg.com/media/DKVEUGOXoAENYQP.jpg</v>
      </c>
      <c r="N1780">
        <v>0</v>
      </c>
      <c r="O1780">
        <v>0</v>
      </c>
      <c r="P1780">
        <v>1</v>
      </c>
      <c r="Q1780">
        <v>0</v>
      </c>
    </row>
    <row r="1781" spans="1:17" x14ac:dyDescent="0.2">
      <c r="A1781" s="1" t="str">
        <f>HYPERLINK("http://www.twitter.com/Ugo_Roux/status/911207777300828160", "911207777300828160")</f>
        <v>911207777300828160</v>
      </c>
      <c r="B1781" t="s">
        <v>142</v>
      </c>
      <c r="C1781" s="3">
        <v>43000.525902777779</v>
      </c>
      <c r="D1781" s="5" t="s">
        <v>17</v>
      </c>
      <c r="E1781">
        <v>2</v>
      </c>
      <c r="F1781">
        <v>0</v>
      </c>
      <c r="G1781">
        <v>0</v>
      </c>
      <c r="I1781" t="s">
        <v>1818</v>
      </c>
      <c r="J1781" t="str">
        <f>HYPERLINK("http://pbs.twimg.com/media/DKVCat6W4AEUF1n.jpg", "http://pbs.twimg.com/media/DKVCat6W4AEUF1n.jpg")</f>
        <v>http://pbs.twimg.com/media/DKVCat6W4AEUF1n.jpg</v>
      </c>
      <c r="N1781">
        <v>0</v>
      </c>
      <c r="O1781">
        <v>0</v>
      </c>
      <c r="P1781">
        <v>1</v>
      </c>
      <c r="Q1781">
        <v>0</v>
      </c>
    </row>
    <row r="1782" spans="1:17" x14ac:dyDescent="0.2">
      <c r="A1782" s="1" t="str">
        <f>HYPERLINK("http://www.twitter.com/Ugo_Roux/status/911122903273324544", "911122903273324544")</f>
        <v>911122903273324544</v>
      </c>
      <c r="B1782" t="s">
        <v>16</v>
      </c>
      <c r="C1782" s="3">
        <v>43000.291689814818</v>
      </c>
      <c r="D1782" s="3" t="s">
        <v>17</v>
      </c>
      <c r="E1782">
        <v>3</v>
      </c>
      <c r="F1782">
        <v>0</v>
      </c>
      <c r="G1782">
        <v>0</v>
      </c>
      <c r="I1782" t="s">
        <v>1819</v>
      </c>
      <c r="N1782">
        <v>0</v>
      </c>
      <c r="O1782">
        <v>0</v>
      </c>
      <c r="P1782">
        <v>1</v>
      </c>
      <c r="Q1782">
        <v>0</v>
      </c>
    </row>
    <row r="1783" spans="1:17" x14ac:dyDescent="0.2">
      <c r="A1783" s="1" t="str">
        <f>HYPERLINK("http://www.twitter.com/Ugo_Roux/status/911122116409511936", "911122116409511936")</f>
        <v>911122116409511936</v>
      </c>
      <c r="B1783" t="s">
        <v>285</v>
      </c>
      <c r="C1783" s="3">
        <v>43000.289525462962</v>
      </c>
      <c r="D1783" s="5" t="s">
        <v>17</v>
      </c>
      <c r="E1783">
        <v>1</v>
      </c>
      <c r="F1783">
        <v>0</v>
      </c>
      <c r="G1783">
        <v>0</v>
      </c>
      <c r="I1783" t="s">
        <v>1820</v>
      </c>
      <c r="J1783" t="str">
        <f>HYPERLINK("http://pbs.twimg.com/media/DKTzXOTWAAEa55a.jpg", "http://pbs.twimg.com/media/DKTzXOTWAAEa55a.jpg")</f>
        <v>http://pbs.twimg.com/media/DKTzXOTWAAEa55a.jpg</v>
      </c>
      <c r="K1783" t="str">
        <f>HYPERLINK("http://pbs.twimg.com/media/DKTzZ9GW0AAo6ja.jpg", "http://pbs.twimg.com/media/DKTzZ9GW0AAo6ja.jpg")</f>
        <v>http://pbs.twimg.com/media/DKTzZ9GW0AAo6ja.jpg</v>
      </c>
      <c r="L1783" t="str">
        <f>HYPERLINK("http://pbs.twimg.com/media/DKTzbLnW0AI_8DT.jpg", "http://pbs.twimg.com/media/DKTzbLnW0AI_8DT.jpg")</f>
        <v>http://pbs.twimg.com/media/DKTzbLnW0AI_8DT.jpg</v>
      </c>
      <c r="N1783">
        <v>0</v>
      </c>
      <c r="O1783">
        <v>0</v>
      </c>
      <c r="P1783">
        <v>1</v>
      </c>
      <c r="Q1783">
        <v>0</v>
      </c>
    </row>
    <row r="1784" spans="1:17" x14ac:dyDescent="0.2">
      <c r="A1784" s="1" t="str">
        <f>HYPERLINK("http://www.twitter.com/Ugo_Roux/status/910848254836973569", "910848254836973569")</f>
        <v>910848254836973569</v>
      </c>
      <c r="B1784" t="s">
        <v>285</v>
      </c>
      <c r="C1784" s="3">
        <v>42999.533807870372</v>
      </c>
      <c r="D1784" s="5" t="s">
        <v>41</v>
      </c>
      <c r="E1784">
        <v>0</v>
      </c>
      <c r="F1784">
        <v>0</v>
      </c>
      <c r="G1784">
        <v>0</v>
      </c>
      <c r="I1784" t="s">
        <v>1821</v>
      </c>
      <c r="N1784">
        <v>0</v>
      </c>
      <c r="O1784">
        <v>0</v>
      </c>
      <c r="P1784">
        <v>1</v>
      </c>
      <c r="Q1784">
        <v>0</v>
      </c>
    </row>
    <row r="1785" spans="1:17" x14ac:dyDescent="0.2">
      <c r="A1785" s="1" t="str">
        <f>HYPERLINK("http://www.twitter.com/Ugo_Roux/status/910490450573746177", "910490450573746177")</f>
        <v>910490450573746177</v>
      </c>
      <c r="B1785" t="s">
        <v>471</v>
      </c>
      <c r="C1785" s="3">
        <v>42998.546458333331</v>
      </c>
      <c r="D1785" s="3" t="s">
        <v>28</v>
      </c>
      <c r="E1785">
        <v>0</v>
      </c>
      <c r="F1785">
        <v>0</v>
      </c>
      <c r="G1785">
        <v>0</v>
      </c>
      <c r="I1785" t="s">
        <v>1822</v>
      </c>
      <c r="J1785" t="str">
        <f>HYPERLINK("http://pbs.twimg.com/media/DKK2NXeWAAANhxE.jpg", "http://pbs.twimg.com/media/DKK2NXeWAAANhxE.jpg")</f>
        <v>http://pbs.twimg.com/media/DKK2NXeWAAANhxE.jpg</v>
      </c>
      <c r="N1785">
        <v>0</v>
      </c>
      <c r="O1785">
        <v>0</v>
      </c>
      <c r="P1785">
        <v>1</v>
      </c>
      <c r="Q1785">
        <v>0</v>
      </c>
    </row>
    <row r="1786" spans="1:17" x14ac:dyDescent="0.2">
      <c r="A1786" s="1" t="str">
        <f>HYPERLINK("http://www.twitter.com/Ugo_Roux/status/910445267656351745", "910445267656351745")</f>
        <v>910445267656351745</v>
      </c>
      <c r="B1786" t="s">
        <v>47</v>
      </c>
      <c r="C1786" s="3">
        <v>42998.421770833331</v>
      </c>
      <c r="D1786" s="5" t="s">
        <v>28</v>
      </c>
      <c r="E1786">
        <v>0</v>
      </c>
      <c r="F1786">
        <v>0</v>
      </c>
      <c r="G1786">
        <v>0</v>
      </c>
      <c r="I1786" t="s">
        <v>1823</v>
      </c>
      <c r="J1786" t="str">
        <f>HYPERLINK("http://pbs.twimg.com/media/DKKNIzZXoAEJ1Yc.jpg", "http://pbs.twimg.com/media/DKKNIzZXoAEJ1Yc.jpg")</f>
        <v>http://pbs.twimg.com/media/DKKNIzZXoAEJ1Yc.jpg</v>
      </c>
      <c r="N1786">
        <v>0</v>
      </c>
      <c r="O1786">
        <v>0</v>
      </c>
      <c r="P1786">
        <v>1</v>
      </c>
      <c r="Q1786">
        <v>0</v>
      </c>
    </row>
    <row r="1787" spans="1:17" x14ac:dyDescent="0.2">
      <c r="A1787" s="1" t="str">
        <f>HYPERLINK("http://www.twitter.com/Ugo_Roux/status/910050955697070081", "910050955697070081")</f>
        <v>910050955697070081</v>
      </c>
      <c r="B1787" t="s">
        <v>370</v>
      </c>
      <c r="C1787" s="3">
        <v>42997.333680555559</v>
      </c>
      <c r="D1787" s="5" t="s">
        <v>28</v>
      </c>
      <c r="E1787">
        <v>0</v>
      </c>
      <c r="F1787">
        <v>0</v>
      </c>
      <c r="G1787">
        <v>0</v>
      </c>
      <c r="I1787" t="s">
        <v>1824</v>
      </c>
      <c r="J1787" t="str">
        <f>HYPERLINK("http://pbs.twimg.com/media/DKEmhSRU8AIQ5Ul.jpg", "http://pbs.twimg.com/media/DKEmhSRU8AIQ5Ul.jpg")</f>
        <v>http://pbs.twimg.com/media/DKEmhSRU8AIQ5Ul.jpg</v>
      </c>
      <c r="N1787">
        <v>0</v>
      </c>
      <c r="O1787">
        <v>0</v>
      </c>
      <c r="P1787">
        <v>1</v>
      </c>
      <c r="Q1787">
        <v>0</v>
      </c>
    </row>
    <row r="1788" spans="1:17" x14ac:dyDescent="0.2">
      <c r="A1788" s="1" t="str">
        <f>HYPERLINK("http://www.twitter.com/Ugo_Roux/status/910050832070012928", "910050832070012928")</f>
        <v>910050832070012928</v>
      </c>
      <c r="B1788" t="s">
        <v>370</v>
      </c>
      <c r="C1788" s="3">
        <v>42997.333333333343</v>
      </c>
      <c r="D1788" s="5" t="s">
        <v>28</v>
      </c>
      <c r="E1788">
        <v>0</v>
      </c>
      <c r="F1788">
        <v>0</v>
      </c>
      <c r="G1788">
        <v>0</v>
      </c>
      <c r="I1788" t="s">
        <v>1825</v>
      </c>
      <c r="J1788" t="str">
        <f>HYPERLINK("http://pbs.twimg.com/media/DKEmaGmUEAASiYV.jpg", "http://pbs.twimg.com/media/DKEmaGmUEAASiYV.jpg")</f>
        <v>http://pbs.twimg.com/media/DKEmaGmUEAASiYV.jpg</v>
      </c>
      <c r="N1788">
        <v>0</v>
      </c>
      <c r="O1788">
        <v>0</v>
      </c>
      <c r="P1788">
        <v>1</v>
      </c>
      <c r="Q1788">
        <v>0</v>
      </c>
    </row>
    <row r="1789" spans="1:17" x14ac:dyDescent="0.2">
      <c r="A1789" s="1" t="str">
        <f>HYPERLINK("http://www.twitter.com/Ugo_Roux/status/910049403393552384", "910049403393552384")</f>
        <v>910049403393552384</v>
      </c>
      <c r="B1789" t="s">
        <v>370</v>
      </c>
      <c r="C1789" s="3">
        <v>42997.329398148147</v>
      </c>
      <c r="D1789" s="5" t="s">
        <v>28</v>
      </c>
      <c r="E1789">
        <v>0</v>
      </c>
      <c r="F1789">
        <v>0</v>
      </c>
      <c r="G1789">
        <v>0</v>
      </c>
      <c r="I1789" t="s">
        <v>1826</v>
      </c>
      <c r="J1789" t="str">
        <f>HYPERLINK("http://pbs.twimg.com/media/DKElG8IU8AAYZvA.jpg", "http://pbs.twimg.com/media/DKElG8IU8AAYZvA.jpg")</f>
        <v>http://pbs.twimg.com/media/DKElG8IU8AAYZvA.jpg</v>
      </c>
      <c r="N1789">
        <v>0</v>
      </c>
      <c r="O1789">
        <v>0</v>
      </c>
      <c r="P1789">
        <v>1</v>
      </c>
      <c r="Q1789">
        <v>0</v>
      </c>
    </row>
    <row r="1790" spans="1:17" x14ac:dyDescent="0.2">
      <c r="A1790" s="1" t="str">
        <f>HYPERLINK("http://www.twitter.com/Ugo_Roux/status/908604835997642752", "908604835997642752")</f>
        <v>908604835997642752</v>
      </c>
      <c r="B1790" t="s">
        <v>16</v>
      </c>
      <c r="C1790" s="3">
        <v>42993.343148148153</v>
      </c>
      <c r="D1790" s="3" t="s">
        <v>17</v>
      </c>
      <c r="E1790">
        <v>0</v>
      </c>
      <c r="F1790">
        <v>0</v>
      </c>
      <c r="G1790">
        <v>0</v>
      </c>
      <c r="I1790" t="s">
        <v>1827</v>
      </c>
      <c r="J1790" t="str">
        <f>HYPERLINK("http://pbs.twimg.com/media/DJwDIykXoAEmbCY.jpg", "http://pbs.twimg.com/media/DJwDIykXoAEmbCY.jpg")</f>
        <v>http://pbs.twimg.com/media/DJwDIykXoAEmbCY.jpg</v>
      </c>
      <c r="N1790">
        <v>-0.20030000000000001</v>
      </c>
      <c r="O1790">
        <v>0.13</v>
      </c>
      <c r="P1790">
        <v>0.87</v>
      </c>
      <c r="Q1790">
        <v>0</v>
      </c>
    </row>
    <row r="1791" spans="1:17" x14ac:dyDescent="0.2">
      <c r="A1791" s="1" t="str">
        <f>HYPERLINK("http://www.twitter.com/Ugo_Roux/status/907933799639478273", "907933799639478273")</f>
        <v>907933799639478273</v>
      </c>
      <c r="B1791" t="s">
        <v>97</v>
      </c>
      <c r="C1791" s="3">
        <v>42991.491446759261</v>
      </c>
      <c r="D1791" s="5" t="s">
        <v>41</v>
      </c>
      <c r="E1791">
        <v>0</v>
      </c>
      <c r="F1791">
        <v>0</v>
      </c>
      <c r="G1791">
        <v>0</v>
      </c>
      <c r="I1791" t="s">
        <v>1828</v>
      </c>
      <c r="J1791" t="str">
        <f>HYPERLINK("http://pbs.twimg.com/media/DJmg-ncVwAAchBn.jpg", "http://pbs.twimg.com/media/DJmg-ncVwAAchBn.jpg")</f>
        <v>http://pbs.twimg.com/media/DJmg-ncVwAAchBn.jpg</v>
      </c>
      <c r="N1791">
        <v>0</v>
      </c>
      <c r="O1791">
        <v>0</v>
      </c>
      <c r="P1791">
        <v>1</v>
      </c>
      <c r="Q1791">
        <v>0</v>
      </c>
    </row>
    <row r="1792" spans="1:17" x14ac:dyDescent="0.2">
      <c r="A1792" s="1" t="str">
        <f>HYPERLINK("http://www.twitter.com/Ugo_Roux/status/907856875840032768", "907856875840032768")</f>
        <v>907856875840032768</v>
      </c>
      <c r="B1792" t="s">
        <v>285</v>
      </c>
      <c r="C1792" s="3">
        <v>42991.279178240737</v>
      </c>
      <c r="D1792" s="5" t="s">
        <v>17</v>
      </c>
      <c r="E1792">
        <v>0</v>
      </c>
      <c r="F1792">
        <v>0</v>
      </c>
      <c r="G1792">
        <v>0</v>
      </c>
      <c r="I1792" t="s">
        <v>1829</v>
      </c>
      <c r="J1792" t="str">
        <f>HYPERLINK("http://pbs.twimg.com/media/DJlbAJCXcAA_9GH.jpg", "http://pbs.twimg.com/media/DJlbAJCXcAA_9GH.jpg")</f>
        <v>http://pbs.twimg.com/media/DJlbAJCXcAA_9GH.jpg</v>
      </c>
      <c r="N1792">
        <v>0</v>
      </c>
      <c r="O1792">
        <v>0</v>
      </c>
      <c r="P1792">
        <v>1</v>
      </c>
      <c r="Q1792">
        <v>0</v>
      </c>
    </row>
    <row r="1793" spans="1:17" x14ac:dyDescent="0.2">
      <c r="A1793" s="1" t="str">
        <f>HYPERLINK("http://www.twitter.com/Ugo_Roux/status/907571081707495424", "907571081707495424")</f>
        <v>907571081707495424</v>
      </c>
      <c r="B1793" t="s">
        <v>285</v>
      </c>
      <c r="C1793" s="3">
        <v>42990.490532407413</v>
      </c>
      <c r="D1793" s="5" t="s">
        <v>28</v>
      </c>
      <c r="E1793">
        <v>0</v>
      </c>
      <c r="F1793">
        <v>1</v>
      </c>
      <c r="G1793">
        <v>0</v>
      </c>
      <c r="I1793" t="s">
        <v>1830</v>
      </c>
      <c r="J1793" t="str">
        <f>HYPERLINK("http://pbs.twimg.com/media/DJhW9eMW0AM_6ch.jpg", "http://pbs.twimg.com/media/DJhW9eMW0AM_6ch.jpg")</f>
        <v>http://pbs.twimg.com/media/DJhW9eMW0AM_6ch.jpg</v>
      </c>
      <c r="N1793">
        <v>0</v>
      </c>
      <c r="O1793">
        <v>0</v>
      </c>
      <c r="P1793">
        <v>1</v>
      </c>
      <c r="Q1793">
        <v>0</v>
      </c>
    </row>
    <row r="1794" spans="1:17" x14ac:dyDescent="0.2">
      <c r="A1794" s="1" t="str">
        <f>HYPERLINK("http://www.twitter.com/Ugo_Roux/status/907522281655631873", "907522281655631873")</f>
        <v>907522281655631873</v>
      </c>
      <c r="B1794" t="s">
        <v>370</v>
      </c>
      <c r="C1794" s="3">
        <v>42990.355868055558</v>
      </c>
      <c r="D1794" s="5" t="s">
        <v>17</v>
      </c>
      <c r="E1794">
        <v>0</v>
      </c>
      <c r="F1794">
        <v>0</v>
      </c>
      <c r="G1794">
        <v>0</v>
      </c>
      <c r="I1794" t="s">
        <v>1831</v>
      </c>
      <c r="J1794" t="str">
        <f>HYPERLINK("http://pbs.twimg.com/media/DJgqtG8V4AA35j3.jpg", "http://pbs.twimg.com/media/DJgqtG8V4AA35j3.jpg")</f>
        <v>http://pbs.twimg.com/media/DJgqtG8V4AA35j3.jpg</v>
      </c>
      <c r="N1794">
        <v>0</v>
      </c>
      <c r="O1794">
        <v>0</v>
      </c>
      <c r="P1794">
        <v>1</v>
      </c>
      <c r="Q1794">
        <v>0</v>
      </c>
    </row>
    <row r="1795" spans="1:17" x14ac:dyDescent="0.2">
      <c r="A1795" s="1" t="str">
        <f>HYPERLINK("http://www.twitter.com/Ugo_Roux/status/907275384437211137", "907275384437211137")</f>
        <v>907275384437211137</v>
      </c>
      <c r="B1795" t="s">
        <v>97</v>
      </c>
      <c r="C1795" s="3">
        <v>42989.674560185187</v>
      </c>
      <c r="D1795" s="5" t="s">
        <v>28</v>
      </c>
      <c r="E1795">
        <v>1</v>
      </c>
      <c r="F1795">
        <v>0</v>
      </c>
      <c r="G1795">
        <v>0</v>
      </c>
      <c r="I1795" t="s">
        <v>1832</v>
      </c>
      <c r="J1795" t="str">
        <f>HYPERLINK("http://pbs.twimg.com/media/DJdKJxvVYAAU5hf.jpg", "http://pbs.twimg.com/media/DJdKJxvVYAAU5hf.jpg")</f>
        <v>http://pbs.twimg.com/media/DJdKJxvVYAAU5hf.jpg</v>
      </c>
      <c r="N1795">
        <v>0</v>
      </c>
      <c r="O1795">
        <v>0</v>
      </c>
      <c r="P1795">
        <v>1</v>
      </c>
      <c r="Q1795">
        <v>0</v>
      </c>
    </row>
    <row r="1796" spans="1:17" x14ac:dyDescent="0.2">
      <c r="A1796" s="1" t="str">
        <f>HYPERLINK("http://www.twitter.com/Ugo_Roux/status/905721078546403332", "905721078546403332")</f>
        <v>905721078546403332</v>
      </c>
      <c r="B1796" t="s">
        <v>471</v>
      </c>
      <c r="C1796" s="3">
        <v>42985.385497685187</v>
      </c>
      <c r="D1796" s="3" t="s">
        <v>17</v>
      </c>
      <c r="E1796">
        <v>0</v>
      </c>
      <c r="F1796">
        <v>1</v>
      </c>
      <c r="G1796">
        <v>0</v>
      </c>
      <c r="I1796" t="s">
        <v>1833</v>
      </c>
      <c r="J1796" t="str">
        <f>HYPERLINK("http://pbs.twimg.com/media/DJHEb6TWAAAql4W.jpg", "http://pbs.twimg.com/media/DJHEb6TWAAAql4W.jpg")</f>
        <v>http://pbs.twimg.com/media/DJHEb6TWAAAql4W.jpg</v>
      </c>
      <c r="N1796">
        <v>0</v>
      </c>
      <c r="O1796">
        <v>0</v>
      </c>
      <c r="P1796">
        <v>1</v>
      </c>
      <c r="Q1796">
        <v>0</v>
      </c>
    </row>
    <row r="1797" spans="1:17" x14ac:dyDescent="0.2">
      <c r="A1797" s="1" t="str">
        <f>HYPERLINK("http://www.twitter.com/Ugo_Roux/status/905339797794951168", "905339797794951168")</f>
        <v>905339797794951168</v>
      </c>
      <c r="B1797" t="s">
        <v>16</v>
      </c>
      <c r="C1797" s="3">
        <v>42984.333356481482</v>
      </c>
      <c r="D1797" s="3" t="s">
        <v>239</v>
      </c>
      <c r="E1797">
        <v>6</v>
      </c>
      <c r="F1797">
        <v>3</v>
      </c>
      <c r="G1797">
        <v>0</v>
      </c>
      <c r="I1797" t="s">
        <v>1834</v>
      </c>
      <c r="J1797" t="str">
        <f>HYPERLINK("http://pbs.twimg.com/media/DJBfMfhXYAAo5ti.jpg", "http://pbs.twimg.com/media/DJBfMfhXYAAo5ti.jpg")</f>
        <v>http://pbs.twimg.com/media/DJBfMfhXYAAo5ti.jpg</v>
      </c>
      <c r="N1797">
        <v>0</v>
      </c>
      <c r="O1797">
        <v>0</v>
      </c>
      <c r="P1797">
        <v>1</v>
      </c>
      <c r="Q1797">
        <v>0</v>
      </c>
    </row>
    <row r="1798" spans="1:17" x14ac:dyDescent="0.2">
      <c r="A1798" s="1" t="str">
        <f>HYPERLINK("http://www.twitter.com/Ugo_Roux/status/905318226741035008", "905318226741035008")</f>
        <v>905318226741035008</v>
      </c>
      <c r="B1798" t="s">
        <v>285</v>
      </c>
      <c r="C1798" s="3">
        <v>42984.273831018523</v>
      </c>
      <c r="D1798" s="5" t="s">
        <v>28</v>
      </c>
      <c r="E1798">
        <v>0</v>
      </c>
      <c r="F1798">
        <v>0</v>
      </c>
      <c r="G1798">
        <v>0</v>
      </c>
      <c r="I1798" t="s">
        <v>1835</v>
      </c>
      <c r="N1798">
        <v>0</v>
      </c>
      <c r="O1798">
        <v>0</v>
      </c>
      <c r="P1798">
        <v>1</v>
      </c>
      <c r="Q1798">
        <v>0</v>
      </c>
    </row>
    <row r="1799" spans="1:17" x14ac:dyDescent="0.2">
      <c r="A1799" s="1" t="str">
        <f>HYPERLINK("http://www.twitter.com/Ugo_Roux/status/904970016524832768", "904970016524832768")</f>
        <v>904970016524832768</v>
      </c>
      <c r="B1799" t="s">
        <v>414</v>
      </c>
      <c r="C1799" s="3">
        <v>42983.312962962962</v>
      </c>
      <c r="D1799" s="5" t="s">
        <v>28</v>
      </c>
      <c r="E1799">
        <v>0</v>
      </c>
      <c r="F1799">
        <v>0</v>
      </c>
      <c r="G1799">
        <v>0</v>
      </c>
      <c r="I1799" t="s">
        <v>1836</v>
      </c>
      <c r="J1799" t="str">
        <f>HYPERLINK("http://pbs.twimg.com/media/DI8Za1eXYAAl4H_.jpg", "http://pbs.twimg.com/media/DI8Za1eXYAAl4H_.jpg")</f>
        <v>http://pbs.twimg.com/media/DI8Za1eXYAAl4H_.jpg</v>
      </c>
      <c r="N1799">
        <v>0.45879999999999999</v>
      </c>
      <c r="O1799">
        <v>0</v>
      </c>
      <c r="P1799">
        <v>0.86399999999999999</v>
      </c>
      <c r="Q1799">
        <v>0.13600000000000001</v>
      </c>
    </row>
    <row r="1800" spans="1:17" x14ac:dyDescent="0.2">
      <c r="A1800" s="1" t="str">
        <f>HYPERLINK("http://www.twitter.com/Ugo_Roux/status/904671777204428800", "904671777204428800")</f>
        <v>904671777204428800</v>
      </c>
      <c r="B1800" t="s">
        <v>142</v>
      </c>
      <c r="C1800" s="3">
        <v>42982.489976851852</v>
      </c>
      <c r="D1800" s="5" t="s">
        <v>17</v>
      </c>
      <c r="E1800">
        <v>0</v>
      </c>
      <c r="F1800">
        <v>0</v>
      </c>
      <c r="G1800">
        <v>0</v>
      </c>
      <c r="I1800" t="s">
        <v>1837</v>
      </c>
      <c r="N1800">
        <v>0</v>
      </c>
      <c r="O1800">
        <v>0</v>
      </c>
      <c r="P1800">
        <v>1</v>
      </c>
      <c r="Q1800">
        <v>0</v>
      </c>
    </row>
    <row r="1801" spans="1:17" x14ac:dyDescent="0.2">
      <c r="A1801" s="1" t="str">
        <f>HYPERLINK("http://www.twitter.com/Ugo_Roux/status/903876598432137216", "903876598432137216")</f>
        <v>903876598432137216</v>
      </c>
      <c r="B1801" t="s">
        <v>97</v>
      </c>
      <c r="C1801" s="3">
        <v>42980.295694444438</v>
      </c>
      <c r="D1801" s="5" t="s">
        <v>28</v>
      </c>
      <c r="E1801">
        <v>0</v>
      </c>
      <c r="F1801">
        <v>0</v>
      </c>
      <c r="G1801">
        <v>0</v>
      </c>
      <c r="I1801" t="s">
        <v>1838</v>
      </c>
      <c r="J1801" t="str">
        <f>HYPERLINK("http://pbs.twimg.com/media/DIs2-aVUQAAPjMB.jpg", "http://pbs.twimg.com/media/DIs2-aVUQAAPjMB.jpg")</f>
        <v>http://pbs.twimg.com/media/DIs2-aVUQAAPjMB.jpg</v>
      </c>
      <c r="N1801">
        <v>0</v>
      </c>
      <c r="O1801">
        <v>0</v>
      </c>
      <c r="P1801">
        <v>1</v>
      </c>
      <c r="Q1801">
        <v>0</v>
      </c>
    </row>
    <row r="1802" spans="1:17" x14ac:dyDescent="0.2">
      <c r="A1802" s="1" t="str">
        <f>HYPERLINK("http://www.twitter.com/Ugo_Roux/status/903535820602298368", "903535820602298368")</f>
        <v>903535820602298368</v>
      </c>
      <c r="B1802" t="s">
        <v>285</v>
      </c>
      <c r="C1802" s="3">
        <v>42979.35533564815</v>
      </c>
      <c r="D1802" s="5" t="s">
        <v>28</v>
      </c>
      <c r="E1802">
        <v>0</v>
      </c>
      <c r="F1802">
        <v>1</v>
      </c>
      <c r="G1802">
        <v>0</v>
      </c>
      <c r="I1802" t="s">
        <v>1839</v>
      </c>
      <c r="J1802" t="str">
        <f>HYPERLINK("http://pbs.twimg.com/media/DIoBB-8W0AMa0fL.jpg", "http://pbs.twimg.com/media/DIoBB-8W0AMa0fL.jpg")</f>
        <v>http://pbs.twimg.com/media/DIoBB-8W0AMa0fL.jpg</v>
      </c>
      <c r="N1802">
        <v>0</v>
      </c>
      <c r="O1802">
        <v>0</v>
      </c>
      <c r="P1802">
        <v>1</v>
      </c>
      <c r="Q1802">
        <v>0</v>
      </c>
    </row>
    <row r="1803" spans="1:17" x14ac:dyDescent="0.2">
      <c r="A1803" s="1" t="str">
        <f>HYPERLINK("http://www.twitter.com/Ugo_Roux/status/902890510188253184", "902890510188253184")</f>
        <v>902890510188253184</v>
      </c>
      <c r="B1803" t="s">
        <v>97</v>
      </c>
      <c r="C1803" s="3">
        <v>42977.574618055558</v>
      </c>
      <c r="D1803" s="5" t="s">
        <v>28</v>
      </c>
      <c r="E1803">
        <v>0</v>
      </c>
      <c r="F1803">
        <v>0</v>
      </c>
      <c r="G1803">
        <v>0</v>
      </c>
      <c r="I1803" t="s">
        <v>1840</v>
      </c>
      <c r="J1803" t="str">
        <f>HYPERLINK("http://pbs.twimg.com/media/DIe2IhiUMAAs3OF.jpg", "http://pbs.twimg.com/media/DIe2IhiUMAAs3OF.jpg")</f>
        <v>http://pbs.twimg.com/media/DIe2IhiUMAAs3OF.jpg</v>
      </c>
      <c r="N1803">
        <v>0</v>
      </c>
      <c r="O1803">
        <v>0</v>
      </c>
      <c r="P1803">
        <v>1</v>
      </c>
      <c r="Q1803">
        <v>0</v>
      </c>
    </row>
    <row r="1804" spans="1:17" x14ac:dyDescent="0.2">
      <c r="A1804" s="1" t="str">
        <f>HYPERLINK("http://www.twitter.com/Ugo_Roux/status/902877102986362880", "902877102986362880")</f>
        <v>902877102986362880</v>
      </c>
      <c r="B1804" t="s">
        <v>471</v>
      </c>
      <c r="C1804" s="3">
        <v>42977.537615740737</v>
      </c>
      <c r="D1804" s="3" t="s">
        <v>28</v>
      </c>
      <c r="E1804">
        <v>0</v>
      </c>
      <c r="F1804">
        <v>0</v>
      </c>
      <c r="G1804">
        <v>0</v>
      </c>
      <c r="I1804" t="s">
        <v>1841</v>
      </c>
      <c r="J1804" t="str">
        <f>HYPERLINK("http://pbs.twimg.com/media/DIepwfYVAAUO4oT.jpg", "http://pbs.twimg.com/media/DIepwfYVAAUO4oT.jpg")</f>
        <v>http://pbs.twimg.com/media/DIepwfYVAAUO4oT.jpg</v>
      </c>
      <c r="N1804">
        <v>0</v>
      </c>
      <c r="O1804">
        <v>0</v>
      </c>
      <c r="P1804">
        <v>1</v>
      </c>
      <c r="Q1804">
        <v>0</v>
      </c>
    </row>
    <row r="1805" spans="1:17" x14ac:dyDescent="0.2">
      <c r="A1805" s="1" t="str">
        <f>HYPERLINK("http://www.twitter.com/Ugo_Roux/status/902535602347921408", "902535602347921408")</f>
        <v>902535602347921408</v>
      </c>
      <c r="B1805" t="s">
        <v>414</v>
      </c>
      <c r="C1805" s="3">
        <v>42976.595254629632</v>
      </c>
      <c r="D1805" s="5" t="s">
        <v>41</v>
      </c>
      <c r="E1805">
        <v>1</v>
      </c>
      <c r="F1805">
        <v>0</v>
      </c>
      <c r="G1805">
        <v>0</v>
      </c>
      <c r="I1805" t="s">
        <v>1842</v>
      </c>
      <c r="J1805" t="str">
        <f>HYPERLINK("http://pbs.twimg.com/media/DIZy9lZWsAAgOba.jpg", "http://pbs.twimg.com/media/DIZy9lZWsAAgOba.jpg")</f>
        <v>http://pbs.twimg.com/media/DIZy9lZWsAAgOba.jpg</v>
      </c>
      <c r="N1805">
        <v>0.45879999999999999</v>
      </c>
      <c r="O1805">
        <v>0</v>
      </c>
      <c r="P1805">
        <v>0.78600000000000003</v>
      </c>
      <c r="Q1805">
        <v>0.214</v>
      </c>
    </row>
    <row r="1806" spans="1:17" x14ac:dyDescent="0.2">
      <c r="A1806" s="1" t="str">
        <f>HYPERLINK("http://www.twitter.com/Ugo_Roux/status/902496705702236160", "902496705702236160")</f>
        <v>902496705702236160</v>
      </c>
      <c r="B1806" t="s">
        <v>285</v>
      </c>
      <c r="C1806" s="3">
        <v>42976.487916666672</v>
      </c>
      <c r="D1806" s="5" t="s">
        <v>28</v>
      </c>
      <c r="E1806">
        <v>0</v>
      </c>
      <c r="F1806">
        <v>0</v>
      </c>
      <c r="G1806">
        <v>0</v>
      </c>
      <c r="I1806" t="s">
        <v>1843</v>
      </c>
      <c r="J1806" t="str">
        <f>HYPERLINK("http://pbs.twimg.com/media/DIZP6Y0W0AE7ZJK.jpg", "http://pbs.twimg.com/media/DIZP6Y0W0AE7ZJK.jpg")</f>
        <v>http://pbs.twimg.com/media/DIZP6Y0W0AE7ZJK.jpg</v>
      </c>
      <c r="N1806">
        <v>0</v>
      </c>
      <c r="O1806">
        <v>0</v>
      </c>
      <c r="P1806">
        <v>1</v>
      </c>
      <c r="Q1806">
        <v>0</v>
      </c>
    </row>
    <row r="1807" spans="1:17" x14ac:dyDescent="0.2">
      <c r="A1807" s="1" t="str">
        <f>HYPERLINK("http://www.twitter.com/Ugo_Roux/status/901354449737850880", "901354449737850880")</f>
        <v>901354449737850880</v>
      </c>
      <c r="B1807" t="s">
        <v>16</v>
      </c>
      <c r="C1807" s="3">
        <v>42973.3358912037</v>
      </c>
      <c r="D1807" s="3" t="s">
        <v>515</v>
      </c>
      <c r="E1807">
        <v>1</v>
      </c>
      <c r="F1807">
        <v>0</v>
      </c>
      <c r="G1807">
        <v>0</v>
      </c>
      <c r="I1807" t="s">
        <v>1844</v>
      </c>
      <c r="J1807" t="str">
        <f>HYPERLINK("http://pbs.twimg.com/media/DII9f6IXkAAD6R2.png", "http://pbs.twimg.com/media/DII9f6IXkAAD6R2.png")</f>
        <v>http://pbs.twimg.com/media/DII9f6IXkAAD6R2.png</v>
      </c>
      <c r="N1807">
        <v>0</v>
      </c>
      <c r="O1807">
        <v>0</v>
      </c>
      <c r="P1807">
        <v>1</v>
      </c>
      <c r="Q1807">
        <v>0</v>
      </c>
    </row>
    <row r="1808" spans="1:17" x14ac:dyDescent="0.2">
      <c r="A1808" s="1" t="str">
        <f>HYPERLINK("http://www.twitter.com/Ugo_Roux/status/901067584778514432", "901067584778514432")</f>
        <v>901067584778514432</v>
      </c>
      <c r="B1808" t="s">
        <v>414</v>
      </c>
      <c r="C1808" s="3">
        <v>42972.544293981482</v>
      </c>
      <c r="D1808" s="5" t="s">
        <v>24</v>
      </c>
      <c r="E1808">
        <v>1</v>
      </c>
      <c r="F1808">
        <v>0</v>
      </c>
      <c r="G1808">
        <v>0</v>
      </c>
      <c r="I1808" t="s">
        <v>1845</v>
      </c>
      <c r="J1808" t="str">
        <f>HYPERLINK("http://pbs.twimg.com/media/DIE8Dy7WsAAQ8-A.jpg", "http://pbs.twimg.com/media/DIE8Dy7WsAAQ8-A.jpg")</f>
        <v>http://pbs.twimg.com/media/DIE8Dy7WsAAQ8-A.jpg</v>
      </c>
      <c r="N1808">
        <v>0.45879999999999999</v>
      </c>
      <c r="O1808">
        <v>0</v>
      </c>
      <c r="P1808">
        <v>0.78600000000000003</v>
      </c>
      <c r="Q1808">
        <v>0.214</v>
      </c>
    </row>
    <row r="1809" spans="1:17" x14ac:dyDescent="0.2">
      <c r="A1809" s="1" t="str">
        <f>HYPERLINK("http://www.twitter.com/Ugo_Roux/status/900756611152715776", "900756611152715776")</f>
        <v>900756611152715776</v>
      </c>
      <c r="B1809" t="s">
        <v>47</v>
      </c>
      <c r="C1809" s="3">
        <v>42971.686180555553</v>
      </c>
      <c r="D1809" s="5" t="s">
        <v>41</v>
      </c>
      <c r="E1809">
        <v>4</v>
      </c>
      <c r="F1809">
        <v>0</v>
      </c>
      <c r="G1809">
        <v>0</v>
      </c>
      <c r="I1809" t="s">
        <v>1846</v>
      </c>
      <c r="J1809" t="str">
        <f>HYPERLINK("http://pbs.twimg.com/media/DIAgOOfXsAE_Ghe.jpg", "http://pbs.twimg.com/media/DIAgOOfXsAE_Ghe.jpg")</f>
        <v>http://pbs.twimg.com/media/DIAgOOfXsAE_Ghe.jpg</v>
      </c>
      <c r="N1809">
        <v>0</v>
      </c>
      <c r="O1809">
        <v>0</v>
      </c>
      <c r="P1809">
        <v>1</v>
      </c>
      <c r="Q1809">
        <v>0</v>
      </c>
    </row>
    <row r="1810" spans="1:17" x14ac:dyDescent="0.2">
      <c r="A1810" s="1" t="str">
        <f>HYPERLINK("http://www.twitter.com/Ugo_Roux/status/900032863730577408", "900032863730577408")</f>
        <v>900032863730577408</v>
      </c>
      <c r="B1810" t="s">
        <v>47</v>
      </c>
      <c r="C1810" s="3">
        <v>42969.689016203702</v>
      </c>
      <c r="D1810" s="5" t="s">
        <v>460</v>
      </c>
      <c r="E1810">
        <v>1</v>
      </c>
      <c r="F1810">
        <v>2</v>
      </c>
      <c r="G1810">
        <v>0</v>
      </c>
      <c r="I1810" t="s">
        <v>1847</v>
      </c>
      <c r="J1810" t="str">
        <f>HYPERLINK("http://pbs.twimg.com/media/DH2PGGwWsAQ3fgO.jpg", "http://pbs.twimg.com/media/DH2PGGwWsAQ3fgO.jpg")</f>
        <v>http://pbs.twimg.com/media/DH2PGGwWsAQ3fgO.jpg</v>
      </c>
      <c r="N1810">
        <v>0.50929999999999997</v>
      </c>
      <c r="O1810">
        <v>0</v>
      </c>
      <c r="P1810">
        <v>0.879</v>
      </c>
      <c r="Q1810">
        <v>0.121</v>
      </c>
    </row>
    <row r="1811" spans="1:17" x14ac:dyDescent="0.2">
      <c r="A1811" s="1" t="str">
        <f>HYPERLINK("http://www.twitter.com/Ugo_Roux/status/899891420257026048", "899891420257026048")</f>
        <v>899891420257026048</v>
      </c>
      <c r="B1811" t="s">
        <v>414</v>
      </c>
      <c r="C1811" s="3">
        <v>42969.298703703702</v>
      </c>
      <c r="D1811" s="5" t="s">
        <v>24</v>
      </c>
      <c r="E1811">
        <v>0</v>
      </c>
      <c r="F1811">
        <v>0</v>
      </c>
      <c r="G1811">
        <v>0</v>
      </c>
      <c r="I1811" t="s">
        <v>1848</v>
      </c>
      <c r="J1811" t="str">
        <f>HYPERLINK("http://pbs.twimg.com/media/DH0OZxXWsAEfkR2.jpg", "http://pbs.twimg.com/media/DH0OZxXWsAEfkR2.jpg")</f>
        <v>http://pbs.twimg.com/media/DH0OZxXWsAEfkR2.jpg</v>
      </c>
      <c r="N1811">
        <v>0.85160000000000002</v>
      </c>
      <c r="O1811">
        <v>0</v>
      </c>
      <c r="P1811">
        <v>0.54200000000000004</v>
      </c>
      <c r="Q1811">
        <v>0.45800000000000002</v>
      </c>
    </row>
    <row r="1812" spans="1:17" x14ac:dyDescent="0.2">
      <c r="A1812" s="1" t="str">
        <f>HYPERLINK("http://www.twitter.com/Ugo_Roux/status/899879400807772161", "899879400807772161")</f>
        <v>899879400807772161</v>
      </c>
      <c r="B1812" t="s">
        <v>285</v>
      </c>
      <c r="C1812" s="3">
        <v>42969.265532407408</v>
      </c>
      <c r="D1812" s="5" t="s">
        <v>28</v>
      </c>
      <c r="E1812">
        <v>1</v>
      </c>
      <c r="F1812">
        <v>0</v>
      </c>
      <c r="G1812">
        <v>0</v>
      </c>
      <c r="I1812" t="s">
        <v>1849</v>
      </c>
      <c r="J1812" t="str">
        <f>HYPERLINK("http://pbs.twimg.com/media/DH0DgXZXYAAhTrq.jpg", "http://pbs.twimg.com/media/DH0DgXZXYAAhTrq.jpg")</f>
        <v>http://pbs.twimg.com/media/DH0DgXZXYAAhTrq.jpg</v>
      </c>
      <c r="N1812">
        <v>0</v>
      </c>
      <c r="O1812">
        <v>0</v>
      </c>
      <c r="P1812">
        <v>1</v>
      </c>
      <c r="Q1812">
        <v>0</v>
      </c>
    </row>
    <row r="1813" spans="1:17" x14ac:dyDescent="0.2">
      <c r="A1813" s="1" t="str">
        <f>HYPERLINK("http://www.twitter.com/Ugo_Roux/status/899644878312943616", "899644878312943616")</f>
        <v>899644878312943616</v>
      </c>
      <c r="B1813" t="s">
        <v>97</v>
      </c>
      <c r="C1813" s="3">
        <v>42968.618379629632</v>
      </c>
      <c r="D1813" s="5" t="s">
        <v>28</v>
      </c>
      <c r="E1813">
        <v>0</v>
      </c>
      <c r="F1813">
        <v>0</v>
      </c>
      <c r="G1813">
        <v>0</v>
      </c>
      <c r="I1813" t="s">
        <v>1850</v>
      </c>
      <c r="J1813" t="str">
        <f>HYPERLINK("http://pbs.twimg.com/media/DHwuP2UVYAEzhY_.jpg", "http://pbs.twimg.com/media/DHwuP2UVYAEzhY_.jpg")</f>
        <v>http://pbs.twimg.com/media/DHwuP2UVYAEzhY_.jpg</v>
      </c>
      <c r="N1813">
        <v>0</v>
      </c>
      <c r="O1813">
        <v>0</v>
      </c>
      <c r="P1813">
        <v>1</v>
      </c>
      <c r="Q1813">
        <v>0</v>
      </c>
    </row>
    <row r="1814" spans="1:17" x14ac:dyDescent="0.2">
      <c r="A1814" s="1" t="str">
        <f>HYPERLINK("http://www.twitter.com/Ugo_Roux/status/899203671866650624", "899203671866650624")</f>
        <v>899203671866650624</v>
      </c>
      <c r="B1814" t="s">
        <v>142</v>
      </c>
      <c r="C1814" s="3">
        <v>42967.400879629633</v>
      </c>
      <c r="D1814" s="5" t="s">
        <v>17</v>
      </c>
      <c r="E1814">
        <v>4</v>
      </c>
      <c r="F1814">
        <v>4</v>
      </c>
      <c r="G1814">
        <v>0</v>
      </c>
      <c r="I1814" t="s">
        <v>1851</v>
      </c>
      <c r="N1814">
        <v>0</v>
      </c>
      <c r="O1814">
        <v>0</v>
      </c>
      <c r="P1814">
        <v>1</v>
      </c>
      <c r="Q1814">
        <v>0</v>
      </c>
    </row>
    <row r="1815" spans="1:17" x14ac:dyDescent="0.2">
      <c r="A1815" s="1" t="str">
        <f>HYPERLINK("http://www.twitter.com/Ugo_Roux/status/898844890972397568", "898844890972397568")</f>
        <v>898844890972397568</v>
      </c>
      <c r="B1815" t="s">
        <v>47</v>
      </c>
      <c r="C1815" s="3">
        <v>42966.410833333342</v>
      </c>
      <c r="D1815" s="5" t="s">
        <v>17</v>
      </c>
      <c r="E1815">
        <v>12</v>
      </c>
      <c r="F1815">
        <v>16</v>
      </c>
      <c r="G1815">
        <v>0</v>
      </c>
      <c r="I1815" t="s">
        <v>1852</v>
      </c>
      <c r="J1815" t="str">
        <f>HYPERLINK("http://pbs.twimg.com/media/DHlWO4TXYAEtNTm.jpg", "http://pbs.twimg.com/media/DHlWO4TXYAEtNTm.jpg")</f>
        <v>http://pbs.twimg.com/media/DHlWO4TXYAEtNTm.jpg</v>
      </c>
      <c r="N1815">
        <v>0</v>
      </c>
      <c r="O1815">
        <v>0</v>
      </c>
      <c r="P1815">
        <v>1</v>
      </c>
      <c r="Q1815">
        <v>0</v>
      </c>
    </row>
    <row r="1816" spans="1:17" x14ac:dyDescent="0.2">
      <c r="A1816" s="1" t="str">
        <f>HYPERLINK("http://www.twitter.com/Ugo_Roux/status/898514529692286976", "898514529692286976")</f>
        <v>898514529692286976</v>
      </c>
      <c r="B1816" t="s">
        <v>142</v>
      </c>
      <c r="C1816" s="3">
        <v>42965.499212962961</v>
      </c>
      <c r="D1816" s="5" t="s">
        <v>41</v>
      </c>
      <c r="E1816">
        <v>0</v>
      </c>
      <c r="F1816">
        <v>1</v>
      </c>
      <c r="G1816">
        <v>0</v>
      </c>
      <c r="I1816" t="s">
        <v>1853</v>
      </c>
      <c r="J1816" t="str">
        <f>HYPERLINK("http://pbs.twimg.com/media/DHgqMYEXsAAtFd-.jpg", "http://pbs.twimg.com/media/DHgqMYEXsAAtFd-.jpg")</f>
        <v>http://pbs.twimg.com/media/DHgqMYEXsAAtFd-.jpg</v>
      </c>
      <c r="N1816">
        <v>-0.128</v>
      </c>
      <c r="O1816">
        <v>0.14299999999999999</v>
      </c>
      <c r="P1816">
        <v>0.85699999999999998</v>
      </c>
      <c r="Q1816">
        <v>0</v>
      </c>
    </row>
    <row r="1817" spans="1:17" x14ac:dyDescent="0.2">
      <c r="A1817" s="1" t="str">
        <f>HYPERLINK("http://www.twitter.com/Ugo_Roux/status/898487045500399618", "898487045500399618")</f>
        <v>898487045500399618</v>
      </c>
      <c r="B1817" t="s">
        <v>16</v>
      </c>
      <c r="C1817" s="3">
        <v>42965.423368055563</v>
      </c>
      <c r="D1817" s="3" t="s">
        <v>17</v>
      </c>
      <c r="E1817">
        <v>0</v>
      </c>
      <c r="F1817">
        <v>0</v>
      </c>
      <c r="G1817">
        <v>0</v>
      </c>
      <c r="I1817" t="s">
        <v>1854</v>
      </c>
      <c r="J1817" t="str">
        <f>HYPERLINK("http://pbs.twimg.com/media/DHgPzKyXoAAbeTB.jpg", "http://pbs.twimg.com/media/DHgPzKyXoAAbeTB.jpg")</f>
        <v>http://pbs.twimg.com/media/DHgPzKyXoAAbeTB.jpg</v>
      </c>
      <c r="N1817">
        <v>0</v>
      </c>
      <c r="O1817">
        <v>0</v>
      </c>
      <c r="P1817">
        <v>1</v>
      </c>
      <c r="Q1817">
        <v>0</v>
      </c>
    </row>
    <row r="1818" spans="1:17" x14ac:dyDescent="0.2">
      <c r="A1818" s="1" t="str">
        <f>HYPERLINK("http://www.twitter.com/Ugo_Roux/status/898435544681779200", "898435544681779200")</f>
        <v>898435544681779200</v>
      </c>
      <c r="B1818" t="s">
        <v>16</v>
      </c>
      <c r="C1818" s="3">
        <v>42965.28125</v>
      </c>
      <c r="D1818" s="3" t="s">
        <v>17</v>
      </c>
      <c r="E1818">
        <v>2</v>
      </c>
      <c r="F1818">
        <v>0</v>
      </c>
      <c r="G1818">
        <v>0</v>
      </c>
      <c r="I1818" t="s">
        <v>1855</v>
      </c>
      <c r="J1818" t="str">
        <f>HYPERLINK("http://pbs.twimg.com/media/DHbSPuUXYAEvKbH.jpg", "http://pbs.twimg.com/media/DHbSPuUXYAEvKbH.jpg")</f>
        <v>http://pbs.twimg.com/media/DHbSPuUXYAEvKbH.jpg</v>
      </c>
      <c r="N1818">
        <v>0.50800000000000001</v>
      </c>
      <c r="O1818">
        <v>0</v>
      </c>
      <c r="P1818">
        <v>0.753</v>
      </c>
      <c r="Q1818">
        <v>0.247</v>
      </c>
    </row>
    <row r="1819" spans="1:17" x14ac:dyDescent="0.2">
      <c r="A1819" s="1" t="str">
        <f>HYPERLINK("http://www.twitter.com/Ugo_Roux/status/897864626679013376", "897864626679013376")</f>
        <v>897864626679013376</v>
      </c>
      <c r="B1819" t="s">
        <v>47</v>
      </c>
      <c r="C1819" s="3">
        <v>42963.705821759257</v>
      </c>
      <c r="D1819" s="5" t="s">
        <v>28</v>
      </c>
      <c r="E1819">
        <v>1</v>
      </c>
      <c r="F1819">
        <v>0</v>
      </c>
      <c r="G1819">
        <v>0</v>
      </c>
      <c r="I1819" t="s">
        <v>1856</v>
      </c>
      <c r="J1819" t="str">
        <f>HYPERLINK("http://pbs.twimg.com/media/DHXaqetXcAIfrCC.jpg", "http://pbs.twimg.com/media/DHXaqetXcAIfrCC.jpg")</f>
        <v>http://pbs.twimg.com/media/DHXaqetXcAIfrCC.jpg</v>
      </c>
      <c r="N1819">
        <v>0</v>
      </c>
      <c r="O1819">
        <v>0</v>
      </c>
      <c r="P1819">
        <v>1</v>
      </c>
      <c r="Q1819">
        <v>0</v>
      </c>
    </row>
    <row r="1820" spans="1:17" x14ac:dyDescent="0.2">
      <c r="A1820" s="1" t="str">
        <f>HYPERLINK("http://www.twitter.com/Ugo_Roux/status/896399013469184001", "896399013469184001")</f>
        <v>896399013469184001</v>
      </c>
      <c r="B1820" t="s">
        <v>47</v>
      </c>
      <c r="C1820" s="3">
        <v>42959.661493055559</v>
      </c>
      <c r="D1820" s="5" t="s">
        <v>24</v>
      </c>
      <c r="E1820">
        <v>1</v>
      </c>
      <c r="F1820">
        <v>0</v>
      </c>
      <c r="G1820">
        <v>0</v>
      </c>
      <c r="I1820" t="s">
        <v>1857</v>
      </c>
      <c r="N1820">
        <v>0</v>
      </c>
      <c r="O1820">
        <v>0</v>
      </c>
      <c r="P1820">
        <v>1</v>
      </c>
      <c r="Q1820">
        <v>0</v>
      </c>
    </row>
    <row r="1821" spans="1:17" x14ac:dyDescent="0.2">
      <c r="A1821" s="1" t="str">
        <f>HYPERLINK("http://www.twitter.com/Ugo_Roux/status/896289399163453440", "896289399163453440")</f>
        <v>896289399163453440</v>
      </c>
      <c r="B1821" t="s">
        <v>16</v>
      </c>
      <c r="C1821" s="3">
        <v>42959.359016203707</v>
      </c>
      <c r="D1821" s="3" t="s">
        <v>17</v>
      </c>
      <c r="E1821">
        <v>2</v>
      </c>
      <c r="F1821">
        <v>0</v>
      </c>
      <c r="G1821">
        <v>0</v>
      </c>
      <c r="I1821" t="s">
        <v>1858</v>
      </c>
      <c r="J1821" t="str">
        <f>HYPERLINK("http://pbs.twimg.com/media/DHBBSB9XsAEfbXU.jpg", "http://pbs.twimg.com/media/DHBBSB9XsAEfbXU.jpg")</f>
        <v>http://pbs.twimg.com/media/DHBBSB9XsAEfbXU.jpg</v>
      </c>
      <c r="K1821" t="str">
        <f>HYPERLINK("http://pbs.twimg.com/media/DHBBS7DWAAAMtRd.jpg", "http://pbs.twimg.com/media/DHBBS7DWAAAMtRd.jpg")</f>
        <v>http://pbs.twimg.com/media/DHBBS7DWAAAMtRd.jpg</v>
      </c>
      <c r="L1821" t="str">
        <f>HYPERLINK("http://pbs.twimg.com/media/DHBBT02W0AAK1P3.jpg", "http://pbs.twimg.com/media/DHBBT02W0AAK1P3.jpg")</f>
        <v>http://pbs.twimg.com/media/DHBBT02W0AAK1P3.jpg</v>
      </c>
      <c r="M1821" t="str">
        <f>HYPERLINK("http://pbs.twimg.com/media/DHBBUYEXcAEK3k_.jpg", "http://pbs.twimg.com/media/DHBBUYEXcAEK3k_.jpg")</f>
        <v>http://pbs.twimg.com/media/DHBBUYEXcAEK3k_.jpg</v>
      </c>
      <c r="N1821">
        <v>0.59830000000000005</v>
      </c>
      <c r="O1821">
        <v>0</v>
      </c>
      <c r="P1821">
        <v>0.83699999999999997</v>
      </c>
      <c r="Q1821">
        <v>0.16300000000000001</v>
      </c>
    </row>
    <row r="1822" spans="1:17" x14ac:dyDescent="0.2">
      <c r="A1822" s="1" t="str">
        <f>HYPERLINK("http://www.twitter.com/Ugo_Roux/status/895942896767119360", "895942896767119360")</f>
        <v>895942896767119360</v>
      </c>
      <c r="B1822" t="s">
        <v>285</v>
      </c>
      <c r="C1822" s="3">
        <v>42958.402858796297</v>
      </c>
      <c r="D1822" s="5" t="s">
        <v>17</v>
      </c>
      <c r="E1822">
        <v>0</v>
      </c>
      <c r="F1822">
        <v>2</v>
      </c>
      <c r="G1822">
        <v>0</v>
      </c>
      <c r="I1822" t="s">
        <v>1859</v>
      </c>
      <c r="N1822">
        <v>0</v>
      </c>
      <c r="O1822">
        <v>0</v>
      </c>
      <c r="P1822">
        <v>1</v>
      </c>
      <c r="Q1822">
        <v>0</v>
      </c>
    </row>
    <row r="1823" spans="1:17" x14ac:dyDescent="0.2">
      <c r="A1823" s="1" t="str">
        <f>HYPERLINK("http://www.twitter.com/Ugo_Roux/status/895940077276344320", "895940077276344320")</f>
        <v>895940077276344320</v>
      </c>
      <c r="B1823" t="s">
        <v>47</v>
      </c>
      <c r="C1823" s="3">
        <v>42958.395069444443</v>
      </c>
      <c r="D1823" s="5" t="s">
        <v>24</v>
      </c>
      <c r="E1823">
        <v>1</v>
      </c>
      <c r="F1823">
        <v>0</v>
      </c>
      <c r="G1823">
        <v>1</v>
      </c>
      <c r="I1823" t="s">
        <v>1860</v>
      </c>
      <c r="J1823" t="str">
        <f>HYPERLINK("http://pbs.twimg.com/media/DG8EApjXgAAsn0H.jpg", "http://pbs.twimg.com/media/DG8EApjXgAAsn0H.jpg")</f>
        <v>http://pbs.twimg.com/media/DG8EApjXgAAsn0H.jpg</v>
      </c>
      <c r="N1823">
        <v>0</v>
      </c>
      <c r="O1823">
        <v>0</v>
      </c>
      <c r="P1823">
        <v>1</v>
      </c>
      <c r="Q1823">
        <v>0</v>
      </c>
    </row>
    <row r="1824" spans="1:17" x14ac:dyDescent="0.2">
      <c r="A1824" s="1" t="str">
        <f>HYPERLINK("http://www.twitter.com/Ugo_Roux/status/895893529481924609", "895893529481924609")</f>
        <v>895893529481924609</v>
      </c>
      <c r="B1824" t="s">
        <v>285</v>
      </c>
      <c r="C1824" s="3">
        <v>42958.26662037037</v>
      </c>
      <c r="D1824" s="5" t="s">
        <v>28</v>
      </c>
      <c r="E1824">
        <v>0</v>
      </c>
      <c r="F1824">
        <v>0</v>
      </c>
      <c r="G1824">
        <v>1</v>
      </c>
      <c r="I1824" t="s">
        <v>1861</v>
      </c>
      <c r="J1824" t="str">
        <f>HYPERLINK("http://pbs.twimg.com/media/DG7aZ1iWsAAS_ME.jpg", "http://pbs.twimg.com/media/DG7aZ1iWsAAS_ME.jpg")</f>
        <v>http://pbs.twimg.com/media/DG7aZ1iWsAAS_ME.jpg</v>
      </c>
      <c r="N1824">
        <v>0</v>
      </c>
      <c r="O1824">
        <v>0</v>
      </c>
      <c r="P1824">
        <v>1</v>
      </c>
      <c r="Q1824">
        <v>0</v>
      </c>
    </row>
    <row r="1825" spans="1:17" x14ac:dyDescent="0.2">
      <c r="A1825" s="1" t="str">
        <f>HYPERLINK("http://www.twitter.com/Ugo_Roux/status/895551019337359361", "895551019337359361")</f>
        <v>895551019337359361</v>
      </c>
      <c r="B1825" t="s">
        <v>370</v>
      </c>
      <c r="C1825" s="3">
        <v>42957.321481481478</v>
      </c>
      <c r="D1825" s="3" t="s">
        <v>28</v>
      </c>
      <c r="E1825">
        <v>0</v>
      </c>
      <c r="F1825">
        <v>0</v>
      </c>
      <c r="G1825">
        <v>0</v>
      </c>
      <c r="I1825" t="s">
        <v>1862</v>
      </c>
      <c r="J1825" t="str">
        <f>HYPERLINK("http://pbs.twimg.com/media/DG2i560VoAEaeqY.jpg", "http://pbs.twimg.com/media/DG2i560VoAEaeqY.jpg")</f>
        <v>http://pbs.twimg.com/media/DG2i560VoAEaeqY.jpg</v>
      </c>
      <c r="N1825">
        <v>0</v>
      </c>
      <c r="O1825">
        <v>0</v>
      </c>
      <c r="P1825">
        <v>1</v>
      </c>
      <c r="Q1825">
        <v>0</v>
      </c>
    </row>
    <row r="1826" spans="1:17" x14ac:dyDescent="0.2">
      <c r="A1826" s="1" t="str">
        <f>HYPERLINK("http://www.twitter.com/Ugo_Roux/status/894947416750862336", "894947416750862336")</f>
        <v>894947416750862336</v>
      </c>
      <c r="B1826" t="s">
        <v>370</v>
      </c>
      <c r="C1826" s="3">
        <v>42955.655856481477</v>
      </c>
      <c r="D1826" s="5" t="s">
        <v>28</v>
      </c>
      <c r="E1826">
        <v>0</v>
      </c>
      <c r="F1826">
        <v>0</v>
      </c>
      <c r="G1826">
        <v>0</v>
      </c>
      <c r="I1826" t="s">
        <v>1863</v>
      </c>
      <c r="J1826" t="str">
        <f>HYPERLINK("http://pbs.twimg.com/media/DGt97nOVwAAG7Tq.jpg", "http://pbs.twimg.com/media/DGt97nOVwAAG7Tq.jpg")</f>
        <v>http://pbs.twimg.com/media/DGt97nOVwAAG7Tq.jpg</v>
      </c>
      <c r="N1826">
        <v>0</v>
      </c>
      <c r="O1826">
        <v>0</v>
      </c>
      <c r="P1826">
        <v>1</v>
      </c>
      <c r="Q1826">
        <v>0</v>
      </c>
    </row>
    <row r="1827" spans="1:17" x14ac:dyDescent="0.2">
      <c r="A1827" s="1" t="str">
        <f>HYPERLINK("http://www.twitter.com/Ugo_Roux/status/894943817580916736", "894943817580916736")</f>
        <v>894943817580916736</v>
      </c>
      <c r="B1827" t="s">
        <v>370</v>
      </c>
      <c r="C1827" s="3">
        <v>42955.645925925928</v>
      </c>
      <c r="D1827" s="5" t="s">
        <v>41</v>
      </c>
      <c r="E1827">
        <v>0</v>
      </c>
      <c r="F1827">
        <v>0</v>
      </c>
      <c r="G1827">
        <v>0</v>
      </c>
      <c r="I1827" t="s">
        <v>1864</v>
      </c>
      <c r="J1827" t="str">
        <f>HYPERLINK("http://pbs.twimg.com/media/DGt6qIEUAAEEq1k.jpg", "http://pbs.twimg.com/media/DGt6qIEUAAEEq1k.jpg")</f>
        <v>http://pbs.twimg.com/media/DGt6qIEUAAEEq1k.jpg</v>
      </c>
      <c r="N1827">
        <v>0</v>
      </c>
      <c r="O1827">
        <v>0</v>
      </c>
      <c r="P1827">
        <v>1</v>
      </c>
      <c r="Q1827">
        <v>0</v>
      </c>
    </row>
    <row r="1828" spans="1:17" x14ac:dyDescent="0.2">
      <c r="A1828" s="1" t="str">
        <f>HYPERLINK("http://www.twitter.com/Ugo_Roux/status/893027968267816961", "893027968267816961")</f>
        <v>893027968267816961</v>
      </c>
      <c r="B1828" t="s">
        <v>97</v>
      </c>
      <c r="C1828" s="3">
        <v>42950.359178240738</v>
      </c>
      <c r="D1828" s="5" t="s">
        <v>24</v>
      </c>
      <c r="E1828">
        <v>0</v>
      </c>
      <c r="F1828">
        <v>0</v>
      </c>
      <c r="G1828">
        <v>0</v>
      </c>
      <c r="I1828" t="s">
        <v>1865</v>
      </c>
      <c r="J1828" t="str">
        <f>HYPERLINK("http://pbs.twimg.com/media/DGSsNBXV0AAk6c6.jpg", "http://pbs.twimg.com/media/DGSsNBXV0AAk6c6.jpg")</f>
        <v>http://pbs.twimg.com/media/DGSsNBXV0AAk6c6.jpg</v>
      </c>
      <c r="N1828">
        <v>0</v>
      </c>
      <c r="O1828">
        <v>0</v>
      </c>
      <c r="P1828">
        <v>1</v>
      </c>
      <c r="Q1828">
        <v>0</v>
      </c>
    </row>
    <row r="1829" spans="1:17" x14ac:dyDescent="0.2">
      <c r="A1829" s="1" t="str">
        <f>HYPERLINK("http://www.twitter.com/Ugo_Roux/status/892291122512506881", "892291122512506881")</f>
        <v>892291122512506881</v>
      </c>
      <c r="B1829" t="s">
        <v>370</v>
      </c>
      <c r="C1829" s="3">
        <v>42948.325879629629</v>
      </c>
      <c r="D1829" s="5" t="s">
        <v>41</v>
      </c>
      <c r="E1829">
        <v>0</v>
      </c>
      <c r="F1829">
        <v>0</v>
      </c>
      <c r="G1829">
        <v>0</v>
      </c>
      <c r="I1829" t="s">
        <v>1866</v>
      </c>
      <c r="N1829">
        <v>0</v>
      </c>
      <c r="O1829">
        <v>0</v>
      </c>
      <c r="P1829">
        <v>1</v>
      </c>
      <c r="Q1829">
        <v>0</v>
      </c>
    </row>
    <row r="1830" spans="1:17" x14ac:dyDescent="0.2">
      <c r="A1830" s="1" t="str">
        <f>HYPERLINK("http://www.twitter.com/Ugo_Roux/status/891994244432449536", "891994244432449536")</f>
        <v>891994244432449536</v>
      </c>
      <c r="B1830" t="s">
        <v>142</v>
      </c>
      <c r="C1830" s="3">
        <v>42947.506643518522</v>
      </c>
      <c r="D1830" s="5" t="s">
        <v>17</v>
      </c>
      <c r="E1830">
        <v>0</v>
      </c>
      <c r="F1830">
        <v>3</v>
      </c>
      <c r="G1830">
        <v>0</v>
      </c>
      <c r="I1830" t="s">
        <v>1867</v>
      </c>
      <c r="N1830">
        <v>0</v>
      </c>
      <c r="O1830">
        <v>0</v>
      </c>
      <c r="P1830">
        <v>1</v>
      </c>
      <c r="Q1830">
        <v>0</v>
      </c>
    </row>
    <row r="1831" spans="1:17" x14ac:dyDescent="0.2">
      <c r="A1831" s="1" t="str">
        <f>HYPERLINK("http://www.twitter.com/Ugo_Roux/status/890485193097830400", "890485193097830400")</f>
        <v>890485193097830400</v>
      </c>
      <c r="B1831" t="s">
        <v>130</v>
      </c>
      <c r="C1831" s="3">
        <v>42943.342465277783</v>
      </c>
      <c r="D1831" s="5" t="s">
        <v>17</v>
      </c>
      <c r="E1831">
        <v>0</v>
      </c>
      <c r="F1831">
        <v>0</v>
      </c>
      <c r="G1831">
        <v>0</v>
      </c>
      <c r="I1831" t="s">
        <v>1868</v>
      </c>
      <c r="N1831">
        <v>0</v>
      </c>
      <c r="O1831">
        <v>0</v>
      </c>
      <c r="P1831">
        <v>1</v>
      </c>
      <c r="Q1831">
        <v>0</v>
      </c>
    </row>
    <row r="1832" spans="1:17" x14ac:dyDescent="0.2">
      <c r="A1832" s="1" t="str">
        <f>HYPERLINK("http://www.twitter.com/Ugo_Roux/status/890242558487560192", "890242558487560192")</f>
        <v>890242558487560192</v>
      </c>
      <c r="B1832" t="s">
        <v>47</v>
      </c>
      <c r="C1832" s="3">
        <v>42942.67291666667</v>
      </c>
      <c r="D1832" s="5" t="s">
        <v>28</v>
      </c>
      <c r="E1832">
        <v>1</v>
      </c>
      <c r="F1832">
        <v>2</v>
      </c>
      <c r="G1832">
        <v>0</v>
      </c>
      <c r="I1832" t="s">
        <v>1869</v>
      </c>
      <c r="N1832">
        <v>0</v>
      </c>
      <c r="O1832">
        <v>0</v>
      </c>
      <c r="P1832">
        <v>1</v>
      </c>
      <c r="Q1832">
        <v>0</v>
      </c>
    </row>
    <row r="1833" spans="1:17" x14ac:dyDescent="0.2">
      <c r="A1833" s="1" t="str">
        <f>HYPERLINK("http://www.twitter.com/Ugo_Roux/status/889818489879449601", "889818489879449601")</f>
        <v>889818489879449601</v>
      </c>
      <c r="B1833" t="s">
        <v>414</v>
      </c>
      <c r="C1833" s="3">
        <v>42941.502708333333</v>
      </c>
      <c r="D1833" s="5" t="s">
        <v>24</v>
      </c>
      <c r="E1833">
        <v>0</v>
      </c>
      <c r="F1833">
        <v>0</v>
      </c>
      <c r="G1833">
        <v>0</v>
      </c>
      <c r="I1833" t="s">
        <v>1870</v>
      </c>
      <c r="J1833" t="str">
        <f>HYPERLINK("http://pbs.twimg.com/media/DFlFKvMWAAAfkqn.png", "http://pbs.twimg.com/media/DFlFKvMWAAAfkqn.png")</f>
        <v>http://pbs.twimg.com/media/DFlFKvMWAAAfkqn.png</v>
      </c>
      <c r="N1833">
        <v>0.71840000000000004</v>
      </c>
      <c r="O1833">
        <v>0</v>
      </c>
      <c r="P1833">
        <v>0.79300000000000004</v>
      </c>
      <c r="Q1833">
        <v>0.20699999999999999</v>
      </c>
    </row>
    <row r="1834" spans="1:17" x14ac:dyDescent="0.2">
      <c r="A1834" s="1" t="str">
        <f>HYPERLINK("http://www.twitter.com/Ugo_Roux/status/888776421858041857", "888776421858041857")</f>
        <v>888776421858041857</v>
      </c>
      <c r="B1834" t="s">
        <v>97</v>
      </c>
      <c r="C1834" s="3">
        <v>42938.627152777779</v>
      </c>
      <c r="D1834" s="5" t="s">
        <v>24</v>
      </c>
      <c r="E1834">
        <v>0</v>
      </c>
      <c r="F1834">
        <v>0</v>
      </c>
      <c r="G1834">
        <v>0</v>
      </c>
      <c r="I1834" t="s">
        <v>1871</v>
      </c>
      <c r="J1834" t="str">
        <f>HYPERLINK("http://pbs.twimg.com/media/DFWRcaFUIAAxwQ_.jpg", "http://pbs.twimg.com/media/DFWRcaFUIAAxwQ_.jpg")</f>
        <v>http://pbs.twimg.com/media/DFWRcaFUIAAxwQ_.jpg</v>
      </c>
      <c r="N1834">
        <v>0</v>
      </c>
      <c r="O1834">
        <v>0</v>
      </c>
      <c r="P1834">
        <v>1</v>
      </c>
      <c r="Q1834">
        <v>0</v>
      </c>
    </row>
    <row r="1835" spans="1:17" x14ac:dyDescent="0.2">
      <c r="A1835" s="1" t="str">
        <f>HYPERLINK("http://www.twitter.com/Ugo_Roux/status/888679899296387072", "888679899296387072")</f>
        <v>888679899296387072</v>
      </c>
      <c r="B1835" t="s">
        <v>414</v>
      </c>
      <c r="C1835" s="3">
        <v>42938.360798611109</v>
      </c>
      <c r="D1835" s="5" t="s">
        <v>460</v>
      </c>
      <c r="E1835">
        <v>2</v>
      </c>
      <c r="F1835">
        <v>0</v>
      </c>
      <c r="G1835">
        <v>0</v>
      </c>
      <c r="I1835" t="s">
        <v>1872</v>
      </c>
      <c r="J1835" t="str">
        <f>HYPERLINK("http://pbs.twimg.com/media/DFU5DONXsAAvO6A.jpg", "http://pbs.twimg.com/media/DFU5DONXsAAvO6A.jpg")</f>
        <v>http://pbs.twimg.com/media/DFU5DONXsAAvO6A.jpg</v>
      </c>
      <c r="N1835">
        <v>-0.128</v>
      </c>
      <c r="O1835">
        <v>8.1000000000000003E-2</v>
      </c>
      <c r="P1835">
        <v>0.91900000000000004</v>
      </c>
      <c r="Q1835">
        <v>0</v>
      </c>
    </row>
    <row r="1836" spans="1:17" x14ac:dyDescent="0.2">
      <c r="A1836" s="1" t="str">
        <f>HYPERLINK("http://www.twitter.com/Ugo_Roux/status/888675950526857216", "888675950526857216")</f>
        <v>888675950526857216</v>
      </c>
      <c r="B1836" t="s">
        <v>414</v>
      </c>
      <c r="C1836" s="3">
        <v>42938.349907407413</v>
      </c>
      <c r="D1836" s="5" t="s">
        <v>17</v>
      </c>
      <c r="E1836">
        <v>2</v>
      </c>
      <c r="F1836">
        <v>0</v>
      </c>
      <c r="G1836">
        <v>0</v>
      </c>
      <c r="I1836" t="s">
        <v>1873</v>
      </c>
      <c r="J1836" t="str">
        <f>HYPERLINK("http://pbs.twimg.com/media/DFU2BWRW0AE9PlJ.jpg", "http://pbs.twimg.com/media/DFU2BWRW0AE9PlJ.jpg")</f>
        <v>http://pbs.twimg.com/media/DFU2BWRW0AE9PlJ.jpg</v>
      </c>
      <c r="N1836">
        <v>0.84019999999999995</v>
      </c>
      <c r="O1836">
        <v>0</v>
      </c>
      <c r="P1836">
        <v>0.66700000000000004</v>
      </c>
      <c r="Q1836">
        <v>0.33300000000000002</v>
      </c>
    </row>
    <row r="1837" spans="1:17" x14ac:dyDescent="0.2">
      <c r="A1837" s="1" t="str">
        <f>HYPERLINK("http://www.twitter.com/Ugo_Roux/status/888316773967298561", "888316773967298561")</f>
        <v>888316773967298561</v>
      </c>
      <c r="B1837" t="s">
        <v>414</v>
      </c>
      <c r="C1837" s="3">
        <v>42937.358761574083</v>
      </c>
      <c r="D1837" s="5" t="s">
        <v>24</v>
      </c>
      <c r="E1837">
        <v>1</v>
      </c>
      <c r="F1837">
        <v>0</v>
      </c>
      <c r="G1837">
        <v>0</v>
      </c>
      <c r="I1837" t="s">
        <v>1874</v>
      </c>
      <c r="J1837" t="str">
        <f>HYPERLINK("http://pbs.twimg.com/media/DFPvRr7XsAAaOpg.jpg", "http://pbs.twimg.com/media/DFPvRr7XsAAaOpg.jpg")</f>
        <v>http://pbs.twimg.com/media/DFPvRr7XsAAaOpg.jpg</v>
      </c>
      <c r="N1837">
        <v>0.90010000000000001</v>
      </c>
      <c r="O1837">
        <v>0</v>
      </c>
      <c r="P1837">
        <v>0.63600000000000001</v>
      </c>
      <c r="Q1837">
        <v>0.36399999999999999</v>
      </c>
    </row>
    <row r="1838" spans="1:17" x14ac:dyDescent="0.2">
      <c r="A1838" s="1" t="str">
        <f>HYPERLINK("http://www.twitter.com/Ugo_Roux/status/888314556338118656", "888314556338118656")</f>
        <v>888314556338118656</v>
      </c>
      <c r="B1838" t="s">
        <v>285</v>
      </c>
      <c r="C1838" s="3">
        <v>42937.352638888893</v>
      </c>
      <c r="D1838" s="5" t="s">
        <v>24</v>
      </c>
      <c r="E1838">
        <v>0</v>
      </c>
      <c r="F1838">
        <v>1</v>
      </c>
      <c r="G1838">
        <v>0</v>
      </c>
      <c r="I1838" t="s">
        <v>1875</v>
      </c>
      <c r="J1838" t="str">
        <f>HYPERLINK("http://pbs.twimg.com/media/DFPtTVWXsAAsnz6.jpg", "http://pbs.twimg.com/media/DFPtTVWXsAAsnz6.jpg")</f>
        <v>http://pbs.twimg.com/media/DFPtTVWXsAAsnz6.jpg</v>
      </c>
      <c r="N1838">
        <v>0</v>
      </c>
      <c r="O1838">
        <v>0</v>
      </c>
      <c r="P1838">
        <v>1</v>
      </c>
      <c r="Q1838">
        <v>0</v>
      </c>
    </row>
    <row r="1839" spans="1:17" x14ac:dyDescent="0.2">
      <c r="A1839" s="1" t="str">
        <f>HYPERLINK("http://www.twitter.com/Ugo_Roux/status/887564309257224192", "887564309257224192")</f>
        <v>887564309257224192</v>
      </c>
      <c r="B1839" t="s">
        <v>285</v>
      </c>
      <c r="C1839" s="3">
        <v>42935.282361111109</v>
      </c>
      <c r="D1839" s="5" t="s">
        <v>17</v>
      </c>
      <c r="E1839">
        <v>0</v>
      </c>
      <c r="F1839">
        <v>0</v>
      </c>
      <c r="G1839">
        <v>0</v>
      </c>
      <c r="I1839" t="s">
        <v>1876</v>
      </c>
      <c r="J1839" t="str">
        <f>HYPERLINK("http://pbs.twimg.com/media/DFFCSMmWAAAmO4d.jpg", "http://pbs.twimg.com/media/DFFCSMmWAAAmO4d.jpg")</f>
        <v>http://pbs.twimg.com/media/DFFCSMmWAAAmO4d.jpg</v>
      </c>
      <c r="N1839">
        <v>-0.29599999999999999</v>
      </c>
      <c r="O1839">
        <v>0.14499999999999999</v>
      </c>
      <c r="P1839">
        <v>0.85499999999999998</v>
      </c>
      <c r="Q1839">
        <v>0</v>
      </c>
    </row>
    <row r="1840" spans="1:17" x14ac:dyDescent="0.2">
      <c r="A1840" s="1" t="str">
        <f>HYPERLINK("http://www.twitter.com/Ugo_Roux/status/887302640085995520", "887302640085995520")</f>
        <v>887302640085995520</v>
      </c>
      <c r="B1840" t="s">
        <v>414</v>
      </c>
      <c r="C1840" s="3">
        <v>42934.560289351852</v>
      </c>
      <c r="D1840" s="5" t="s">
        <v>24</v>
      </c>
      <c r="E1840">
        <v>0</v>
      </c>
      <c r="F1840">
        <v>0</v>
      </c>
      <c r="G1840">
        <v>0</v>
      </c>
      <c r="I1840" t="s">
        <v>1877</v>
      </c>
      <c r="J1840" t="str">
        <f>HYPERLINK("http://pbs.twimg.com/media/DFBVAQKW0AEAVxA.jpg", "http://pbs.twimg.com/media/DFBVAQKW0AEAVxA.jpg")</f>
        <v>http://pbs.twimg.com/media/DFBVAQKW0AEAVxA.jpg</v>
      </c>
      <c r="N1840">
        <v>0</v>
      </c>
      <c r="O1840">
        <v>0</v>
      </c>
      <c r="P1840">
        <v>1</v>
      </c>
      <c r="Q1840">
        <v>0</v>
      </c>
    </row>
    <row r="1841" spans="1:17" x14ac:dyDescent="0.2">
      <c r="A1841" s="1" t="str">
        <f>HYPERLINK("http://www.twitter.com/Ugo_Roux/status/887199806808104960", "887199806808104960")</f>
        <v>887199806808104960</v>
      </c>
      <c r="B1841" t="s">
        <v>285</v>
      </c>
      <c r="C1841" s="3">
        <v>42934.276516203703</v>
      </c>
      <c r="D1841" s="5" t="s">
        <v>17</v>
      </c>
      <c r="E1841">
        <v>0</v>
      </c>
      <c r="F1841">
        <v>0</v>
      </c>
      <c r="G1841">
        <v>0</v>
      </c>
      <c r="I1841" t="s">
        <v>1878</v>
      </c>
      <c r="J1841" t="str">
        <f>HYPERLINK("http://pbs.twimg.com/media/DE_3ZYhXcAAT3Bw.jpg", "http://pbs.twimg.com/media/DE_3ZYhXcAAT3Bw.jpg")</f>
        <v>http://pbs.twimg.com/media/DE_3ZYhXcAAT3Bw.jpg</v>
      </c>
      <c r="N1841">
        <v>0</v>
      </c>
      <c r="O1841">
        <v>0</v>
      </c>
      <c r="P1841">
        <v>1</v>
      </c>
      <c r="Q1841">
        <v>0</v>
      </c>
    </row>
    <row r="1842" spans="1:17" x14ac:dyDescent="0.2">
      <c r="A1842" s="1" t="str">
        <f>HYPERLINK("http://www.twitter.com/Ugo_Roux/status/887198995159945216", "887198995159945216")</f>
        <v>887198995159945216</v>
      </c>
      <c r="B1842" t="s">
        <v>285</v>
      </c>
      <c r="C1842" s="3">
        <v>42934.274282407408</v>
      </c>
      <c r="D1842" s="5" t="s">
        <v>28</v>
      </c>
      <c r="E1842">
        <v>0</v>
      </c>
      <c r="F1842">
        <v>0</v>
      </c>
      <c r="G1842">
        <v>0</v>
      </c>
      <c r="I1842" t="s">
        <v>1879</v>
      </c>
      <c r="J1842" t="str">
        <f>HYPERLINK("http://pbs.twimg.com/media/DE_2xMcXcAAPd7f.jpg", "http://pbs.twimg.com/media/DE_2xMcXcAAPd7f.jpg")</f>
        <v>http://pbs.twimg.com/media/DE_2xMcXcAAPd7f.jpg</v>
      </c>
      <c r="N1842">
        <v>0</v>
      </c>
      <c r="O1842">
        <v>0</v>
      </c>
      <c r="P1842">
        <v>1</v>
      </c>
      <c r="Q1842">
        <v>0</v>
      </c>
    </row>
    <row r="1843" spans="1:17" x14ac:dyDescent="0.2">
      <c r="A1843" s="1" t="str">
        <f>HYPERLINK("http://www.twitter.com/Ugo_Roux/status/887198818294530049", "887198818294530049")</f>
        <v>887198818294530049</v>
      </c>
      <c r="B1843" t="s">
        <v>285</v>
      </c>
      <c r="C1843" s="3">
        <v>42934.273796296293</v>
      </c>
      <c r="D1843" s="5" t="s">
        <v>24</v>
      </c>
      <c r="E1843">
        <v>0</v>
      </c>
      <c r="F1843">
        <v>0</v>
      </c>
      <c r="G1843">
        <v>0</v>
      </c>
      <c r="I1843" t="s">
        <v>1880</v>
      </c>
      <c r="N1843">
        <v>0</v>
      </c>
      <c r="O1843">
        <v>0</v>
      </c>
      <c r="P1843">
        <v>1</v>
      </c>
      <c r="Q1843">
        <v>0</v>
      </c>
    </row>
    <row r="1844" spans="1:17" x14ac:dyDescent="0.2">
      <c r="A1844" s="1" t="str">
        <f>HYPERLINK("http://www.twitter.com/Ugo_Roux/status/885439792498003968", "885439792498003968")</f>
        <v>885439792498003968</v>
      </c>
      <c r="B1844" t="s">
        <v>370</v>
      </c>
      <c r="C1844" s="3">
        <v>42929.419803240737</v>
      </c>
      <c r="D1844" s="3" t="s">
        <v>41</v>
      </c>
      <c r="E1844">
        <v>0</v>
      </c>
      <c r="F1844">
        <v>0</v>
      </c>
      <c r="G1844">
        <v>0</v>
      </c>
      <c r="I1844" t="s">
        <v>1881</v>
      </c>
      <c r="J1844" t="str">
        <f>HYPERLINK("http://pbs.twimg.com/media/DEm2zD2UQAA3kN3.jpg", "http://pbs.twimg.com/media/DEm2zD2UQAA3kN3.jpg")</f>
        <v>http://pbs.twimg.com/media/DEm2zD2UQAA3kN3.jpg</v>
      </c>
      <c r="N1844">
        <v>0</v>
      </c>
      <c r="O1844">
        <v>0</v>
      </c>
      <c r="P1844">
        <v>1</v>
      </c>
      <c r="Q1844">
        <v>0</v>
      </c>
    </row>
    <row r="1845" spans="1:17" x14ac:dyDescent="0.2">
      <c r="A1845" s="1" t="str">
        <f>HYPERLINK("http://www.twitter.com/Ugo_Roux/status/884662811212869632", "884662811212869632")</f>
        <v>884662811212869632</v>
      </c>
      <c r="B1845" t="s">
        <v>285</v>
      </c>
      <c r="C1845" s="3">
        <v>42927.275752314818</v>
      </c>
      <c r="D1845" s="5" t="s">
        <v>17</v>
      </c>
      <c r="E1845">
        <v>0</v>
      </c>
      <c r="F1845">
        <v>0</v>
      </c>
      <c r="G1845">
        <v>0</v>
      </c>
      <c r="I1845" t="s">
        <v>1882</v>
      </c>
      <c r="J1845" t="str">
        <f>HYPERLINK("http://pbs.twimg.com/media/DEb0HcaW0AA3xhk.jpg", "http://pbs.twimg.com/media/DEb0HcaW0AA3xhk.jpg")</f>
        <v>http://pbs.twimg.com/media/DEb0HcaW0AA3xhk.jpg</v>
      </c>
      <c r="N1845">
        <v>0</v>
      </c>
      <c r="O1845">
        <v>0</v>
      </c>
      <c r="P1845">
        <v>1</v>
      </c>
      <c r="Q1845">
        <v>0</v>
      </c>
    </row>
    <row r="1846" spans="1:17" x14ac:dyDescent="0.2">
      <c r="A1846" s="1" t="str">
        <f>HYPERLINK("http://www.twitter.com/Ugo_Roux/status/883606537977122816", "883606537977122816")</f>
        <v>883606537977122816</v>
      </c>
      <c r="B1846" t="s">
        <v>130</v>
      </c>
      <c r="C1846" s="3">
        <v>42924.360983796287</v>
      </c>
      <c r="D1846" s="5" t="s">
        <v>24</v>
      </c>
      <c r="E1846">
        <v>0</v>
      </c>
      <c r="F1846">
        <v>0</v>
      </c>
      <c r="G1846">
        <v>0</v>
      </c>
      <c r="I1846" t="s">
        <v>1883</v>
      </c>
      <c r="N1846">
        <v>0</v>
      </c>
      <c r="O1846">
        <v>0</v>
      </c>
      <c r="P1846">
        <v>1</v>
      </c>
      <c r="Q1846">
        <v>0</v>
      </c>
    </row>
    <row r="1847" spans="1:17" x14ac:dyDescent="0.2">
      <c r="A1847" s="1" t="str">
        <f>HYPERLINK("http://www.twitter.com/Ugo_Roux/status/883600706225278976", "883600706225278976")</f>
        <v>883600706225278976</v>
      </c>
      <c r="B1847" t="s">
        <v>130</v>
      </c>
      <c r="C1847" s="3">
        <v>42924.344895833332</v>
      </c>
      <c r="D1847" s="5" t="s">
        <v>17</v>
      </c>
      <c r="E1847">
        <v>0</v>
      </c>
      <c r="F1847">
        <v>0</v>
      </c>
      <c r="G1847">
        <v>0</v>
      </c>
      <c r="I1847" t="s">
        <v>1884</v>
      </c>
      <c r="N1847">
        <v>0</v>
      </c>
      <c r="O1847">
        <v>0</v>
      </c>
      <c r="P1847">
        <v>1</v>
      </c>
      <c r="Q1847">
        <v>0</v>
      </c>
    </row>
    <row r="1848" spans="1:17" x14ac:dyDescent="0.2">
      <c r="A1848" s="1" t="str">
        <f>HYPERLINK("http://www.twitter.com/Ugo_Roux/status/883593844650119168", "883593844650119168")</f>
        <v>883593844650119168</v>
      </c>
      <c r="B1848" t="s">
        <v>285</v>
      </c>
      <c r="C1848" s="3">
        <v>42924.325960648152</v>
      </c>
      <c r="D1848" s="5" t="s">
        <v>28</v>
      </c>
      <c r="E1848">
        <v>0</v>
      </c>
      <c r="F1848">
        <v>0</v>
      </c>
      <c r="G1848">
        <v>0</v>
      </c>
      <c r="I1848" t="s">
        <v>1885</v>
      </c>
      <c r="J1848" t="str">
        <f>HYPERLINK("http://pbs.twimg.com/media/DEMn2B6XUAAir4k.jpg", "http://pbs.twimg.com/media/DEMn2B6XUAAir4k.jpg")</f>
        <v>http://pbs.twimg.com/media/DEMn2B6XUAAir4k.jpg</v>
      </c>
      <c r="N1848">
        <v>0</v>
      </c>
      <c r="O1848">
        <v>0</v>
      </c>
      <c r="P1848">
        <v>1</v>
      </c>
      <c r="Q1848">
        <v>0</v>
      </c>
    </row>
    <row r="1849" spans="1:17" x14ac:dyDescent="0.2">
      <c r="A1849" s="1" t="str">
        <f>HYPERLINK("http://www.twitter.com/Ugo_Roux/status/883285849546387456", "883285849546387456")</f>
        <v>883285849546387456</v>
      </c>
      <c r="B1849" t="s">
        <v>97</v>
      </c>
      <c r="C1849" s="3">
        <v>42923.476053240738</v>
      </c>
      <c r="D1849" s="5" t="s">
        <v>24</v>
      </c>
      <c r="E1849">
        <v>1</v>
      </c>
      <c r="F1849">
        <v>0</v>
      </c>
      <c r="G1849">
        <v>0</v>
      </c>
      <c r="I1849" t="s">
        <v>1886</v>
      </c>
      <c r="N1849">
        <v>0</v>
      </c>
      <c r="O1849">
        <v>0</v>
      </c>
      <c r="P1849">
        <v>1</v>
      </c>
      <c r="Q1849">
        <v>0</v>
      </c>
    </row>
    <row r="1850" spans="1:17" x14ac:dyDescent="0.2">
      <c r="A1850" s="1" t="str">
        <f>HYPERLINK("http://www.twitter.com/Ugo_Roux/status/883275791865454592", "883275791865454592")</f>
        <v>883275791865454592</v>
      </c>
      <c r="B1850" t="s">
        <v>16</v>
      </c>
      <c r="C1850" s="3">
        <v>42923.448298611111</v>
      </c>
      <c r="D1850" s="3" t="s">
        <v>17</v>
      </c>
      <c r="E1850">
        <v>5</v>
      </c>
      <c r="F1850">
        <v>1</v>
      </c>
      <c r="G1850">
        <v>0</v>
      </c>
      <c r="I1850" t="s">
        <v>1887</v>
      </c>
      <c r="J1850" t="str">
        <f>HYPERLINK("http://pbs.twimg.com/media/DEIGnzEWsAAS_-J.jpg", "http://pbs.twimg.com/media/DEIGnzEWsAAS_-J.jpg")</f>
        <v>http://pbs.twimg.com/media/DEIGnzEWsAAS_-J.jpg</v>
      </c>
      <c r="N1850">
        <v>0</v>
      </c>
      <c r="O1850">
        <v>0</v>
      </c>
      <c r="P1850">
        <v>1</v>
      </c>
      <c r="Q1850">
        <v>0</v>
      </c>
    </row>
    <row r="1851" spans="1:17" x14ac:dyDescent="0.2">
      <c r="A1851" s="1" t="str">
        <f>HYPERLINK("http://www.twitter.com/Ugo_Roux/status/883273646910971908", "883273646910971908")</f>
        <v>883273646910971908</v>
      </c>
      <c r="B1851" t="s">
        <v>16</v>
      </c>
      <c r="C1851" s="3">
        <v>42923.442384259259</v>
      </c>
      <c r="D1851" s="3" t="s">
        <v>17</v>
      </c>
      <c r="E1851">
        <v>1</v>
      </c>
      <c r="F1851">
        <v>0</v>
      </c>
      <c r="G1851">
        <v>0</v>
      </c>
      <c r="I1851" t="s">
        <v>1888</v>
      </c>
      <c r="N1851">
        <v>0.2263</v>
      </c>
      <c r="O1851">
        <v>0</v>
      </c>
      <c r="P1851">
        <v>0.72499999999999998</v>
      </c>
      <c r="Q1851">
        <v>0.27500000000000002</v>
      </c>
    </row>
    <row r="1852" spans="1:17" x14ac:dyDescent="0.2">
      <c r="A1852" s="1" t="str">
        <f>HYPERLINK("http://www.twitter.com/Ugo_Roux/status/883273308162183174", "883273308162183174")</f>
        <v>883273308162183174</v>
      </c>
      <c r="B1852" t="s">
        <v>16</v>
      </c>
      <c r="C1852" s="3">
        <v>42923.441446759258</v>
      </c>
      <c r="D1852" s="3" t="s">
        <v>17</v>
      </c>
      <c r="E1852">
        <v>1</v>
      </c>
      <c r="F1852">
        <v>0</v>
      </c>
      <c r="G1852">
        <v>0</v>
      </c>
      <c r="I1852" t="s">
        <v>1889</v>
      </c>
      <c r="N1852">
        <v>-0.1027</v>
      </c>
      <c r="O1852">
        <v>7.1999999999999995E-2</v>
      </c>
      <c r="P1852">
        <v>0.92800000000000005</v>
      </c>
      <c r="Q1852">
        <v>0</v>
      </c>
    </row>
    <row r="1853" spans="1:17" x14ac:dyDescent="0.2">
      <c r="A1853" s="1" t="str">
        <f>HYPERLINK("http://www.twitter.com/Ugo_Roux/status/882968582220599298", "882968582220599298")</f>
        <v>882968582220599298</v>
      </c>
      <c r="B1853" t="s">
        <v>370</v>
      </c>
      <c r="C1853" s="3">
        <v>42922.60056712963</v>
      </c>
      <c r="D1853" s="5" t="s">
        <v>41</v>
      </c>
      <c r="E1853">
        <v>0</v>
      </c>
      <c r="F1853">
        <v>0</v>
      </c>
      <c r="G1853">
        <v>0</v>
      </c>
      <c r="I1853" t="s">
        <v>1890</v>
      </c>
      <c r="J1853" t="str">
        <f>HYPERLINK("http://pbs.twimg.com/media/DEDvPsqUIAAAjOQ.jpg", "http://pbs.twimg.com/media/DEDvPsqUIAAAjOQ.jpg")</f>
        <v>http://pbs.twimg.com/media/DEDvPsqUIAAAjOQ.jpg</v>
      </c>
      <c r="N1853">
        <v>0</v>
      </c>
      <c r="O1853">
        <v>0</v>
      </c>
      <c r="P1853">
        <v>1</v>
      </c>
      <c r="Q1853">
        <v>0</v>
      </c>
    </row>
    <row r="1854" spans="1:17" x14ac:dyDescent="0.2">
      <c r="A1854" s="1" t="str">
        <f>HYPERLINK("http://www.twitter.com/Ugo_Roux/status/882499621850894340", "882499621850894340")</f>
        <v>882499621850894340</v>
      </c>
      <c r="B1854" t="s">
        <v>285</v>
      </c>
      <c r="C1854" s="3">
        <v>42921.306481481479</v>
      </c>
      <c r="D1854" s="5" t="s">
        <v>17</v>
      </c>
      <c r="E1854">
        <v>0</v>
      </c>
      <c r="F1854">
        <v>0</v>
      </c>
      <c r="G1854">
        <v>0</v>
      </c>
      <c r="I1854" t="s">
        <v>1891</v>
      </c>
      <c r="J1854" t="str">
        <f>HYPERLINK("http://pbs.twimg.com/media/DD9EtOEXUAA0NAT.jpg", "http://pbs.twimg.com/media/DD9EtOEXUAA0NAT.jpg")</f>
        <v>http://pbs.twimg.com/media/DD9EtOEXUAA0NAT.jpg</v>
      </c>
      <c r="N1854">
        <v>0</v>
      </c>
      <c r="O1854">
        <v>0</v>
      </c>
      <c r="P1854">
        <v>1</v>
      </c>
      <c r="Q1854">
        <v>0</v>
      </c>
    </row>
    <row r="1855" spans="1:17" x14ac:dyDescent="0.2">
      <c r="A1855" s="1" t="str">
        <f>HYPERLINK("http://www.twitter.com/Ugo_Roux/status/882207436123381761", "882207436123381761")</f>
        <v>882207436123381761</v>
      </c>
      <c r="B1855" t="s">
        <v>47</v>
      </c>
      <c r="C1855" s="3">
        <v>42920.500208333331</v>
      </c>
      <c r="D1855" s="5" t="s">
        <v>41</v>
      </c>
      <c r="E1855">
        <v>9</v>
      </c>
      <c r="F1855">
        <v>2</v>
      </c>
      <c r="G1855">
        <v>0</v>
      </c>
      <c r="I1855" t="s">
        <v>1892</v>
      </c>
      <c r="J1855" t="str">
        <f>HYPERLINK("http://pbs.twimg.com/media/DD466QiXcAArwcE.jpg", "http://pbs.twimg.com/media/DD466QiXcAArwcE.jpg")</f>
        <v>http://pbs.twimg.com/media/DD466QiXcAArwcE.jpg</v>
      </c>
      <c r="N1855">
        <v>0</v>
      </c>
      <c r="O1855">
        <v>0</v>
      </c>
      <c r="P1855">
        <v>1</v>
      </c>
      <c r="Q1855">
        <v>0</v>
      </c>
    </row>
    <row r="1856" spans="1:17" x14ac:dyDescent="0.2">
      <c r="A1856" s="1" t="str">
        <f>HYPERLINK("http://www.twitter.com/Ugo_Roux/status/882202897555050498", "882202897555050498")</f>
        <v>882202897555050498</v>
      </c>
      <c r="B1856" t="s">
        <v>47</v>
      </c>
      <c r="C1856" s="3">
        <v>42920.487673611111</v>
      </c>
      <c r="D1856" s="5" t="s">
        <v>17</v>
      </c>
      <c r="E1856">
        <v>2</v>
      </c>
      <c r="F1856">
        <v>0</v>
      </c>
      <c r="G1856">
        <v>0</v>
      </c>
      <c r="I1856" t="s">
        <v>1893</v>
      </c>
      <c r="J1856" t="str">
        <f>HYPERLINK("http://pbs.twimg.com/media/DD42164XgAAcex1.jpg", "http://pbs.twimg.com/media/DD42164XgAAcex1.jpg")</f>
        <v>http://pbs.twimg.com/media/DD42164XgAAcex1.jpg</v>
      </c>
      <c r="N1856">
        <v>0.20230000000000001</v>
      </c>
      <c r="O1856">
        <v>0</v>
      </c>
      <c r="P1856">
        <v>0.91300000000000003</v>
      </c>
      <c r="Q1856">
        <v>8.6999999999999994E-2</v>
      </c>
    </row>
    <row r="1857" spans="1:17" x14ac:dyDescent="0.2">
      <c r="A1857" s="1" t="str">
        <f>HYPERLINK("http://www.twitter.com/Ugo_Roux/status/881793665080987648", "881793665080987648")</f>
        <v>881793665080987648</v>
      </c>
      <c r="B1857" t="s">
        <v>285</v>
      </c>
      <c r="C1857" s="3">
        <v>42919.358414351853</v>
      </c>
      <c r="D1857" s="5" t="s">
        <v>28</v>
      </c>
      <c r="E1857">
        <v>0</v>
      </c>
      <c r="F1857">
        <v>0</v>
      </c>
      <c r="G1857">
        <v>0</v>
      </c>
      <c r="I1857" t="s">
        <v>1894</v>
      </c>
      <c r="J1857" t="str">
        <f>HYPERLINK("http://pbs.twimg.com/media/DDzCpO_XYAAGC2f.jpg", "http://pbs.twimg.com/media/DDzCpO_XYAAGC2f.jpg")</f>
        <v>http://pbs.twimg.com/media/DDzCpO_XYAAGC2f.jpg</v>
      </c>
      <c r="N1857">
        <v>0</v>
      </c>
      <c r="O1857">
        <v>0</v>
      </c>
      <c r="P1857">
        <v>1</v>
      </c>
      <c r="Q1857">
        <v>0</v>
      </c>
    </row>
    <row r="1858" spans="1:17" x14ac:dyDescent="0.2">
      <c r="A1858" s="1" t="str">
        <f>HYPERLINK("http://www.twitter.com/Ugo_Roux/status/881166400815026176", "881166400815026176")</f>
        <v>881166400815026176</v>
      </c>
      <c r="B1858" t="s">
        <v>97</v>
      </c>
      <c r="C1858" s="3">
        <v>42917.627488425933</v>
      </c>
      <c r="D1858" s="5" t="s">
        <v>1187</v>
      </c>
      <c r="E1858">
        <v>1</v>
      </c>
      <c r="F1858">
        <v>0</v>
      </c>
      <c r="G1858">
        <v>0</v>
      </c>
      <c r="I1858" t="s">
        <v>1895</v>
      </c>
      <c r="J1858" t="str">
        <f>HYPERLINK("http://pbs.twimg.com/media/DDqIK7dU0AAk2PV.jpg", "http://pbs.twimg.com/media/DDqIK7dU0AAk2PV.jpg")</f>
        <v>http://pbs.twimg.com/media/DDqIK7dU0AAk2PV.jpg</v>
      </c>
      <c r="N1858">
        <v>0</v>
      </c>
      <c r="O1858">
        <v>0</v>
      </c>
      <c r="P1858">
        <v>1</v>
      </c>
      <c r="Q1858">
        <v>0</v>
      </c>
    </row>
    <row r="1859" spans="1:17" x14ac:dyDescent="0.2">
      <c r="A1859" s="1" t="str">
        <f>HYPERLINK("http://www.twitter.com/Ugo_Roux/status/880812050854838273", "880812050854838273")</f>
        <v>880812050854838273</v>
      </c>
      <c r="B1859" t="s">
        <v>142</v>
      </c>
      <c r="C1859" s="3">
        <v>42916.649675925917</v>
      </c>
      <c r="D1859" s="5" t="s">
        <v>17</v>
      </c>
      <c r="E1859">
        <v>0</v>
      </c>
      <c r="F1859">
        <v>3</v>
      </c>
      <c r="G1859">
        <v>1</v>
      </c>
      <c r="I1859" t="s">
        <v>1896</v>
      </c>
      <c r="J1859" t="str">
        <f>HYPERLINK("http://pbs.twimg.com/media/DDlF4sJXYAEVU8H.jpg", "http://pbs.twimg.com/media/DDlF4sJXYAEVU8H.jpg")</f>
        <v>http://pbs.twimg.com/media/DDlF4sJXYAEVU8H.jpg</v>
      </c>
      <c r="N1859">
        <v>-0.47670000000000001</v>
      </c>
      <c r="O1859">
        <v>0.17100000000000001</v>
      </c>
      <c r="P1859">
        <v>0.82899999999999996</v>
      </c>
      <c r="Q1859">
        <v>0</v>
      </c>
    </row>
    <row r="1860" spans="1:17" x14ac:dyDescent="0.2">
      <c r="A1860" s="1" t="str">
        <f>HYPERLINK("http://www.twitter.com/Ugo_Roux/status/880720541769924608", "880720541769924608")</f>
        <v>880720541769924608</v>
      </c>
      <c r="B1860" t="s">
        <v>370</v>
      </c>
      <c r="C1860" s="3">
        <v>42916.397152777783</v>
      </c>
      <c r="D1860" s="5" t="s">
        <v>28</v>
      </c>
      <c r="E1860">
        <v>0</v>
      </c>
      <c r="F1860">
        <v>0</v>
      </c>
      <c r="G1860">
        <v>0</v>
      </c>
      <c r="I1860" t="s">
        <v>1897</v>
      </c>
      <c r="J1860" t="str">
        <f>HYPERLINK("http://pbs.twimg.com/media/DDjyqhZVwAA6mBb.jpg", "http://pbs.twimg.com/media/DDjyqhZVwAA6mBb.jpg")</f>
        <v>http://pbs.twimg.com/media/DDjyqhZVwAA6mBb.jpg</v>
      </c>
      <c r="N1860">
        <v>0</v>
      </c>
      <c r="O1860">
        <v>0</v>
      </c>
      <c r="P1860">
        <v>1</v>
      </c>
      <c r="Q1860">
        <v>0</v>
      </c>
    </row>
    <row r="1861" spans="1:17" x14ac:dyDescent="0.2">
      <c r="A1861" s="1" t="str">
        <f>HYPERLINK("http://www.twitter.com/Ugo_Roux/status/880719433014161408", "880719433014161408")</f>
        <v>880719433014161408</v>
      </c>
      <c r="B1861" t="s">
        <v>370</v>
      </c>
      <c r="C1861" s="3">
        <v>42916.394097222219</v>
      </c>
      <c r="D1861" s="5" t="s">
        <v>24</v>
      </c>
      <c r="E1861">
        <v>0</v>
      </c>
      <c r="F1861">
        <v>0</v>
      </c>
      <c r="G1861">
        <v>0</v>
      </c>
      <c r="I1861" t="s">
        <v>1898</v>
      </c>
      <c r="J1861" t="str">
        <f>HYPERLINK("http://pbs.twimg.com/media/DDjxp_kXUAIvbaI.jpg", "http://pbs.twimg.com/media/DDjxp_kXUAIvbaI.jpg")</f>
        <v>http://pbs.twimg.com/media/DDjxp_kXUAIvbaI.jpg</v>
      </c>
      <c r="N1861">
        <v>0</v>
      </c>
      <c r="O1861">
        <v>0</v>
      </c>
      <c r="P1861">
        <v>1</v>
      </c>
      <c r="Q1861">
        <v>0</v>
      </c>
    </row>
    <row r="1862" spans="1:17" x14ac:dyDescent="0.2">
      <c r="A1862" s="1" t="str">
        <f>HYPERLINK("http://www.twitter.com/Ugo_Roux/status/880717660811657220", "880717660811657220")</f>
        <v>880717660811657220</v>
      </c>
      <c r="B1862" t="s">
        <v>370</v>
      </c>
      <c r="C1862" s="3">
        <v>42916.389201388891</v>
      </c>
      <c r="D1862" s="5" t="s">
        <v>41</v>
      </c>
      <c r="E1862">
        <v>0</v>
      </c>
      <c r="F1862">
        <v>0</v>
      </c>
      <c r="G1862">
        <v>0</v>
      </c>
      <c r="I1862" t="s">
        <v>1899</v>
      </c>
      <c r="J1862" t="str">
        <f>HYPERLINK("http://pbs.twimg.com/media/DDjwCxeXgAEE98E.jpg", "http://pbs.twimg.com/media/DDjwCxeXgAEE98E.jpg")</f>
        <v>http://pbs.twimg.com/media/DDjwCxeXgAEE98E.jpg</v>
      </c>
      <c r="N1862">
        <v>0</v>
      </c>
      <c r="O1862">
        <v>0</v>
      </c>
      <c r="P1862">
        <v>1</v>
      </c>
      <c r="Q1862">
        <v>0</v>
      </c>
    </row>
    <row r="1863" spans="1:17" x14ac:dyDescent="0.2">
      <c r="A1863" s="1" t="str">
        <f>HYPERLINK("http://www.twitter.com/Ugo_Roux/status/880713726357385217", "880713726357385217")</f>
        <v>880713726357385217</v>
      </c>
      <c r="B1863" t="s">
        <v>370</v>
      </c>
      <c r="C1863" s="3">
        <v>42916.378344907411</v>
      </c>
      <c r="D1863" s="5" t="s">
        <v>41</v>
      </c>
      <c r="E1863">
        <v>0</v>
      </c>
      <c r="F1863">
        <v>0</v>
      </c>
      <c r="G1863">
        <v>0</v>
      </c>
      <c r="I1863" t="s">
        <v>1900</v>
      </c>
      <c r="J1863" t="str">
        <f>HYPERLINK("http://pbs.twimg.com/media/DDjsdybXkAAiKyP.jpg", "http://pbs.twimg.com/media/DDjsdybXkAAiKyP.jpg")</f>
        <v>http://pbs.twimg.com/media/DDjsdybXkAAiKyP.jpg</v>
      </c>
      <c r="N1863">
        <v>0</v>
      </c>
      <c r="O1863">
        <v>0</v>
      </c>
      <c r="P1863">
        <v>1</v>
      </c>
      <c r="Q1863">
        <v>0</v>
      </c>
    </row>
    <row r="1864" spans="1:17" x14ac:dyDescent="0.2">
      <c r="A1864" s="1" t="str">
        <f>HYPERLINK("http://www.twitter.com/Ugo_Roux/status/880692751930712064", "880692751930712064")</f>
        <v>880692751930712064</v>
      </c>
      <c r="B1864" t="s">
        <v>370</v>
      </c>
      <c r="C1864" s="3">
        <v>42916.320474537039</v>
      </c>
      <c r="D1864" s="5" t="s">
        <v>24</v>
      </c>
      <c r="E1864">
        <v>0</v>
      </c>
      <c r="F1864">
        <v>0</v>
      </c>
      <c r="G1864">
        <v>0</v>
      </c>
      <c r="I1864" t="s">
        <v>1901</v>
      </c>
      <c r="J1864" t="str">
        <f>HYPERLINK("http://pbs.twimg.com/media/DDjZY7uXcAEXw2h.jpg", "http://pbs.twimg.com/media/DDjZY7uXcAEXw2h.jpg")</f>
        <v>http://pbs.twimg.com/media/DDjZY7uXcAEXw2h.jpg</v>
      </c>
      <c r="N1864">
        <v>0</v>
      </c>
      <c r="O1864">
        <v>0</v>
      </c>
      <c r="P1864">
        <v>1</v>
      </c>
      <c r="Q1864">
        <v>0</v>
      </c>
    </row>
    <row r="1865" spans="1:17" x14ac:dyDescent="0.2">
      <c r="A1865" s="1" t="str">
        <f>HYPERLINK("http://www.twitter.com/Ugo_Roux/status/880420832325062665", "880420832325062665")</f>
        <v>880420832325062665</v>
      </c>
      <c r="B1865" t="s">
        <v>285</v>
      </c>
      <c r="C1865" s="3">
        <v>42915.570115740738</v>
      </c>
      <c r="D1865" s="5" t="s">
        <v>17</v>
      </c>
      <c r="E1865">
        <v>0</v>
      </c>
      <c r="F1865">
        <v>0</v>
      </c>
      <c r="G1865">
        <v>0</v>
      </c>
      <c r="I1865" t="s">
        <v>1902</v>
      </c>
      <c r="N1865">
        <v>0</v>
      </c>
      <c r="O1865">
        <v>0</v>
      </c>
      <c r="P1865">
        <v>1</v>
      </c>
      <c r="Q1865">
        <v>0</v>
      </c>
    </row>
    <row r="1866" spans="1:17" x14ac:dyDescent="0.2">
      <c r="A1866" s="1" t="str">
        <f>HYPERLINK("http://www.twitter.com/Ugo_Roux/status/880416113657614337", "880416113657614337")</f>
        <v>880416113657614337</v>
      </c>
      <c r="B1866" t="s">
        <v>47</v>
      </c>
      <c r="C1866" s="3">
        <v>42915.55709490741</v>
      </c>
      <c r="D1866" s="5" t="s">
        <v>28</v>
      </c>
      <c r="E1866">
        <v>0</v>
      </c>
      <c r="F1866">
        <v>0</v>
      </c>
      <c r="G1866">
        <v>0</v>
      </c>
      <c r="I1866" t="s">
        <v>1903</v>
      </c>
      <c r="N1866">
        <v>0</v>
      </c>
      <c r="O1866">
        <v>0</v>
      </c>
      <c r="P1866">
        <v>1</v>
      </c>
      <c r="Q1866">
        <v>0</v>
      </c>
    </row>
    <row r="1867" spans="1:17" x14ac:dyDescent="0.2">
      <c r="A1867" s="1" t="str">
        <f>HYPERLINK("http://www.twitter.com/Ugo_Roux/status/880338793856983044", "880338793856983044")</f>
        <v>880338793856983044</v>
      </c>
      <c r="B1867" t="s">
        <v>142</v>
      </c>
      <c r="C1867" s="3">
        <v>42915.343738425923</v>
      </c>
      <c r="D1867" s="5" t="s">
        <v>28</v>
      </c>
      <c r="E1867">
        <v>2</v>
      </c>
      <c r="F1867">
        <v>3</v>
      </c>
      <c r="G1867">
        <v>0</v>
      </c>
      <c r="I1867" t="s">
        <v>1904</v>
      </c>
      <c r="N1867">
        <v>0</v>
      </c>
      <c r="O1867">
        <v>0</v>
      </c>
      <c r="P1867">
        <v>1</v>
      </c>
      <c r="Q1867">
        <v>0</v>
      </c>
    </row>
    <row r="1868" spans="1:17" x14ac:dyDescent="0.2">
      <c r="A1868" s="1" t="str">
        <f>HYPERLINK("http://www.twitter.com/Ugo_Roux/status/879999615705198592", "879999615705198592")</f>
        <v>879999615705198592</v>
      </c>
      <c r="B1868" t="s">
        <v>130</v>
      </c>
      <c r="C1868" s="3">
        <v>42914.407777777778</v>
      </c>
      <c r="D1868" s="5" t="s">
        <v>17</v>
      </c>
      <c r="E1868">
        <v>1</v>
      </c>
      <c r="F1868">
        <v>0</v>
      </c>
      <c r="G1868">
        <v>0</v>
      </c>
      <c r="I1868" t="s">
        <v>1905</v>
      </c>
      <c r="N1868">
        <v>0</v>
      </c>
      <c r="O1868">
        <v>0</v>
      </c>
      <c r="P1868">
        <v>1</v>
      </c>
      <c r="Q1868">
        <v>0</v>
      </c>
    </row>
    <row r="1869" spans="1:17" x14ac:dyDescent="0.2">
      <c r="A1869" s="1" t="str">
        <f>HYPERLINK("http://www.twitter.com/Ugo_Roux/status/879946333339168768", "879946333339168768")</f>
        <v>879946333339168768</v>
      </c>
      <c r="B1869" t="s">
        <v>285</v>
      </c>
      <c r="C1869" s="3">
        <v>42914.260752314818</v>
      </c>
      <c r="D1869" s="5" t="s">
        <v>17</v>
      </c>
      <c r="E1869">
        <v>1</v>
      </c>
      <c r="F1869">
        <v>0</v>
      </c>
      <c r="G1869">
        <v>0</v>
      </c>
      <c r="I1869" t="s">
        <v>1906</v>
      </c>
      <c r="J1869" t="str">
        <f>HYPERLINK("http://pbs.twimg.com/media/DDYycWRXkAADeru.jpg", "http://pbs.twimg.com/media/DDYycWRXkAADeru.jpg")</f>
        <v>http://pbs.twimg.com/media/DDYycWRXkAADeru.jpg</v>
      </c>
      <c r="N1869">
        <v>0.52669999999999995</v>
      </c>
      <c r="O1869">
        <v>0</v>
      </c>
      <c r="P1869">
        <v>0.80500000000000005</v>
      </c>
      <c r="Q1869">
        <v>0.19500000000000001</v>
      </c>
    </row>
    <row r="1870" spans="1:17" x14ac:dyDescent="0.2">
      <c r="A1870" s="1" t="str">
        <f>HYPERLINK("http://www.twitter.com/Ugo_Roux/status/879696635995058177", "879696635995058177")</f>
        <v>879696635995058177</v>
      </c>
      <c r="B1870" t="s">
        <v>370</v>
      </c>
      <c r="C1870" s="3">
        <v>42913.571712962963</v>
      </c>
      <c r="D1870" s="5" t="s">
        <v>41</v>
      </c>
      <c r="E1870">
        <v>0</v>
      </c>
      <c r="F1870">
        <v>0</v>
      </c>
      <c r="G1870">
        <v>0</v>
      </c>
      <c r="I1870" t="s">
        <v>1907</v>
      </c>
      <c r="J1870" t="str">
        <f>HYPERLINK("http://pbs.twimg.com/media/DDVPbXrVwAA7j9M.jpg", "http://pbs.twimg.com/media/DDVPbXrVwAA7j9M.jpg")</f>
        <v>http://pbs.twimg.com/media/DDVPbXrVwAA7j9M.jpg</v>
      </c>
      <c r="N1870">
        <v>0</v>
      </c>
      <c r="O1870">
        <v>0</v>
      </c>
      <c r="P1870">
        <v>1</v>
      </c>
      <c r="Q1870">
        <v>0</v>
      </c>
    </row>
    <row r="1871" spans="1:17" x14ac:dyDescent="0.2">
      <c r="A1871" s="1" t="str">
        <f>HYPERLINK("http://www.twitter.com/Ugo_Roux/status/879675476654116864", "879675476654116864")</f>
        <v>879675476654116864</v>
      </c>
      <c r="B1871" t="s">
        <v>285</v>
      </c>
      <c r="C1871" s="3">
        <v>42913.513321759259</v>
      </c>
      <c r="D1871" s="5" t="s">
        <v>28</v>
      </c>
      <c r="E1871">
        <v>0</v>
      </c>
      <c r="F1871">
        <v>0</v>
      </c>
      <c r="G1871">
        <v>0</v>
      </c>
      <c r="I1871" t="s">
        <v>1908</v>
      </c>
      <c r="J1871" t="str">
        <f>HYPERLINK("http://pbs.twimg.com/media/DDU8Ih7XoAABdSi.jpg", "http://pbs.twimg.com/media/DDU8Ih7XoAABdSi.jpg")</f>
        <v>http://pbs.twimg.com/media/DDU8Ih7XoAABdSi.jpg</v>
      </c>
      <c r="N1871">
        <v>0</v>
      </c>
      <c r="O1871">
        <v>0</v>
      </c>
      <c r="P1871">
        <v>1</v>
      </c>
      <c r="Q1871">
        <v>0</v>
      </c>
    </row>
    <row r="1872" spans="1:17" x14ac:dyDescent="0.2">
      <c r="A1872" s="1" t="str">
        <f>HYPERLINK("http://www.twitter.com/Ugo_Roux/status/879622018014097408", "879622018014097408")</f>
        <v>879622018014097408</v>
      </c>
      <c r="B1872" t="s">
        <v>16</v>
      </c>
      <c r="C1872" s="3">
        <v>42913.365810185183</v>
      </c>
      <c r="D1872" s="3" t="s">
        <v>28</v>
      </c>
      <c r="E1872">
        <v>2</v>
      </c>
      <c r="F1872">
        <v>1</v>
      </c>
      <c r="G1872">
        <v>0</v>
      </c>
      <c r="I1872" t="s">
        <v>1909</v>
      </c>
      <c r="J1872" t="str">
        <f>HYPERLINK("http://pbs.twimg.com/media/DDUK0yeXkAEHkly.jpg", "http://pbs.twimg.com/media/DDUK0yeXkAEHkly.jpg")</f>
        <v>http://pbs.twimg.com/media/DDUK0yeXkAEHkly.jpg</v>
      </c>
      <c r="N1872">
        <v>0</v>
      </c>
      <c r="O1872">
        <v>0</v>
      </c>
      <c r="P1872">
        <v>1</v>
      </c>
      <c r="Q1872">
        <v>0</v>
      </c>
    </row>
    <row r="1873" spans="1:17" x14ac:dyDescent="0.2">
      <c r="A1873" s="1" t="str">
        <f>HYPERLINK("http://www.twitter.com/Ugo_Roux/status/878611385109839873", "878611385109839873")</f>
        <v>878611385109839873</v>
      </c>
      <c r="B1873" t="s">
        <v>47</v>
      </c>
      <c r="C1873" s="3">
        <v>42910.576990740738</v>
      </c>
      <c r="D1873" s="5" t="s">
        <v>41</v>
      </c>
      <c r="E1873">
        <v>4</v>
      </c>
      <c r="F1873">
        <v>0</v>
      </c>
      <c r="G1873">
        <v>0</v>
      </c>
      <c r="I1873" t="s">
        <v>1910</v>
      </c>
      <c r="J1873" t="str">
        <f>HYPERLINK("http://pbs.twimg.com/media/DDF0XiDXgAEQUjS.jpg", "http://pbs.twimg.com/media/DDF0XiDXgAEQUjS.jpg")</f>
        <v>http://pbs.twimg.com/media/DDF0XiDXgAEQUjS.jpg</v>
      </c>
      <c r="N1873">
        <v>0</v>
      </c>
      <c r="O1873">
        <v>0</v>
      </c>
      <c r="P1873">
        <v>1</v>
      </c>
      <c r="Q1873">
        <v>0</v>
      </c>
    </row>
    <row r="1874" spans="1:17" x14ac:dyDescent="0.2">
      <c r="A1874" s="1" t="str">
        <f>HYPERLINK("http://www.twitter.com/Ugo_Roux/status/878271033152647168", "878271033152647168")</f>
        <v>878271033152647168</v>
      </c>
      <c r="B1874" t="s">
        <v>47</v>
      </c>
      <c r="C1874" s="3">
        <v>42909.637800925928</v>
      </c>
      <c r="D1874" s="5" t="s">
        <v>17</v>
      </c>
      <c r="E1874">
        <v>2</v>
      </c>
      <c r="F1874">
        <v>1</v>
      </c>
      <c r="G1874">
        <v>0</v>
      </c>
      <c r="I1874" t="s">
        <v>1911</v>
      </c>
      <c r="J1874" t="str">
        <f>HYPERLINK("http://pbs.twimg.com/media/DDA-q9VXsAE5p4m.jpg", "http://pbs.twimg.com/media/DDA-q9VXsAE5p4m.jpg")</f>
        <v>http://pbs.twimg.com/media/DDA-q9VXsAE5p4m.jpg</v>
      </c>
      <c r="N1874">
        <v>0.5837</v>
      </c>
      <c r="O1874">
        <v>0</v>
      </c>
      <c r="P1874">
        <v>0.70399999999999996</v>
      </c>
      <c r="Q1874">
        <v>0.29599999999999999</v>
      </c>
    </row>
    <row r="1875" spans="1:17" x14ac:dyDescent="0.2">
      <c r="A1875" s="1" t="str">
        <f>HYPERLINK("http://www.twitter.com/Ugo_Roux/status/878153111344357377", "878153111344357377")</f>
        <v>878153111344357377</v>
      </c>
      <c r="B1875" t="s">
        <v>285</v>
      </c>
      <c r="C1875" s="3">
        <v>42909.312395833331</v>
      </c>
      <c r="D1875" s="5" t="s">
        <v>41</v>
      </c>
      <c r="E1875">
        <v>1</v>
      </c>
      <c r="F1875">
        <v>0</v>
      </c>
      <c r="G1875">
        <v>0</v>
      </c>
      <c r="I1875" t="s">
        <v>1912</v>
      </c>
      <c r="J1875" t="str">
        <f>HYPERLINK("http://pbs.twimg.com/media/DC_TTZYW0AAgmb2.jpg", "http://pbs.twimg.com/media/DC_TTZYW0AAgmb2.jpg")</f>
        <v>http://pbs.twimg.com/media/DC_TTZYW0AAgmb2.jpg</v>
      </c>
      <c r="N1875">
        <v>0</v>
      </c>
      <c r="O1875">
        <v>0</v>
      </c>
      <c r="P1875">
        <v>1</v>
      </c>
      <c r="Q1875">
        <v>0</v>
      </c>
    </row>
    <row r="1876" spans="1:17" x14ac:dyDescent="0.2">
      <c r="A1876" s="1" t="str">
        <f>HYPERLINK("http://www.twitter.com/Ugo_Roux/status/877888733206331393", "877888733206331393")</f>
        <v>877888733206331393</v>
      </c>
      <c r="B1876" t="s">
        <v>370</v>
      </c>
      <c r="C1876" s="3">
        <v>42908.582858796297</v>
      </c>
      <c r="D1876" s="3" t="s">
        <v>28</v>
      </c>
      <c r="E1876">
        <v>0</v>
      </c>
      <c r="F1876">
        <v>0</v>
      </c>
      <c r="G1876">
        <v>0</v>
      </c>
      <c r="I1876" t="s">
        <v>1913</v>
      </c>
      <c r="J1876" t="str">
        <f>HYPERLINK("http://pbs.twimg.com/media/DC7jJiDVwAEJ61s.jpg", "http://pbs.twimg.com/media/DC7jJiDVwAEJ61s.jpg")</f>
        <v>http://pbs.twimg.com/media/DC7jJiDVwAEJ61s.jpg</v>
      </c>
      <c r="N1876">
        <v>7.7200000000000005E-2</v>
      </c>
      <c r="O1876">
        <v>0</v>
      </c>
      <c r="P1876">
        <v>0.88500000000000001</v>
      </c>
      <c r="Q1876">
        <v>0.115</v>
      </c>
    </row>
    <row r="1877" spans="1:17" x14ac:dyDescent="0.2">
      <c r="A1877" s="1" t="str">
        <f>HYPERLINK("http://www.twitter.com/Ugo_Roux/status/877863380358492161", "877863380358492161")</f>
        <v>877863380358492161</v>
      </c>
      <c r="B1877" t="s">
        <v>47</v>
      </c>
      <c r="C1877" s="3">
        <v>42908.51289351852</v>
      </c>
      <c r="D1877" s="5" t="s">
        <v>17</v>
      </c>
      <c r="E1877">
        <v>3</v>
      </c>
      <c r="F1877">
        <v>1</v>
      </c>
      <c r="G1877">
        <v>0</v>
      </c>
      <c r="I1877" t="s">
        <v>1914</v>
      </c>
      <c r="J1877" t="str">
        <f>HYPERLINK("http://pbs.twimg.com/media/DC7L-oJWsAEqzWa.jpg", "http://pbs.twimg.com/media/DC7L-oJWsAEqzWa.jpg")</f>
        <v>http://pbs.twimg.com/media/DC7L-oJWsAEqzWa.jpg</v>
      </c>
      <c r="N1877">
        <v>0</v>
      </c>
      <c r="O1877">
        <v>0</v>
      </c>
      <c r="P1877">
        <v>1</v>
      </c>
      <c r="Q1877">
        <v>0</v>
      </c>
    </row>
    <row r="1878" spans="1:17" x14ac:dyDescent="0.2">
      <c r="A1878" s="1" t="str">
        <f>HYPERLINK("http://www.twitter.com/Ugo_Roux/status/877831026143186944", "877831026143186944")</f>
        <v>877831026143186944</v>
      </c>
      <c r="B1878" t="s">
        <v>16</v>
      </c>
      <c r="C1878" s="3">
        <v>42908.423611111109</v>
      </c>
      <c r="D1878" s="3" t="s">
        <v>17</v>
      </c>
      <c r="E1878">
        <v>2</v>
      </c>
      <c r="F1878">
        <v>1</v>
      </c>
      <c r="G1878">
        <v>0</v>
      </c>
      <c r="I1878" t="s">
        <v>1915</v>
      </c>
      <c r="J1878" t="str">
        <f>HYPERLINK("http://pbs.twimg.com/media/DCwjUmcXcAAIc9e.jpg", "http://pbs.twimg.com/media/DCwjUmcXcAAIc9e.jpg")</f>
        <v>http://pbs.twimg.com/media/DCwjUmcXcAAIc9e.jpg</v>
      </c>
      <c r="N1878">
        <v>-0.79590000000000005</v>
      </c>
      <c r="O1878">
        <v>0.28299999999999997</v>
      </c>
      <c r="P1878">
        <v>0.71699999999999997</v>
      </c>
      <c r="Q1878">
        <v>0</v>
      </c>
    </row>
    <row r="1879" spans="1:17" x14ac:dyDescent="0.2">
      <c r="A1879" s="1" t="str">
        <f>HYPERLINK("http://www.twitter.com/Ugo_Roux/status/877828162213748736", "877828162213748736")</f>
        <v>877828162213748736</v>
      </c>
      <c r="B1879" t="s">
        <v>16</v>
      </c>
      <c r="C1879" s="3">
        <v>42908.415706018517</v>
      </c>
      <c r="D1879" s="3" t="s">
        <v>17</v>
      </c>
      <c r="E1879">
        <v>7</v>
      </c>
      <c r="F1879">
        <v>0</v>
      </c>
      <c r="G1879">
        <v>0</v>
      </c>
      <c r="I1879" t="s">
        <v>1916</v>
      </c>
      <c r="J1879" t="str">
        <f>HYPERLINK("http://pbs.twimg.com/media/DC6jbKIXkAABkRL.jpg", "http://pbs.twimg.com/media/DC6jbKIXkAABkRL.jpg")</f>
        <v>http://pbs.twimg.com/media/DC6jbKIXkAABkRL.jpg</v>
      </c>
      <c r="N1879">
        <v>0</v>
      </c>
      <c r="O1879">
        <v>0</v>
      </c>
      <c r="P1879">
        <v>1</v>
      </c>
      <c r="Q1879">
        <v>0</v>
      </c>
    </row>
    <row r="1880" spans="1:17" x14ac:dyDescent="0.2">
      <c r="A1880" s="1" t="str">
        <f>HYPERLINK("http://www.twitter.com/Ugo_Roux/status/877589748650528768", "877589748650528768")</f>
        <v>877589748650528768</v>
      </c>
      <c r="B1880" t="s">
        <v>16</v>
      </c>
      <c r="C1880" s="3">
        <v>42907.7578125</v>
      </c>
      <c r="D1880" s="3" t="s">
        <v>28</v>
      </c>
      <c r="E1880">
        <v>1</v>
      </c>
      <c r="F1880">
        <v>0</v>
      </c>
      <c r="G1880">
        <v>0</v>
      </c>
      <c r="I1880" t="s">
        <v>1917</v>
      </c>
      <c r="J1880" t="str">
        <f>HYPERLINK("http://pbs.twimg.com/media/DC3TLHzXUAQ3wce.jpg", "http://pbs.twimg.com/media/DC3TLHzXUAQ3wce.jpg")</f>
        <v>http://pbs.twimg.com/media/DC3TLHzXUAQ3wce.jpg</v>
      </c>
      <c r="N1880">
        <v>0</v>
      </c>
      <c r="O1880">
        <v>0</v>
      </c>
      <c r="P1880">
        <v>1</v>
      </c>
      <c r="Q1880">
        <v>0</v>
      </c>
    </row>
    <row r="1881" spans="1:17" x14ac:dyDescent="0.2">
      <c r="A1881" s="1" t="str">
        <f>HYPERLINK("http://www.twitter.com/Ugo_Roux/status/877542652534829057", "877542652534829057")</f>
        <v>877542652534829057</v>
      </c>
      <c r="B1881" t="s">
        <v>97</v>
      </c>
      <c r="C1881" s="3">
        <v>42907.627847222233</v>
      </c>
      <c r="D1881" s="5" t="s">
        <v>17</v>
      </c>
      <c r="E1881">
        <v>0</v>
      </c>
      <c r="F1881">
        <v>0</v>
      </c>
      <c r="G1881">
        <v>0</v>
      </c>
      <c r="I1881" t="s">
        <v>1918</v>
      </c>
      <c r="J1881" t="str">
        <f>HYPERLINK("http://pbs.twimg.com/media/DC2oZAgU0AEvmA3.jpg", "http://pbs.twimg.com/media/DC2oZAgU0AEvmA3.jpg")</f>
        <v>http://pbs.twimg.com/media/DC2oZAgU0AEvmA3.jpg</v>
      </c>
      <c r="N1881">
        <v>0</v>
      </c>
      <c r="O1881">
        <v>0</v>
      </c>
      <c r="P1881">
        <v>1</v>
      </c>
      <c r="Q1881">
        <v>0</v>
      </c>
    </row>
    <row r="1882" spans="1:17" x14ac:dyDescent="0.2">
      <c r="A1882" s="1" t="str">
        <f>HYPERLINK("http://www.twitter.com/Ugo_Roux/status/877541737354448898", "877541737354448898")</f>
        <v>877541737354448898</v>
      </c>
      <c r="B1882" t="s">
        <v>16</v>
      </c>
      <c r="C1882" s="3">
        <v>42907.625324074077</v>
      </c>
      <c r="D1882" s="3" t="s">
        <v>28</v>
      </c>
      <c r="E1882">
        <v>5</v>
      </c>
      <c r="F1882">
        <v>1</v>
      </c>
      <c r="G1882">
        <v>0</v>
      </c>
      <c r="I1882" t="s">
        <v>1919</v>
      </c>
      <c r="J1882" t="str">
        <f>HYPERLINK("https://video.twimg.com/ext_tw_video/877540915681914880/pu/vid/1280x720/-01Hy7YtbXr-lES3.mp4", "https://video.twimg.com/ext_tw_video/877540915681914880/pu/vid/1280x720/-01Hy7YtbXr-lES3.mp4")</f>
        <v>https://video.twimg.com/ext_tw_video/877540915681914880/pu/vid/1280x720/-01Hy7YtbXr-lES3.mp4</v>
      </c>
      <c r="N1882">
        <v>0.50929999999999997</v>
      </c>
      <c r="O1882">
        <v>0</v>
      </c>
      <c r="P1882">
        <v>0.79800000000000004</v>
      </c>
      <c r="Q1882">
        <v>0.20200000000000001</v>
      </c>
    </row>
    <row r="1883" spans="1:17" x14ac:dyDescent="0.2">
      <c r="A1883" s="1" t="str">
        <f>HYPERLINK("http://www.twitter.com/Ugo_Roux/status/877471154272849920", "877471154272849920")</f>
        <v>877471154272849920</v>
      </c>
      <c r="B1883" t="s">
        <v>16</v>
      </c>
      <c r="C1883" s="3">
        <v>42907.430555555547</v>
      </c>
      <c r="D1883" s="3" t="s">
        <v>41</v>
      </c>
      <c r="E1883">
        <v>3</v>
      </c>
      <c r="F1883">
        <v>0</v>
      </c>
      <c r="G1883">
        <v>0</v>
      </c>
      <c r="I1883" t="s">
        <v>1920</v>
      </c>
      <c r="J1883" t="str">
        <f>HYPERLINK("http://pbs.twimg.com/media/DCxWF0rXgAAASSi.jpg", "http://pbs.twimg.com/media/DCxWF0rXgAAASSi.jpg")</f>
        <v>http://pbs.twimg.com/media/DCxWF0rXgAAASSi.jpg</v>
      </c>
      <c r="N1883">
        <v>0</v>
      </c>
      <c r="O1883">
        <v>0</v>
      </c>
      <c r="P1883">
        <v>1</v>
      </c>
      <c r="Q1883">
        <v>0</v>
      </c>
    </row>
    <row r="1884" spans="1:17" x14ac:dyDescent="0.2">
      <c r="A1884" s="1" t="str">
        <f>HYPERLINK("http://www.twitter.com/Ugo_Roux/status/877469897919352832", "877469897919352832")</f>
        <v>877469897919352832</v>
      </c>
      <c r="B1884" t="s">
        <v>16</v>
      </c>
      <c r="C1884" s="3">
        <v>42907.427083333343</v>
      </c>
      <c r="D1884" s="3" t="s">
        <v>41</v>
      </c>
      <c r="E1884">
        <v>5</v>
      </c>
      <c r="F1884">
        <v>0</v>
      </c>
      <c r="G1884">
        <v>0</v>
      </c>
      <c r="I1884" t="s">
        <v>1921</v>
      </c>
      <c r="J1884" t="str">
        <f>HYPERLINK("http://pbs.twimg.com/media/DCxOLPUW0AEc1-E.jpg", "http://pbs.twimg.com/media/DCxOLPUW0AEc1-E.jpg")</f>
        <v>http://pbs.twimg.com/media/DCxOLPUW0AEc1-E.jpg</v>
      </c>
      <c r="N1884">
        <v>0</v>
      </c>
      <c r="O1884">
        <v>0</v>
      </c>
      <c r="P1884">
        <v>1</v>
      </c>
      <c r="Q1884">
        <v>0</v>
      </c>
    </row>
    <row r="1885" spans="1:17" x14ac:dyDescent="0.2">
      <c r="A1885" s="1" t="str">
        <f>HYPERLINK("http://www.twitter.com/Ugo_Roux/status/877443816659333120", "877443816659333120")</f>
        <v>877443816659333120</v>
      </c>
      <c r="B1885" t="s">
        <v>47</v>
      </c>
      <c r="C1885" s="3">
        <v>42907.355115740742</v>
      </c>
      <c r="D1885" s="5" t="s">
        <v>17</v>
      </c>
      <c r="E1885">
        <v>0</v>
      </c>
      <c r="F1885">
        <v>0</v>
      </c>
      <c r="G1885">
        <v>0</v>
      </c>
      <c r="I1885" t="s">
        <v>1922</v>
      </c>
      <c r="N1885">
        <v>0</v>
      </c>
      <c r="O1885">
        <v>0</v>
      </c>
      <c r="P1885">
        <v>1</v>
      </c>
      <c r="Q1885">
        <v>0</v>
      </c>
    </row>
    <row r="1886" spans="1:17" x14ac:dyDescent="0.2">
      <c r="A1886" s="1" t="str">
        <f>HYPERLINK("http://www.twitter.com/Ugo_Roux/status/877160108886765568", "877160108886765568")</f>
        <v>877160108886765568</v>
      </c>
      <c r="B1886" t="s">
        <v>16</v>
      </c>
      <c r="C1886" s="3">
        <v>42906.572233796287</v>
      </c>
      <c r="D1886" s="3" t="s">
        <v>28</v>
      </c>
      <c r="E1886">
        <v>5</v>
      </c>
      <c r="F1886">
        <v>1</v>
      </c>
      <c r="G1886">
        <v>0</v>
      </c>
      <c r="I1886" t="s">
        <v>1923</v>
      </c>
      <c r="N1886">
        <v>0</v>
      </c>
      <c r="O1886">
        <v>0</v>
      </c>
      <c r="P1886">
        <v>1</v>
      </c>
      <c r="Q1886">
        <v>0</v>
      </c>
    </row>
    <row r="1887" spans="1:17" x14ac:dyDescent="0.2">
      <c r="A1887" s="1" t="str">
        <f>HYPERLINK("http://www.twitter.com/Ugo_Roux/status/877137641602416640", "877137641602416640")</f>
        <v>877137641602416640</v>
      </c>
      <c r="B1887" t="s">
        <v>285</v>
      </c>
      <c r="C1887" s="3">
        <v>42906.510231481479</v>
      </c>
      <c r="D1887" s="5" t="s">
        <v>28</v>
      </c>
      <c r="E1887">
        <v>0</v>
      </c>
      <c r="F1887">
        <v>0</v>
      </c>
      <c r="G1887">
        <v>0</v>
      </c>
      <c r="I1887" t="s">
        <v>1924</v>
      </c>
      <c r="J1887" t="str">
        <f>HYPERLINK("http://pbs.twimg.com/media/DCw33JrXYAEILFV.jpg", "http://pbs.twimg.com/media/DCw33JrXYAEILFV.jpg")</f>
        <v>http://pbs.twimg.com/media/DCw33JrXYAEILFV.jpg</v>
      </c>
      <c r="N1887">
        <v>0</v>
      </c>
      <c r="O1887">
        <v>0</v>
      </c>
      <c r="P1887">
        <v>1</v>
      </c>
      <c r="Q1887">
        <v>0</v>
      </c>
    </row>
    <row r="1888" spans="1:17" x14ac:dyDescent="0.2">
      <c r="A1888" s="1" t="str">
        <f>HYPERLINK("http://www.twitter.com/Ugo_Roux/status/877093618682658816", "877093618682658816")</f>
        <v>877093618682658816</v>
      </c>
      <c r="B1888" t="s">
        <v>16</v>
      </c>
      <c r="C1888" s="3">
        <v>42906.388749999998</v>
      </c>
      <c r="D1888" s="3" t="s">
        <v>28</v>
      </c>
      <c r="E1888">
        <v>1</v>
      </c>
      <c r="F1888">
        <v>0</v>
      </c>
      <c r="G1888">
        <v>0</v>
      </c>
      <c r="I1888" t="s">
        <v>1925</v>
      </c>
      <c r="J1888" t="str">
        <f>HYPERLINK("http://pbs.twimg.com/media/DCwPsz7XcAAHLKg.jpg", "http://pbs.twimg.com/media/DCwPsz7XcAAHLKg.jpg")</f>
        <v>http://pbs.twimg.com/media/DCwPsz7XcAAHLKg.jpg</v>
      </c>
      <c r="N1888">
        <v>0.61140000000000005</v>
      </c>
      <c r="O1888">
        <v>0</v>
      </c>
      <c r="P1888">
        <v>0.77300000000000002</v>
      </c>
      <c r="Q1888">
        <v>0.22700000000000001</v>
      </c>
    </row>
    <row r="1889" spans="1:17" x14ac:dyDescent="0.2">
      <c r="A1889" s="1" t="str">
        <f>HYPERLINK("http://www.twitter.com/Ugo_Roux/status/876737184048525312", "876737184048525312")</f>
        <v>876737184048525312</v>
      </c>
      <c r="B1889" t="s">
        <v>285</v>
      </c>
      <c r="C1889" s="3">
        <v>42905.405185185176</v>
      </c>
      <c r="D1889" s="5" t="s">
        <v>28</v>
      </c>
      <c r="E1889">
        <v>0</v>
      </c>
      <c r="F1889">
        <v>0</v>
      </c>
      <c r="G1889">
        <v>0</v>
      </c>
      <c r="I1889" t="s">
        <v>1926</v>
      </c>
      <c r="J1889" t="str">
        <f>HYPERLINK("http://pbs.twimg.com/media/DCrLyDQXUAA3wVP.jpg", "http://pbs.twimg.com/media/DCrLyDQXUAA3wVP.jpg")</f>
        <v>http://pbs.twimg.com/media/DCrLyDQXUAA3wVP.jpg</v>
      </c>
      <c r="N1889">
        <v>0</v>
      </c>
      <c r="O1889">
        <v>0</v>
      </c>
      <c r="P1889">
        <v>1</v>
      </c>
      <c r="Q1889">
        <v>0</v>
      </c>
    </row>
    <row r="1890" spans="1:17" x14ac:dyDescent="0.2">
      <c r="A1890" s="1" t="str">
        <f>HYPERLINK("http://www.twitter.com/Ugo_Roux/status/876049497037688833", "876049497037688833")</f>
        <v>876049497037688833</v>
      </c>
      <c r="B1890" t="s">
        <v>47</v>
      </c>
      <c r="C1890" s="3">
        <v>42903.507523148153</v>
      </c>
      <c r="D1890" s="5" t="s">
        <v>28</v>
      </c>
      <c r="E1890">
        <v>0</v>
      </c>
      <c r="F1890">
        <v>0</v>
      </c>
      <c r="G1890">
        <v>0</v>
      </c>
      <c r="I1890" t="s">
        <v>1927</v>
      </c>
      <c r="J1890" t="str">
        <f>HYPERLINK("http://pbs.twimg.com/media/DChaBOVXkAAiGhk.jpg", "http://pbs.twimg.com/media/DChaBOVXkAAiGhk.jpg")</f>
        <v>http://pbs.twimg.com/media/DChaBOVXkAAiGhk.jpg</v>
      </c>
      <c r="N1890">
        <v>0.65880000000000005</v>
      </c>
      <c r="O1890">
        <v>0</v>
      </c>
      <c r="P1890">
        <v>0.81699999999999995</v>
      </c>
      <c r="Q1890">
        <v>0.183</v>
      </c>
    </row>
    <row r="1891" spans="1:17" x14ac:dyDescent="0.2">
      <c r="A1891" s="1" t="str">
        <f>HYPERLINK("http://www.twitter.com/Ugo_Roux/status/876003954441826304", "876003954441826304")</f>
        <v>876003954441826304</v>
      </c>
      <c r="B1891" t="s">
        <v>414</v>
      </c>
      <c r="C1891" s="3">
        <v>42903.381851851853</v>
      </c>
      <c r="D1891" s="5" t="s">
        <v>28</v>
      </c>
      <c r="E1891">
        <v>0</v>
      </c>
      <c r="F1891">
        <v>0</v>
      </c>
      <c r="G1891">
        <v>0</v>
      </c>
      <c r="I1891" t="s">
        <v>1928</v>
      </c>
      <c r="J1891" t="str">
        <f>HYPERLINK("http://pbs.twimg.com/media/DCgwsThXYAAsC6R.jpg", "http://pbs.twimg.com/media/DCgwsThXYAAsC6R.jpg")</f>
        <v>http://pbs.twimg.com/media/DCgwsThXYAAsC6R.jpg</v>
      </c>
      <c r="N1891">
        <v>0.45879999999999999</v>
      </c>
      <c r="O1891">
        <v>0</v>
      </c>
      <c r="P1891">
        <v>0.87</v>
      </c>
      <c r="Q1891">
        <v>0.13</v>
      </c>
    </row>
    <row r="1892" spans="1:17" x14ac:dyDescent="0.2">
      <c r="A1892" s="1" t="str">
        <f>HYPERLINK("http://www.twitter.com/Ugo_Roux/status/875388778466205700", "875388778466205700")</f>
        <v>875388778466205700</v>
      </c>
      <c r="B1892" t="s">
        <v>16</v>
      </c>
      <c r="C1892" s="3">
        <v>42901.684293981481</v>
      </c>
      <c r="D1892" s="3" t="s">
        <v>28</v>
      </c>
      <c r="E1892">
        <v>3</v>
      </c>
      <c r="F1892">
        <v>0</v>
      </c>
      <c r="G1892">
        <v>0</v>
      </c>
      <c r="I1892" t="s">
        <v>1929</v>
      </c>
      <c r="N1892">
        <v>0.49259999999999998</v>
      </c>
      <c r="O1892">
        <v>0</v>
      </c>
      <c r="P1892">
        <v>0.84899999999999998</v>
      </c>
      <c r="Q1892">
        <v>0.151</v>
      </c>
    </row>
    <row r="1893" spans="1:17" x14ac:dyDescent="0.2">
      <c r="A1893" s="1" t="str">
        <f>HYPERLINK("http://www.twitter.com/Ugo_Roux/status/874610461450399744", "874610461450399744")</f>
        <v>874610461450399744</v>
      </c>
      <c r="B1893" t="s">
        <v>16</v>
      </c>
      <c r="C1893" s="3">
        <v>42899.536550925928</v>
      </c>
      <c r="D1893" s="3" t="s">
        <v>41</v>
      </c>
      <c r="E1893">
        <v>15</v>
      </c>
      <c r="F1893">
        <v>4</v>
      </c>
      <c r="G1893">
        <v>1</v>
      </c>
      <c r="I1893" t="s">
        <v>1930</v>
      </c>
      <c r="J1893" t="str">
        <f>HYPERLINK("http://pbs.twimg.com/media/DCM9SBbW0AAS0-u.jpg", "http://pbs.twimg.com/media/DCM9SBbW0AAS0-u.jpg")</f>
        <v>http://pbs.twimg.com/media/DCM9SBbW0AAS0-u.jpg</v>
      </c>
      <c r="N1893">
        <v>0</v>
      </c>
      <c r="O1893">
        <v>0</v>
      </c>
      <c r="P1893">
        <v>1</v>
      </c>
      <c r="Q1893">
        <v>0</v>
      </c>
    </row>
    <row r="1894" spans="1:17" x14ac:dyDescent="0.2">
      <c r="A1894" s="1" t="str">
        <f>HYPERLINK("http://www.twitter.com/Ugo_Roux/status/874180394211475456", "874180394211475456")</f>
        <v>874180394211475456</v>
      </c>
      <c r="B1894" t="s">
        <v>142</v>
      </c>
      <c r="C1894" s="3">
        <v>42898.349791666667</v>
      </c>
      <c r="D1894" s="5" t="s">
        <v>28</v>
      </c>
      <c r="E1894">
        <v>1</v>
      </c>
      <c r="F1894">
        <v>1</v>
      </c>
      <c r="G1894">
        <v>0</v>
      </c>
      <c r="I1894" t="s">
        <v>1931</v>
      </c>
      <c r="N1894">
        <v>0</v>
      </c>
      <c r="O1894">
        <v>0</v>
      </c>
      <c r="P1894">
        <v>1</v>
      </c>
      <c r="Q1894">
        <v>0</v>
      </c>
    </row>
    <row r="1895" spans="1:17" x14ac:dyDescent="0.2">
      <c r="A1895" s="1" t="str">
        <f>HYPERLINK("http://www.twitter.com/Ugo_Roux/status/873545614054871040", "873545614054871040")</f>
        <v>873545614054871040</v>
      </c>
      <c r="B1895" t="s">
        <v>97</v>
      </c>
      <c r="C1895" s="3">
        <v>42896.598124999997</v>
      </c>
      <c r="D1895" s="5" t="s">
        <v>17</v>
      </c>
      <c r="E1895">
        <v>1</v>
      </c>
      <c r="F1895">
        <v>0</v>
      </c>
      <c r="G1895">
        <v>0</v>
      </c>
      <c r="I1895" t="s">
        <v>1932</v>
      </c>
      <c r="J1895" t="str">
        <f>HYPERLINK("http://pbs.twimg.com/media/DB91Gs9UMAAvFeY.jpg", "http://pbs.twimg.com/media/DB91Gs9UMAAvFeY.jpg")</f>
        <v>http://pbs.twimg.com/media/DB91Gs9UMAAvFeY.jpg</v>
      </c>
      <c r="N1895">
        <v>0</v>
      </c>
      <c r="O1895">
        <v>0</v>
      </c>
      <c r="P1895">
        <v>1</v>
      </c>
      <c r="Q1895">
        <v>0</v>
      </c>
    </row>
    <row r="1896" spans="1:17" x14ac:dyDescent="0.2">
      <c r="A1896" s="1" t="str">
        <f>HYPERLINK("http://www.twitter.com/Ugo_Roux/status/873524422317154304", "873524422317154304")</f>
        <v>873524422317154304</v>
      </c>
      <c r="B1896" t="s">
        <v>97</v>
      </c>
      <c r="C1896" s="3">
        <v>42896.539652777778</v>
      </c>
      <c r="D1896" s="5" t="s">
        <v>17</v>
      </c>
      <c r="E1896">
        <v>0</v>
      </c>
      <c r="F1896">
        <v>0</v>
      </c>
      <c r="G1896">
        <v>0</v>
      </c>
      <c r="I1896" t="s">
        <v>1933</v>
      </c>
      <c r="J1896" t="str">
        <f>HYPERLINK("http://pbs.twimg.com/media/DB9h1NuUwAIF5V_.jpg", "http://pbs.twimg.com/media/DB9h1NuUwAIF5V_.jpg")</f>
        <v>http://pbs.twimg.com/media/DB9h1NuUwAIF5V_.jpg</v>
      </c>
      <c r="N1896">
        <v>0</v>
      </c>
      <c r="O1896">
        <v>0</v>
      </c>
      <c r="P1896">
        <v>1</v>
      </c>
      <c r="Q1896">
        <v>0</v>
      </c>
    </row>
    <row r="1897" spans="1:17" x14ac:dyDescent="0.2">
      <c r="A1897" s="1" t="str">
        <f>HYPERLINK("http://www.twitter.com/Ugo_Roux/status/873218775465721856", "873218775465721856")</f>
        <v>873218775465721856</v>
      </c>
      <c r="B1897" t="s">
        <v>142</v>
      </c>
      <c r="C1897" s="3">
        <v>42895.696226851847</v>
      </c>
      <c r="D1897" s="5" t="s">
        <v>28</v>
      </c>
      <c r="E1897">
        <v>0</v>
      </c>
      <c r="F1897">
        <v>1</v>
      </c>
      <c r="G1897">
        <v>0</v>
      </c>
      <c r="I1897" t="s">
        <v>1934</v>
      </c>
      <c r="N1897">
        <v>0</v>
      </c>
      <c r="O1897">
        <v>0</v>
      </c>
      <c r="P1897">
        <v>1</v>
      </c>
      <c r="Q1897">
        <v>0</v>
      </c>
    </row>
    <row r="1898" spans="1:17" x14ac:dyDescent="0.2">
      <c r="A1898" s="1" t="str">
        <f>HYPERLINK("http://www.twitter.com/Ugo_Roux/status/873149895758290944", "873149895758290944")</f>
        <v>873149895758290944</v>
      </c>
      <c r="B1898" t="s">
        <v>370</v>
      </c>
      <c r="C1898" s="3">
        <v>42895.506157407413</v>
      </c>
      <c r="D1898" s="5" t="s">
        <v>41</v>
      </c>
      <c r="E1898">
        <v>0</v>
      </c>
      <c r="F1898">
        <v>0</v>
      </c>
      <c r="G1898">
        <v>0</v>
      </c>
      <c r="I1898" t="s">
        <v>1935</v>
      </c>
      <c r="J1898" t="str">
        <f>HYPERLINK("http://pbs.twimg.com/media/DB4NM6JUwAAhhnp.jpg", "http://pbs.twimg.com/media/DB4NM6JUwAAhhnp.jpg")</f>
        <v>http://pbs.twimg.com/media/DB4NM6JUwAAhhnp.jpg</v>
      </c>
      <c r="N1898">
        <v>0</v>
      </c>
      <c r="O1898">
        <v>0</v>
      </c>
      <c r="P1898">
        <v>1</v>
      </c>
      <c r="Q1898">
        <v>0</v>
      </c>
    </row>
    <row r="1899" spans="1:17" x14ac:dyDescent="0.2">
      <c r="A1899" s="1" t="str">
        <f>HYPERLINK("http://www.twitter.com/Ugo_Roux/status/873134350388404224", "873134350388404224")</f>
        <v>873134350388404224</v>
      </c>
      <c r="B1899" t="s">
        <v>16</v>
      </c>
      <c r="C1899" s="3">
        <v>42895.463252314818</v>
      </c>
      <c r="D1899" s="3" t="s">
        <v>17</v>
      </c>
      <c r="E1899">
        <v>3</v>
      </c>
      <c r="F1899">
        <v>1</v>
      </c>
      <c r="G1899">
        <v>0</v>
      </c>
      <c r="I1899" t="s">
        <v>1936</v>
      </c>
      <c r="N1899">
        <v>0</v>
      </c>
      <c r="O1899">
        <v>0</v>
      </c>
      <c r="P1899">
        <v>1</v>
      </c>
      <c r="Q1899">
        <v>0</v>
      </c>
    </row>
    <row r="1900" spans="1:17" x14ac:dyDescent="0.2">
      <c r="A1900" s="1" t="str">
        <f>HYPERLINK("http://www.twitter.com/Ugo_Roux/status/872704794636537856", "872704794636537856")</f>
        <v>872704794636537856</v>
      </c>
      <c r="B1900" t="s">
        <v>285</v>
      </c>
      <c r="C1900" s="3">
        <v>42894.277905092589</v>
      </c>
      <c r="D1900" s="5" t="s">
        <v>17</v>
      </c>
      <c r="E1900">
        <v>1</v>
      </c>
      <c r="F1900">
        <v>0</v>
      </c>
      <c r="G1900">
        <v>0</v>
      </c>
      <c r="I1900" t="s">
        <v>1937</v>
      </c>
      <c r="N1900">
        <v>0</v>
      </c>
      <c r="O1900">
        <v>0</v>
      </c>
      <c r="P1900">
        <v>1</v>
      </c>
      <c r="Q1900">
        <v>0</v>
      </c>
    </row>
    <row r="1901" spans="1:17" x14ac:dyDescent="0.2">
      <c r="A1901" s="1" t="str">
        <f>HYPERLINK("http://www.twitter.com/Ugo_Roux/status/872466561927442432", "872466561927442432")</f>
        <v>872466561927442432</v>
      </c>
      <c r="B1901" t="s">
        <v>16</v>
      </c>
      <c r="C1901" s="3">
        <v>42893.620509259257</v>
      </c>
      <c r="D1901" s="3" t="s">
        <v>41</v>
      </c>
      <c r="E1901">
        <v>3</v>
      </c>
      <c r="F1901">
        <v>0</v>
      </c>
      <c r="G1901">
        <v>0</v>
      </c>
      <c r="I1901" t="s">
        <v>1938</v>
      </c>
      <c r="N1901">
        <v>0</v>
      </c>
      <c r="O1901">
        <v>0</v>
      </c>
      <c r="P1901">
        <v>1</v>
      </c>
      <c r="Q1901">
        <v>0</v>
      </c>
    </row>
    <row r="1902" spans="1:17" x14ac:dyDescent="0.2">
      <c r="A1902" s="1" t="str">
        <f>HYPERLINK("http://www.twitter.com/Ugo_Roux/status/872433620023214081", "872433620023214081")</f>
        <v>872433620023214081</v>
      </c>
      <c r="B1902" t="s">
        <v>285</v>
      </c>
      <c r="C1902" s="3">
        <v>42893.529606481483</v>
      </c>
      <c r="D1902" s="5" t="s">
        <v>28</v>
      </c>
      <c r="E1902">
        <v>0</v>
      </c>
      <c r="F1902">
        <v>0</v>
      </c>
      <c r="G1902">
        <v>0</v>
      </c>
      <c r="I1902" t="s">
        <v>1939</v>
      </c>
      <c r="J1902" t="str">
        <f>HYPERLINK("http://pbs.twimg.com/media/DBuBuG9XoAIm9ak.jpg", "http://pbs.twimg.com/media/DBuBuG9XoAIm9ak.jpg")</f>
        <v>http://pbs.twimg.com/media/DBuBuG9XoAIm9ak.jpg</v>
      </c>
      <c r="N1902">
        <v>0</v>
      </c>
      <c r="O1902">
        <v>0</v>
      </c>
      <c r="P1902">
        <v>1</v>
      </c>
      <c r="Q1902">
        <v>0</v>
      </c>
    </row>
    <row r="1903" spans="1:17" x14ac:dyDescent="0.2">
      <c r="A1903" s="1" t="str">
        <f>HYPERLINK("http://www.twitter.com/Ugo_Roux/status/872433420168777729", "872433420168777729")</f>
        <v>872433420168777729</v>
      </c>
      <c r="B1903" t="s">
        <v>285</v>
      </c>
      <c r="C1903" s="3">
        <v>42893.529062499998</v>
      </c>
      <c r="D1903" s="5" t="s">
        <v>28</v>
      </c>
      <c r="E1903">
        <v>0</v>
      </c>
      <c r="F1903">
        <v>0</v>
      </c>
      <c r="G1903">
        <v>0</v>
      </c>
      <c r="I1903" t="s">
        <v>1940</v>
      </c>
      <c r="J1903" t="str">
        <f>HYPERLINK("http://pbs.twimg.com/media/DBuBj4eXUAEWprJ.jpg", "http://pbs.twimg.com/media/DBuBj4eXUAEWprJ.jpg")</f>
        <v>http://pbs.twimg.com/media/DBuBj4eXUAEWprJ.jpg</v>
      </c>
      <c r="N1903">
        <v>0</v>
      </c>
      <c r="O1903">
        <v>0</v>
      </c>
      <c r="P1903">
        <v>1</v>
      </c>
      <c r="Q1903">
        <v>0</v>
      </c>
    </row>
    <row r="1904" spans="1:17" x14ac:dyDescent="0.2">
      <c r="A1904" s="1" t="str">
        <f>HYPERLINK("http://www.twitter.com/Ugo_Roux/status/872394217674485762", "872394217674485762")</f>
        <v>872394217674485762</v>
      </c>
      <c r="B1904" t="s">
        <v>47</v>
      </c>
      <c r="C1904" s="3">
        <v>42893.42087962963</v>
      </c>
      <c r="D1904" s="5" t="s">
        <v>41</v>
      </c>
      <c r="E1904">
        <v>6</v>
      </c>
      <c r="F1904">
        <v>1</v>
      </c>
      <c r="G1904">
        <v>3</v>
      </c>
      <c r="I1904" t="s">
        <v>1941</v>
      </c>
      <c r="J1904" t="str">
        <f>HYPERLINK("http://pbs.twimg.com/media/DBtd32LXYAEAj-J.jpg", "http://pbs.twimg.com/media/DBtd32LXYAEAj-J.jpg")</f>
        <v>http://pbs.twimg.com/media/DBtd32LXYAEAj-J.jpg</v>
      </c>
      <c r="N1904">
        <v>-0.49390000000000001</v>
      </c>
      <c r="O1904">
        <v>0.21099999999999999</v>
      </c>
      <c r="P1904">
        <v>0.78900000000000003</v>
      </c>
      <c r="Q1904">
        <v>0</v>
      </c>
    </row>
    <row r="1905" spans="1:17" x14ac:dyDescent="0.2">
      <c r="A1905" s="1" t="str">
        <f>HYPERLINK("http://www.twitter.com/Ugo_Roux/status/872392574794960897", "872392574794960897")</f>
        <v>872392574794960897</v>
      </c>
      <c r="B1905" t="s">
        <v>16</v>
      </c>
      <c r="C1905" s="3">
        <v>42893.416342592587</v>
      </c>
      <c r="D1905" s="3" t="s">
        <v>28</v>
      </c>
      <c r="E1905">
        <v>4</v>
      </c>
      <c r="F1905">
        <v>1</v>
      </c>
      <c r="G1905">
        <v>0</v>
      </c>
      <c r="I1905" t="s">
        <v>1942</v>
      </c>
      <c r="N1905">
        <v>0</v>
      </c>
      <c r="O1905">
        <v>0</v>
      </c>
      <c r="P1905">
        <v>1</v>
      </c>
      <c r="Q1905">
        <v>0</v>
      </c>
    </row>
    <row r="1906" spans="1:17" x14ac:dyDescent="0.2">
      <c r="A1906" s="1" t="str">
        <f>HYPERLINK("http://www.twitter.com/Ugo_Roux/status/872350574246809600", "872350574246809600")</f>
        <v>872350574246809600</v>
      </c>
      <c r="B1906" t="s">
        <v>414</v>
      </c>
      <c r="C1906" s="3">
        <v>42893.300451388888</v>
      </c>
      <c r="D1906" s="5" t="s">
        <v>28</v>
      </c>
      <c r="E1906">
        <v>1</v>
      </c>
      <c r="F1906">
        <v>0</v>
      </c>
      <c r="G1906">
        <v>0</v>
      </c>
      <c r="I1906" t="s">
        <v>1943</v>
      </c>
      <c r="J1906" t="str">
        <f>HYPERLINK("http://pbs.twimg.com/media/DBs2NGNXoAAwzKG.png", "http://pbs.twimg.com/media/DBs2NGNXoAAwzKG.png")</f>
        <v>http://pbs.twimg.com/media/DBs2NGNXoAAwzKG.png</v>
      </c>
      <c r="N1906">
        <v>0.74239999999999995</v>
      </c>
      <c r="O1906">
        <v>0</v>
      </c>
      <c r="P1906">
        <v>0.70399999999999996</v>
      </c>
      <c r="Q1906">
        <v>0.29599999999999999</v>
      </c>
    </row>
    <row r="1907" spans="1:17" x14ac:dyDescent="0.2">
      <c r="A1907" s="1" t="str">
        <f>HYPERLINK("http://www.twitter.com/Ugo_Roux/status/872344599653736448", "872344599653736448")</f>
        <v>872344599653736448</v>
      </c>
      <c r="B1907" t="s">
        <v>142</v>
      </c>
      <c r="C1907" s="3">
        <v>42893.283958333333</v>
      </c>
      <c r="D1907" s="5" t="s">
        <v>24</v>
      </c>
      <c r="E1907">
        <v>2</v>
      </c>
      <c r="F1907">
        <v>1</v>
      </c>
      <c r="G1907">
        <v>0</v>
      </c>
      <c r="I1907" t="s">
        <v>1944</v>
      </c>
      <c r="J1907" t="str">
        <f>HYPERLINK("http://pbs.twimg.com/media/DBswxP_WAAABlWj.jpg", "http://pbs.twimg.com/media/DBswxP_WAAABlWj.jpg")</f>
        <v>http://pbs.twimg.com/media/DBswxP_WAAABlWj.jpg</v>
      </c>
      <c r="N1907">
        <v>-0.20030000000000001</v>
      </c>
      <c r="O1907">
        <v>9.5000000000000001E-2</v>
      </c>
      <c r="P1907">
        <v>0.90500000000000003</v>
      </c>
      <c r="Q1907">
        <v>0</v>
      </c>
    </row>
    <row r="1908" spans="1:17" x14ac:dyDescent="0.2">
      <c r="A1908" s="1" t="str">
        <f>HYPERLINK("http://www.twitter.com/Ugo_Roux/status/872090364462673921", "872090364462673921")</f>
        <v>872090364462673921</v>
      </c>
      <c r="B1908" t="s">
        <v>16</v>
      </c>
      <c r="C1908" s="3">
        <v>42892.582407407397</v>
      </c>
      <c r="D1908" s="3" t="s">
        <v>17</v>
      </c>
      <c r="E1908">
        <v>3</v>
      </c>
      <c r="F1908">
        <v>0</v>
      </c>
      <c r="G1908">
        <v>0</v>
      </c>
      <c r="I1908" t="s">
        <v>1945</v>
      </c>
      <c r="N1908">
        <v>0</v>
      </c>
      <c r="O1908">
        <v>0</v>
      </c>
      <c r="P1908">
        <v>1</v>
      </c>
      <c r="Q1908">
        <v>0</v>
      </c>
    </row>
    <row r="1909" spans="1:17" x14ac:dyDescent="0.2">
      <c r="A1909" s="1" t="str">
        <f>HYPERLINK("http://www.twitter.com/Ugo_Roux/status/872068422364008449", "872068422364008449")</f>
        <v>872068422364008449</v>
      </c>
      <c r="B1909" t="s">
        <v>414</v>
      </c>
      <c r="C1909" s="3">
        <v>42892.521851851852</v>
      </c>
      <c r="D1909" s="5" t="s">
        <v>17</v>
      </c>
      <c r="E1909">
        <v>0</v>
      </c>
      <c r="F1909">
        <v>0</v>
      </c>
      <c r="G1909">
        <v>0</v>
      </c>
      <c r="I1909" t="s">
        <v>1946</v>
      </c>
      <c r="J1909" t="str">
        <f>HYPERLINK("http://pbs.twimg.com/media/DBo1WGrWsAES8BX.jpg", "http://pbs.twimg.com/media/DBo1WGrWsAES8BX.jpg")</f>
        <v>http://pbs.twimg.com/media/DBo1WGrWsAES8BX.jpg</v>
      </c>
      <c r="N1909">
        <v>0.27139999999999997</v>
      </c>
      <c r="O1909">
        <v>0</v>
      </c>
      <c r="P1909">
        <v>0.90100000000000002</v>
      </c>
      <c r="Q1909">
        <v>9.9000000000000005E-2</v>
      </c>
    </row>
    <row r="1910" spans="1:17" x14ac:dyDescent="0.2">
      <c r="A1910" s="1" t="str">
        <f>HYPERLINK("http://www.twitter.com/Ugo_Roux/status/872004788556357633", "872004788556357633")</f>
        <v>872004788556357633</v>
      </c>
      <c r="B1910" t="s">
        <v>142</v>
      </c>
      <c r="C1910" s="3">
        <v>42892.346261574072</v>
      </c>
      <c r="D1910" s="5" t="s">
        <v>24</v>
      </c>
      <c r="E1910">
        <v>0</v>
      </c>
      <c r="F1910">
        <v>1</v>
      </c>
      <c r="G1910">
        <v>0</v>
      </c>
      <c r="I1910" t="s">
        <v>1947</v>
      </c>
      <c r="J1910" t="str">
        <f>HYPERLINK("http://pbs.twimg.com/media/DBn7uAXXYAAGfYY.jpg", "http://pbs.twimg.com/media/DBn7uAXXYAAGfYY.jpg")</f>
        <v>http://pbs.twimg.com/media/DBn7uAXXYAAGfYY.jpg</v>
      </c>
      <c r="K1910" t="str">
        <f>HYPERLINK("http://pbs.twimg.com/media/DBn7uAXWAAANQEq.jpg", "http://pbs.twimg.com/media/DBn7uAXWAAANQEq.jpg")</f>
        <v>http://pbs.twimg.com/media/DBn7uAXWAAANQEq.jpg</v>
      </c>
      <c r="N1910">
        <v>0</v>
      </c>
      <c r="O1910">
        <v>0</v>
      </c>
      <c r="P1910">
        <v>1</v>
      </c>
      <c r="Q1910">
        <v>0</v>
      </c>
    </row>
    <row r="1911" spans="1:17" x14ac:dyDescent="0.2">
      <c r="A1911" s="1" t="str">
        <f>HYPERLINK("http://www.twitter.com/Ugo_Roux/status/871390250404335618", "871390250404335618")</f>
        <v>871390250404335618</v>
      </c>
      <c r="B1911" t="s">
        <v>142</v>
      </c>
      <c r="C1911" s="3">
        <v>42890.650462962964</v>
      </c>
      <c r="D1911" s="5" t="s">
        <v>17</v>
      </c>
      <c r="E1911">
        <v>1</v>
      </c>
      <c r="F1911">
        <v>1</v>
      </c>
      <c r="G1911">
        <v>0</v>
      </c>
      <c r="I1911" t="s">
        <v>1948</v>
      </c>
      <c r="J1911" t="str">
        <f>HYPERLINK("http://pbs.twimg.com/media/DBfMzywWAAEub27.jpg", "http://pbs.twimg.com/media/DBfMzywWAAEub27.jpg")</f>
        <v>http://pbs.twimg.com/media/DBfMzywWAAEub27.jpg</v>
      </c>
      <c r="N1911">
        <v>0.44040000000000001</v>
      </c>
      <c r="O1911">
        <v>0</v>
      </c>
      <c r="P1911">
        <v>0.873</v>
      </c>
      <c r="Q1911">
        <v>0.127</v>
      </c>
    </row>
    <row r="1912" spans="1:17" x14ac:dyDescent="0.2">
      <c r="A1912" s="1" t="str">
        <f>HYPERLINK("http://www.twitter.com/Ugo_Roux/status/870987744939581440", "870987744939581440")</f>
        <v>870987744939581440</v>
      </c>
      <c r="B1912" t="s">
        <v>16</v>
      </c>
      <c r="C1912" s="3">
        <v>42889.539756944447</v>
      </c>
      <c r="D1912" s="3" t="s">
        <v>17</v>
      </c>
      <c r="E1912">
        <v>6</v>
      </c>
      <c r="F1912">
        <v>3</v>
      </c>
      <c r="G1912">
        <v>2</v>
      </c>
      <c r="I1912" t="s">
        <v>1949</v>
      </c>
      <c r="N1912">
        <v>0</v>
      </c>
      <c r="O1912">
        <v>0</v>
      </c>
      <c r="P1912">
        <v>1</v>
      </c>
      <c r="Q1912">
        <v>0</v>
      </c>
    </row>
    <row r="1913" spans="1:17" x14ac:dyDescent="0.2">
      <c r="A1913" s="1" t="str">
        <f>HYPERLINK("http://www.twitter.com/Ugo_Roux/status/870926560706129920", "870926560706129920")</f>
        <v>870926560706129920</v>
      </c>
      <c r="B1913" t="s">
        <v>471</v>
      </c>
      <c r="C1913" s="3">
        <v>42889.37091435185</v>
      </c>
      <c r="D1913" s="3" t="s">
        <v>28</v>
      </c>
      <c r="E1913">
        <v>0</v>
      </c>
      <c r="F1913">
        <v>1</v>
      </c>
      <c r="G1913">
        <v>0</v>
      </c>
      <c r="I1913" t="s">
        <v>1950</v>
      </c>
      <c r="J1913" t="str">
        <f>HYPERLINK("http://pbs.twimg.com/media/DBYnBGMXYAAdY2I.jpg", "http://pbs.twimg.com/media/DBYnBGMXYAAdY2I.jpg")</f>
        <v>http://pbs.twimg.com/media/DBYnBGMXYAAdY2I.jpg</v>
      </c>
      <c r="N1913">
        <v>0</v>
      </c>
      <c r="O1913">
        <v>0</v>
      </c>
      <c r="P1913">
        <v>1</v>
      </c>
      <c r="Q1913">
        <v>0</v>
      </c>
    </row>
    <row r="1914" spans="1:17" x14ac:dyDescent="0.2">
      <c r="A1914" s="1" t="str">
        <f>HYPERLINK("http://www.twitter.com/Ugo_Roux/status/869583008281624576", "869583008281624576")</f>
        <v>869583008281624576</v>
      </c>
      <c r="B1914" t="s">
        <v>370</v>
      </c>
      <c r="C1914" s="3">
        <v>42885.663414351853</v>
      </c>
      <c r="D1914" s="5" t="s">
        <v>28</v>
      </c>
      <c r="E1914">
        <v>0</v>
      </c>
      <c r="F1914">
        <v>0</v>
      </c>
      <c r="G1914">
        <v>0</v>
      </c>
      <c r="I1914" t="s">
        <v>1951</v>
      </c>
      <c r="J1914" t="str">
        <f>HYPERLINK("http://pbs.twimg.com/media/DBFhIwxUwAAVo9-.jpg", "http://pbs.twimg.com/media/DBFhIwxUwAAVo9-.jpg")</f>
        <v>http://pbs.twimg.com/media/DBFhIwxUwAAVo9-.jpg</v>
      </c>
      <c r="N1914">
        <v>0</v>
      </c>
      <c r="O1914">
        <v>0</v>
      </c>
      <c r="P1914">
        <v>1</v>
      </c>
      <c r="Q1914">
        <v>0</v>
      </c>
    </row>
    <row r="1915" spans="1:17" x14ac:dyDescent="0.2">
      <c r="A1915" s="1" t="str">
        <f>HYPERLINK("http://www.twitter.com/Ugo_Roux/status/869580977756131328", "869580977756131328")</f>
        <v>869580977756131328</v>
      </c>
      <c r="B1915" t="s">
        <v>370</v>
      </c>
      <c r="C1915" s="3">
        <v>42885.657812500001</v>
      </c>
      <c r="D1915" s="5" t="s">
        <v>28</v>
      </c>
      <c r="E1915">
        <v>1</v>
      </c>
      <c r="F1915">
        <v>0</v>
      </c>
      <c r="G1915">
        <v>0</v>
      </c>
      <c r="I1915" t="s">
        <v>1952</v>
      </c>
      <c r="J1915" t="str">
        <f>HYPERLINK("http://pbs.twimg.com/media/DBFfSg5UIAIUbwE.jpg", "http://pbs.twimg.com/media/DBFfSg5UIAIUbwE.jpg")</f>
        <v>http://pbs.twimg.com/media/DBFfSg5UIAIUbwE.jpg</v>
      </c>
      <c r="N1915">
        <v>0</v>
      </c>
      <c r="O1915">
        <v>0</v>
      </c>
      <c r="P1915">
        <v>1</v>
      </c>
      <c r="Q1915">
        <v>0</v>
      </c>
    </row>
    <row r="1916" spans="1:17" x14ac:dyDescent="0.2">
      <c r="A1916" s="1" t="str">
        <f>HYPERLINK("http://www.twitter.com/Ugo_Roux/status/869576485673291776", "869576485673291776")</f>
        <v>869576485673291776</v>
      </c>
      <c r="B1916" t="s">
        <v>370</v>
      </c>
      <c r="C1916" s="3">
        <v>42885.645416666674</v>
      </c>
      <c r="D1916" s="5" t="s">
        <v>28</v>
      </c>
      <c r="E1916">
        <v>0</v>
      </c>
      <c r="F1916">
        <v>0</v>
      </c>
      <c r="G1916">
        <v>0</v>
      </c>
      <c r="I1916" t="s">
        <v>1953</v>
      </c>
      <c r="J1916" t="str">
        <f>HYPERLINK("http://pbs.twimg.com/media/DBFbNDnV0AEe4A3.jpg", "http://pbs.twimg.com/media/DBFbNDnV0AEe4A3.jpg")</f>
        <v>http://pbs.twimg.com/media/DBFbNDnV0AEe4A3.jpg</v>
      </c>
      <c r="N1916">
        <v>0</v>
      </c>
      <c r="O1916">
        <v>0</v>
      </c>
      <c r="P1916">
        <v>1</v>
      </c>
      <c r="Q1916">
        <v>0</v>
      </c>
    </row>
    <row r="1917" spans="1:17" x14ac:dyDescent="0.2">
      <c r="A1917" s="1" t="str">
        <f>HYPERLINK("http://www.twitter.com/Ugo_Roux/status/869574906253426688", "869574906253426688")</f>
        <v>869574906253426688</v>
      </c>
      <c r="B1917" t="s">
        <v>370</v>
      </c>
      <c r="C1917" s="3">
        <v>42885.641064814823</v>
      </c>
      <c r="D1917" s="5" t="s">
        <v>28</v>
      </c>
      <c r="E1917">
        <v>0</v>
      </c>
      <c r="F1917">
        <v>0</v>
      </c>
      <c r="G1917">
        <v>0</v>
      </c>
      <c r="I1917" t="s">
        <v>1954</v>
      </c>
      <c r="J1917" t="str">
        <f>HYPERLINK("http://pbs.twimg.com/media/DBFZxJYUAAERtGZ.jpg", "http://pbs.twimg.com/media/DBFZxJYUAAERtGZ.jpg")</f>
        <v>http://pbs.twimg.com/media/DBFZxJYUAAERtGZ.jpg</v>
      </c>
      <c r="N1917">
        <v>0</v>
      </c>
      <c r="O1917">
        <v>0</v>
      </c>
      <c r="P1917">
        <v>1</v>
      </c>
      <c r="Q1917">
        <v>0</v>
      </c>
    </row>
    <row r="1918" spans="1:17" x14ac:dyDescent="0.2">
      <c r="A1918" s="1" t="str">
        <f>HYPERLINK("http://www.twitter.com/Ugo_Roux/status/869573754384502785", "869573754384502785")</f>
        <v>869573754384502785</v>
      </c>
      <c r="B1918" t="s">
        <v>370</v>
      </c>
      <c r="C1918" s="3">
        <v>42885.637881944444</v>
      </c>
      <c r="D1918" s="5" t="s">
        <v>28</v>
      </c>
      <c r="E1918">
        <v>0</v>
      </c>
      <c r="F1918">
        <v>0</v>
      </c>
      <c r="G1918">
        <v>0</v>
      </c>
      <c r="I1918" t="s">
        <v>1955</v>
      </c>
      <c r="J1918" t="str">
        <f>HYPERLINK("http://pbs.twimg.com/media/DBFYuF9VoAAZerZ.jpg", "http://pbs.twimg.com/media/DBFYuF9VoAAZerZ.jpg")</f>
        <v>http://pbs.twimg.com/media/DBFYuF9VoAAZerZ.jpg</v>
      </c>
      <c r="N1918">
        <v>0</v>
      </c>
      <c r="O1918">
        <v>0</v>
      </c>
      <c r="P1918">
        <v>1</v>
      </c>
      <c r="Q1918">
        <v>0</v>
      </c>
    </row>
    <row r="1919" spans="1:17" x14ac:dyDescent="0.2">
      <c r="A1919" s="1" t="str">
        <f>HYPERLINK("http://www.twitter.com/Ugo_Roux/status/869571905103253504", "869571905103253504")</f>
        <v>869571905103253504</v>
      </c>
      <c r="B1919" t="s">
        <v>370</v>
      </c>
      <c r="C1919" s="3">
        <v>42885.632777777777</v>
      </c>
      <c r="D1919" s="5" t="s">
        <v>28</v>
      </c>
      <c r="E1919">
        <v>0</v>
      </c>
      <c r="F1919">
        <v>0</v>
      </c>
      <c r="G1919">
        <v>0</v>
      </c>
      <c r="I1919" t="s">
        <v>1956</v>
      </c>
      <c r="J1919" t="str">
        <f>HYPERLINK("http://pbs.twimg.com/media/DBFXCcuU0AEZufS.jpg", "http://pbs.twimg.com/media/DBFXCcuU0AEZufS.jpg")</f>
        <v>http://pbs.twimg.com/media/DBFXCcuU0AEZufS.jpg</v>
      </c>
      <c r="N1919">
        <v>0</v>
      </c>
      <c r="O1919">
        <v>0</v>
      </c>
      <c r="P1919">
        <v>1</v>
      </c>
      <c r="Q1919">
        <v>0</v>
      </c>
    </row>
    <row r="1920" spans="1:17" x14ac:dyDescent="0.2">
      <c r="A1920" s="1" t="str">
        <f>HYPERLINK("http://www.twitter.com/Ugo_Roux/status/869571224271278084", "869571224271278084")</f>
        <v>869571224271278084</v>
      </c>
      <c r="B1920" t="s">
        <v>370</v>
      </c>
      <c r="C1920" s="3">
        <v>42885.630902777782</v>
      </c>
      <c r="D1920" s="5" t="s">
        <v>28</v>
      </c>
      <c r="E1920">
        <v>0</v>
      </c>
      <c r="F1920">
        <v>0</v>
      </c>
      <c r="G1920">
        <v>0</v>
      </c>
      <c r="I1920" t="s">
        <v>1957</v>
      </c>
      <c r="J1920" t="str">
        <f>HYPERLINK("http://pbs.twimg.com/media/DBFWa0xUwAA_Gfk.jpg", "http://pbs.twimg.com/media/DBFWa0xUwAA_Gfk.jpg")</f>
        <v>http://pbs.twimg.com/media/DBFWa0xUwAA_Gfk.jpg</v>
      </c>
      <c r="N1920">
        <v>0</v>
      </c>
      <c r="O1920">
        <v>0</v>
      </c>
      <c r="P1920">
        <v>1</v>
      </c>
      <c r="Q1920">
        <v>0</v>
      </c>
    </row>
    <row r="1921" spans="1:17" x14ac:dyDescent="0.2">
      <c r="A1921" s="1" t="str">
        <f>HYPERLINK("http://www.twitter.com/Ugo_Roux/status/869142268485267457", "869142268485267457")</f>
        <v>869142268485267457</v>
      </c>
      <c r="B1921" t="s">
        <v>142</v>
      </c>
      <c r="C1921" s="3">
        <v>42884.447210648148</v>
      </c>
      <c r="D1921" s="5" t="s">
        <v>17</v>
      </c>
      <c r="E1921">
        <v>1</v>
      </c>
      <c r="F1921">
        <v>1</v>
      </c>
      <c r="G1921">
        <v>0</v>
      </c>
      <c r="I1921" t="s">
        <v>1958</v>
      </c>
      <c r="J1921" t="str">
        <f>HYPERLINK("http://pbs.twimg.com/media/DA_QQkwXYAAU_lD.jpg", "http://pbs.twimg.com/media/DA_QQkwXYAAU_lD.jpg")</f>
        <v>http://pbs.twimg.com/media/DA_QQkwXYAAU_lD.jpg</v>
      </c>
      <c r="N1921">
        <v>0</v>
      </c>
      <c r="O1921">
        <v>0</v>
      </c>
      <c r="P1921">
        <v>1</v>
      </c>
      <c r="Q1921">
        <v>0</v>
      </c>
    </row>
    <row r="1922" spans="1:17" x14ac:dyDescent="0.2">
      <c r="A1922" s="1" t="str">
        <f>HYPERLINK("http://www.twitter.com/Ugo_Roux/status/868080924185022465", "868080924185022465")</f>
        <v>868080924185022465</v>
      </c>
      <c r="B1922" t="s">
        <v>414</v>
      </c>
      <c r="C1922" s="3">
        <v>42881.518460648149</v>
      </c>
      <c r="D1922" s="5" t="s">
        <v>28</v>
      </c>
      <c r="E1922">
        <v>1</v>
      </c>
      <c r="F1922">
        <v>1</v>
      </c>
      <c r="G1922">
        <v>0</v>
      </c>
      <c r="I1922" t="s">
        <v>1959</v>
      </c>
      <c r="N1922">
        <v>0</v>
      </c>
      <c r="O1922">
        <v>0</v>
      </c>
      <c r="P1922">
        <v>1</v>
      </c>
      <c r="Q1922">
        <v>0</v>
      </c>
    </row>
    <row r="1923" spans="1:17" x14ac:dyDescent="0.2">
      <c r="A1923" s="1" t="str">
        <f>HYPERLINK("http://www.twitter.com/Ugo_Roux/status/867332768329498624", "867332768329498624")</f>
        <v>867332768329498624</v>
      </c>
      <c r="B1923" t="s">
        <v>47</v>
      </c>
      <c r="C1923" s="3">
        <v>42879.453935185193</v>
      </c>
      <c r="D1923" s="5" t="s">
        <v>41</v>
      </c>
      <c r="E1923">
        <v>6</v>
      </c>
      <c r="F1923">
        <v>2</v>
      </c>
      <c r="G1923">
        <v>4</v>
      </c>
      <c r="I1923" t="s">
        <v>1960</v>
      </c>
      <c r="J1923" t="str">
        <f>HYPERLINK("http://pbs.twimg.com/media/DAlhnZHXsAEelUJ.jpg", "http://pbs.twimg.com/media/DAlhnZHXsAEelUJ.jpg")</f>
        <v>http://pbs.twimg.com/media/DAlhnZHXsAEelUJ.jpg</v>
      </c>
      <c r="N1923">
        <v>0.45879999999999999</v>
      </c>
      <c r="O1923">
        <v>0</v>
      </c>
      <c r="P1923">
        <v>0.84199999999999997</v>
      </c>
      <c r="Q1923">
        <v>0.158</v>
      </c>
    </row>
    <row r="1924" spans="1:17" x14ac:dyDescent="0.2">
      <c r="A1924" s="1" t="str">
        <f>HYPERLINK("http://www.twitter.com/Ugo_Roux/status/867033718506090496", "867033718506090496")</f>
        <v>867033718506090496</v>
      </c>
      <c r="B1924" t="s">
        <v>471</v>
      </c>
      <c r="C1924" s="3">
        <v>42878.62871527778</v>
      </c>
      <c r="D1924" s="3" t="s">
        <v>28</v>
      </c>
      <c r="E1924">
        <v>1</v>
      </c>
      <c r="F1924">
        <v>2</v>
      </c>
      <c r="G1924">
        <v>0</v>
      </c>
      <c r="I1924" t="s">
        <v>1961</v>
      </c>
      <c r="J1924" t="str">
        <f>HYPERLINK("http://pbs.twimg.com/media/DAhSUuiW0AAxst2.jpg", "http://pbs.twimg.com/media/DAhSUuiW0AAxst2.jpg")</f>
        <v>http://pbs.twimg.com/media/DAhSUuiW0AAxst2.jpg</v>
      </c>
      <c r="N1924">
        <v>0</v>
      </c>
      <c r="O1924">
        <v>0</v>
      </c>
      <c r="P1924">
        <v>1</v>
      </c>
      <c r="Q1924">
        <v>0</v>
      </c>
    </row>
    <row r="1925" spans="1:17" x14ac:dyDescent="0.2">
      <c r="A1925" s="1" t="str">
        <f>HYPERLINK("http://www.twitter.com/Ugo_Roux/status/867022512173010944", "867022512173010944")</f>
        <v>867022512173010944</v>
      </c>
      <c r="B1925" t="s">
        <v>142</v>
      </c>
      <c r="C1925" s="3">
        <v>42878.597800925927</v>
      </c>
      <c r="D1925" s="5" t="s">
        <v>28</v>
      </c>
      <c r="E1925">
        <v>1</v>
      </c>
      <c r="F1925">
        <v>1</v>
      </c>
      <c r="G1925">
        <v>0</v>
      </c>
      <c r="I1925" t="s">
        <v>1962</v>
      </c>
      <c r="N1925">
        <v>0</v>
      </c>
      <c r="O1925">
        <v>0</v>
      </c>
      <c r="P1925">
        <v>1</v>
      </c>
      <c r="Q1925">
        <v>0</v>
      </c>
    </row>
    <row r="1926" spans="1:17" x14ac:dyDescent="0.2">
      <c r="A1926" s="1" t="str">
        <f>HYPERLINK("http://www.twitter.com/Ugo_Roux/status/866914511546134528", "866914511546134528")</f>
        <v>866914511546134528</v>
      </c>
      <c r="B1926" t="s">
        <v>285</v>
      </c>
      <c r="C1926" s="3">
        <v>42878.299768518518</v>
      </c>
      <c r="D1926" s="5" t="s">
        <v>17</v>
      </c>
      <c r="E1926">
        <v>0</v>
      </c>
      <c r="F1926">
        <v>0</v>
      </c>
      <c r="G1926">
        <v>0</v>
      </c>
      <c r="I1926" t="s">
        <v>1963</v>
      </c>
      <c r="J1926" t="str">
        <f>HYPERLINK("http://pbs.twimg.com/media/DAfmFI4WAAAS6-m.jpg", "http://pbs.twimg.com/media/DAfmFI4WAAAS6-m.jpg")</f>
        <v>http://pbs.twimg.com/media/DAfmFI4WAAAS6-m.jpg</v>
      </c>
      <c r="N1926">
        <v>0</v>
      </c>
      <c r="O1926">
        <v>0</v>
      </c>
      <c r="P1926">
        <v>1</v>
      </c>
      <c r="Q1926">
        <v>0</v>
      </c>
    </row>
    <row r="1927" spans="1:17" x14ac:dyDescent="0.2">
      <c r="A1927" s="1" t="str">
        <f>HYPERLINK("http://www.twitter.com/Ugo_Roux/status/866323160257396737", "866323160257396737")</f>
        <v>866323160257396737</v>
      </c>
      <c r="B1927" t="s">
        <v>142</v>
      </c>
      <c r="C1927" s="3">
        <v>42876.667951388888</v>
      </c>
      <c r="D1927" s="5" t="s">
        <v>28</v>
      </c>
      <c r="E1927">
        <v>1</v>
      </c>
      <c r="F1927">
        <v>0</v>
      </c>
      <c r="G1927">
        <v>0</v>
      </c>
      <c r="I1927" t="s">
        <v>1964</v>
      </c>
      <c r="N1927">
        <v>0</v>
      </c>
      <c r="O1927">
        <v>0</v>
      </c>
      <c r="P1927">
        <v>1</v>
      </c>
      <c r="Q1927">
        <v>0</v>
      </c>
    </row>
    <row r="1928" spans="1:17" x14ac:dyDescent="0.2">
      <c r="A1928" s="1" t="str">
        <f>HYPERLINK("http://www.twitter.com/Ugo_Roux/status/865504396171296771", "865504396171296771")</f>
        <v>865504396171296771</v>
      </c>
      <c r="B1928" t="s">
        <v>97</v>
      </c>
      <c r="C1928" s="3">
        <v>42874.408587962957</v>
      </c>
      <c r="D1928" s="5" t="s">
        <v>41</v>
      </c>
      <c r="E1928">
        <v>0</v>
      </c>
      <c r="F1928">
        <v>0</v>
      </c>
      <c r="G1928">
        <v>0</v>
      </c>
      <c r="I1928" t="s">
        <v>1965</v>
      </c>
      <c r="J1928" t="str">
        <f>HYPERLINK("http://pbs.twimg.com/media/DALjqRwVoAEkMmu.jpg", "http://pbs.twimg.com/media/DALjqRwVoAEkMmu.jpg")</f>
        <v>http://pbs.twimg.com/media/DALjqRwVoAEkMmu.jpg</v>
      </c>
      <c r="N1928">
        <v>0</v>
      </c>
      <c r="O1928">
        <v>0</v>
      </c>
      <c r="P1928">
        <v>1</v>
      </c>
      <c r="Q1928">
        <v>0</v>
      </c>
    </row>
    <row r="1929" spans="1:17" x14ac:dyDescent="0.2">
      <c r="A1929" s="1" t="str">
        <f>HYPERLINK("http://www.twitter.com/Ugo_Roux/status/865270810570784768", "865270810570784768")</f>
        <v>865270810570784768</v>
      </c>
      <c r="B1929" t="s">
        <v>142</v>
      </c>
      <c r="C1929" s="3">
        <v>42873.764016203713</v>
      </c>
      <c r="D1929" s="5" t="s">
        <v>41</v>
      </c>
      <c r="E1929">
        <v>0</v>
      </c>
      <c r="F1929">
        <v>0</v>
      </c>
      <c r="G1929">
        <v>0</v>
      </c>
      <c r="I1929" t="s">
        <v>1966</v>
      </c>
      <c r="J1929" t="str">
        <f>HYPERLINK("http://pbs.twimg.com/media/DAIPNulXYAAcqWg.jpg", "http://pbs.twimg.com/media/DAIPNulXYAAcqWg.jpg")</f>
        <v>http://pbs.twimg.com/media/DAIPNulXYAAcqWg.jpg</v>
      </c>
      <c r="N1929">
        <v>0</v>
      </c>
      <c r="O1929">
        <v>0</v>
      </c>
      <c r="P1929">
        <v>1</v>
      </c>
      <c r="Q1929">
        <v>0</v>
      </c>
    </row>
    <row r="1930" spans="1:17" x14ac:dyDescent="0.2">
      <c r="A1930" s="1" t="str">
        <f>HYPERLINK("http://www.twitter.com/Ugo_Roux/status/865205031171239936", "865205031171239936")</f>
        <v>865205031171239936</v>
      </c>
      <c r="B1930" t="s">
        <v>47</v>
      </c>
      <c r="C1930" s="3">
        <v>42873.582499999997</v>
      </c>
      <c r="D1930" s="5" t="s">
        <v>28</v>
      </c>
      <c r="E1930">
        <v>3</v>
      </c>
      <c r="F1930">
        <v>1</v>
      </c>
      <c r="G1930">
        <v>0</v>
      </c>
      <c r="I1930" t="s">
        <v>1967</v>
      </c>
      <c r="J1930" t="str">
        <f>HYPERLINK("http://pbs.twimg.com/media/DAHTDoaVoAAcwkE.jpg", "http://pbs.twimg.com/media/DAHTDoaVoAAcwkE.jpg")</f>
        <v>http://pbs.twimg.com/media/DAHTDoaVoAAcwkE.jpg</v>
      </c>
      <c r="N1930">
        <v>0</v>
      </c>
      <c r="O1930">
        <v>0</v>
      </c>
      <c r="P1930">
        <v>1</v>
      </c>
      <c r="Q1930">
        <v>0</v>
      </c>
    </row>
    <row r="1931" spans="1:17" x14ac:dyDescent="0.2">
      <c r="A1931" s="1" t="str">
        <f>HYPERLINK("http://www.twitter.com/Ugo_Roux/status/862935979463725056", "862935979463725056")</f>
        <v>862935979463725056</v>
      </c>
      <c r="B1931" t="s">
        <v>16</v>
      </c>
      <c r="C1931" s="3">
        <v>42867.321111111109</v>
      </c>
      <c r="D1931" s="3" t="s">
        <v>17</v>
      </c>
      <c r="E1931">
        <v>0</v>
      </c>
      <c r="F1931">
        <v>0</v>
      </c>
      <c r="G1931">
        <v>0</v>
      </c>
      <c r="I1931" t="s">
        <v>1968</v>
      </c>
      <c r="N1931">
        <v>0</v>
      </c>
      <c r="O1931">
        <v>0</v>
      </c>
      <c r="P1931">
        <v>1</v>
      </c>
      <c r="Q1931">
        <v>0</v>
      </c>
    </row>
    <row r="1932" spans="1:17" x14ac:dyDescent="0.2">
      <c r="A1932" s="1" t="str">
        <f>HYPERLINK("http://www.twitter.com/Ugo_Roux/status/862635443392827392", "862635443392827392")</f>
        <v>862635443392827392</v>
      </c>
      <c r="B1932" t="s">
        <v>285</v>
      </c>
      <c r="C1932" s="3">
        <v>42866.491793981477</v>
      </c>
      <c r="D1932" s="5" t="s">
        <v>28</v>
      </c>
      <c r="E1932">
        <v>0</v>
      </c>
      <c r="F1932">
        <v>0</v>
      </c>
      <c r="G1932">
        <v>0</v>
      </c>
      <c r="I1932" t="s">
        <v>1969</v>
      </c>
      <c r="N1932">
        <v>0</v>
      </c>
      <c r="O1932">
        <v>0</v>
      </c>
      <c r="P1932">
        <v>1</v>
      </c>
      <c r="Q1932">
        <v>0</v>
      </c>
    </row>
    <row r="1933" spans="1:17" x14ac:dyDescent="0.2">
      <c r="A1933" s="1" t="str">
        <f>HYPERLINK("http://www.twitter.com/Ugo_Roux/status/862584530158407680", "862584530158407680")</f>
        <v>862584530158407680</v>
      </c>
      <c r="B1933" t="s">
        <v>471</v>
      </c>
      <c r="C1933" s="3">
        <v>42866.3512962963</v>
      </c>
      <c r="D1933" s="3" t="s">
        <v>28</v>
      </c>
      <c r="E1933">
        <v>0</v>
      </c>
      <c r="F1933">
        <v>0</v>
      </c>
      <c r="G1933">
        <v>0</v>
      </c>
      <c r="I1933" t="s">
        <v>1970</v>
      </c>
      <c r="J1933" t="str">
        <f>HYPERLINK("http://pbs.twimg.com/media/C_iECiiXoAEEWdE.jpg", "http://pbs.twimg.com/media/C_iECiiXoAEEWdE.jpg")</f>
        <v>http://pbs.twimg.com/media/C_iECiiXoAEEWdE.jpg</v>
      </c>
      <c r="N1933">
        <v>0</v>
      </c>
      <c r="O1933">
        <v>0</v>
      </c>
      <c r="P1933">
        <v>1</v>
      </c>
      <c r="Q1933">
        <v>0</v>
      </c>
    </row>
    <row r="1934" spans="1:17" x14ac:dyDescent="0.2">
      <c r="A1934" s="1" t="str">
        <f>HYPERLINK("http://www.twitter.com/Ugo_Roux/status/862257901158662145", "862257901158662145")</f>
        <v>862257901158662145</v>
      </c>
      <c r="B1934" t="s">
        <v>16</v>
      </c>
      <c r="C1934" s="3">
        <v>42865.449976851851</v>
      </c>
      <c r="D1934" s="3" t="s">
        <v>28</v>
      </c>
      <c r="E1934">
        <v>1</v>
      </c>
      <c r="F1934">
        <v>0</v>
      </c>
      <c r="G1934">
        <v>0</v>
      </c>
      <c r="I1934" t="s">
        <v>1971</v>
      </c>
      <c r="J1934" t="str">
        <f>HYPERLINK("http://pbs.twimg.com/media/C_daxd4XsAAhVxR.jpg", "http://pbs.twimg.com/media/C_daxd4XsAAhVxR.jpg")</f>
        <v>http://pbs.twimg.com/media/C_daxd4XsAAhVxR.jpg</v>
      </c>
      <c r="N1934">
        <v>0</v>
      </c>
      <c r="O1934">
        <v>0</v>
      </c>
      <c r="P1934">
        <v>1</v>
      </c>
      <c r="Q1934">
        <v>0</v>
      </c>
    </row>
    <row r="1935" spans="1:17" x14ac:dyDescent="0.2">
      <c r="A1935" s="1" t="str">
        <f>HYPERLINK("http://www.twitter.com/Ugo_Roux/status/862197852747042816", "862197852747042816")</f>
        <v>862197852747042816</v>
      </c>
      <c r="B1935" t="s">
        <v>414</v>
      </c>
      <c r="C1935" s="3">
        <v>42865.284270833326</v>
      </c>
      <c r="D1935" s="5" t="s">
        <v>28</v>
      </c>
      <c r="E1935">
        <v>0</v>
      </c>
      <c r="F1935">
        <v>0</v>
      </c>
      <c r="G1935">
        <v>0</v>
      </c>
      <c r="I1935" t="s">
        <v>1972</v>
      </c>
      <c r="J1935" t="str">
        <f>HYPERLINK("http://pbs.twimg.com/media/C_ckW8AW0AA3-rg.jpg", "http://pbs.twimg.com/media/C_ckW8AW0AA3-rg.jpg")</f>
        <v>http://pbs.twimg.com/media/C_ckW8AW0AA3-rg.jpg</v>
      </c>
      <c r="N1935">
        <v>0</v>
      </c>
      <c r="O1935">
        <v>0</v>
      </c>
      <c r="P1935">
        <v>1</v>
      </c>
      <c r="Q1935">
        <v>0</v>
      </c>
    </row>
    <row r="1936" spans="1:17" x14ac:dyDescent="0.2">
      <c r="A1936" s="1" t="str">
        <f>HYPERLINK("http://www.twitter.com/Ugo_Roux/status/860525224147791873", "860525224147791873")</f>
        <v>860525224147791873</v>
      </c>
      <c r="B1936" t="s">
        <v>97</v>
      </c>
      <c r="C1936" s="3">
        <v>42860.668692129628</v>
      </c>
      <c r="D1936" s="5" t="s">
        <v>1187</v>
      </c>
      <c r="E1936">
        <v>1</v>
      </c>
      <c r="F1936">
        <v>0</v>
      </c>
      <c r="G1936">
        <v>0</v>
      </c>
      <c r="I1936" t="s">
        <v>1973</v>
      </c>
      <c r="J1936" t="str">
        <f>HYPERLINK("http://pbs.twimg.com/media/C_EzISBVwAASh6f.jpg", "http://pbs.twimg.com/media/C_EzISBVwAASh6f.jpg")</f>
        <v>http://pbs.twimg.com/media/C_EzISBVwAASh6f.jpg</v>
      </c>
      <c r="N1936">
        <v>0</v>
      </c>
      <c r="O1936">
        <v>0</v>
      </c>
      <c r="P1936">
        <v>1</v>
      </c>
      <c r="Q1936">
        <v>0</v>
      </c>
    </row>
    <row r="1937" spans="1:17" x14ac:dyDescent="0.2">
      <c r="A1937" s="1" t="str">
        <f>HYPERLINK("http://www.twitter.com/Ugo_Roux/status/860037399761616896", "860037399761616896")</f>
        <v>860037399761616896</v>
      </c>
      <c r="B1937" t="s">
        <v>142</v>
      </c>
      <c r="C1937" s="3">
        <v>42859.322557870371</v>
      </c>
      <c r="D1937" s="5" t="s">
        <v>28</v>
      </c>
      <c r="E1937">
        <v>0</v>
      </c>
      <c r="F1937">
        <v>0</v>
      </c>
      <c r="G1937">
        <v>0</v>
      </c>
      <c r="I1937" t="s">
        <v>1974</v>
      </c>
      <c r="N1937">
        <v>0</v>
      </c>
      <c r="O1937">
        <v>0</v>
      </c>
      <c r="P1937">
        <v>1</v>
      </c>
      <c r="Q1937">
        <v>0</v>
      </c>
    </row>
    <row r="1938" spans="1:17" x14ac:dyDescent="0.2">
      <c r="A1938" s="1" t="str">
        <f>HYPERLINK("http://www.twitter.com/Ugo_Roux/status/859766110907969538", "859766110907969538")</f>
        <v>859766110907969538</v>
      </c>
      <c r="B1938" t="s">
        <v>142</v>
      </c>
      <c r="C1938" s="3">
        <v>42858.573946759258</v>
      </c>
      <c r="D1938" s="5" t="s">
        <v>28</v>
      </c>
      <c r="E1938">
        <v>0</v>
      </c>
      <c r="F1938">
        <v>1</v>
      </c>
      <c r="G1938">
        <v>0</v>
      </c>
      <c r="I1938" t="s">
        <v>1975</v>
      </c>
      <c r="N1938">
        <v>0</v>
      </c>
      <c r="O1938">
        <v>0</v>
      </c>
      <c r="P1938">
        <v>1</v>
      </c>
      <c r="Q1938">
        <v>0</v>
      </c>
    </row>
    <row r="1939" spans="1:17" x14ac:dyDescent="0.2">
      <c r="A1939" s="1" t="str">
        <f>HYPERLINK("http://www.twitter.com/Ugo_Roux/status/859662192723021825", "859662192723021825")</f>
        <v>859662192723021825</v>
      </c>
      <c r="B1939" t="s">
        <v>285</v>
      </c>
      <c r="C1939" s="3">
        <v>42858.287187499998</v>
      </c>
      <c r="D1939" s="5" t="s">
        <v>17</v>
      </c>
      <c r="E1939">
        <v>0</v>
      </c>
      <c r="F1939">
        <v>0</v>
      </c>
      <c r="G1939">
        <v>0</v>
      </c>
      <c r="I1939" t="s">
        <v>1976</v>
      </c>
      <c r="J1939" t="str">
        <f>HYPERLINK("http://pbs.twimg.com/media/C-4iL4-XcAETX_V.jpg", "http://pbs.twimg.com/media/C-4iL4-XcAETX_V.jpg")</f>
        <v>http://pbs.twimg.com/media/C-4iL4-XcAETX_V.jpg</v>
      </c>
      <c r="N1939">
        <v>0</v>
      </c>
      <c r="O1939">
        <v>0</v>
      </c>
      <c r="P1939">
        <v>1</v>
      </c>
      <c r="Q1939">
        <v>0</v>
      </c>
    </row>
    <row r="1940" spans="1:17" x14ac:dyDescent="0.2">
      <c r="A1940" s="1" t="str">
        <f>HYPERLINK("http://www.twitter.com/Ugo_Roux/status/859390188241506304", "859390188241506304")</f>
        <v>859390188241506304</v>
      </c>
      <c r="B1940" t="s">
        <v>142</v>
      </c>
      <c r="C1940" s="3">
        <v>42857.536597222221</v>
      </c>
      <c r="D1940" s="5" t="s">
        <v>17</v>
      </c>
      <c r="E1940">
        <v>1</v>
      </c>
      <c r="F1940">
        <v>2</v>
      </c>
      <c r="G1940">
        <v>0</v>
      </c>
      <c r="I1940" t="s">
        <v>1977</v>
      </c>
      <c r="N1940">
        <v>-0.128</v>
      </c>
      <c r="O1940">
        <v>8.5999999999999993E-2</v>
      </c>
      <c r="P1940">
        <v>0.91400000000000003</v>
      </c>
      <c r="Q1940">
        <v>0</v>
      </c>
    </row>
    <row r="1941" spans="1:17" x14ac:dyDescent="0.2">
      <c r="A1941" s="1" t="str">
        <f>HYPERLINK("http://www.twitter.com/Ugo_Roux/status/859297162324307969", "859297162324307969")</f>
        <v>859297162324307969</v>
      </c>
      <c r="B1941" t="s">
        <v>285</v>
      </c>
      <c r="C1941" s="3">
        <v>42857.279895833337</v>
      </c>
      <c r="D1941" s="5" t="s">
        <v>17</v>
      </c>
      <c r="E1941">
        <v>0</v>
      </c>
      <c r="F1941">
        <v>0</v>
      </c>
      <c r="G1941">
        <v>0</v>
      </c>
      <c r="I1941" t="s">
        <v>1978</v>
      </c>
      <c r="N1941">
        <v>0</v>
      </c>
      <c r="O1941">
        <v>0</v>
      </c>
      <c r="P1941">
        <v>1</v>
      </c>
      <c r="Q1941">
        <v>0</v>
      </c>
    </row>
    <row r="1942" spans="1:17" x14ac:dyDescent="0.2">
      <c r="A1942" s="1" t="str">
        <f>HYPERLINK("http://www.twitter.com/Ugo_Roux/status/857842061562839040", "857842061562839040")</f>
        <v>857842061562839040</v>
      </c>
      <c r="B1942" t="s">
        <v>285</v>
      </c>
      <c r="C1942" s="3">
        <v>42853.26458333333</v>
      </c>
      <c r="D1942" s="5" t="s">
        <v>17</v>
      </c>
      <c r="E1942">
        <v>0</v>
      </c>
      <c r="F1942">
        <v>0</v>
      </c>
      <c r="G1942">
        <v>0</v>
      </c>
      <c r="I1942" t="s">
        <v>1979</v>
      </c>
      <c r="N1942">
        <v>-0.128</v>
      </c>
      <c r="O1942">
        <v>0.2</v>
      </c>
      <c r="P1942">
        <v>0.8</v>
      </c>
      <c r="Q1942">
        <v>0</v>
      </c>
    </row>
    <row r="1943" spans="1:17" x14ac:dyDescent="0.2">
      <c r="A1943" s="1" t="str">
        <f>HYPERLINK("http://www.twitter.com/Ugo_Roux/status/857842022652227586", "857842022652227586")</f>
        <v>857842022652227586</v>
      </c>
      <c r="B1943" t="s">
        <v>285</v>
      </c>
      <c r="C1943" s="3">
        <v>42853.264467592591</v>
      </c>
      <c r="D1943" s="5" t="s">
        <v>17</v>
      </c>
      <c r="E1943">
        <v>0</v>
      </c>
      <c r="F1943">
        <v>0</v>
      </c>
      <c r="G1943">
        <v>0</v>
      </c>
      <c r="I1943" t="s">
        <v>1980</v>
      </c>
      <c r="N1943">
        <v>0</v>
      </c>
      <c r="O1943">
        <v>0</v>
      </c>
      <c r="P1943">
        <v>1</v>
      </c>
      <c r="Q1943">
        <v>0</v>
      </c>
    </row>
    <row r="1944" spans="1:17" x14ac:dyDescent="0.2">
      <c r="A1944" s="1" t="str">
        <f>HYPERLINK("http://www.twitter.com/Ugo_Roux/status/857489959871291393", "857489959871291393")</f>
        <v>857489959871291393</v>
      </c>
      <c r="B1944" t="s">
        <v>471</v>
      </c>
      <c r="C1944" s="3">
        <v>42852.292962962973</v>
      </c>
      <c r="D1944" s="3" t="s">
        <v>41</v>
      </c>
      <c r="E1944">
        <v>0</v>
      </c>
      <c r="F1944">
        <v>0</v>
      </c>
      <c r="G1944">
        <v>0</v>
      </c>
      <c r="I1944" t="s">
        <v>1981</v>
      </c>
      <c r="J1944" t="str">
        <f>HYPERLINK("http://pbs.twimg.com/media/C-ZqePZXcAADXpe.jpg", "http://pbs.twimg.com/media/C-ZqePZXcAADXpe.jpg")</f>
        <v>http://pbs.twimg.com/media/C-ZqePZXcAADXpe.jpg</v>
      </c>
      <c r="N1944">
        <v>0.50929999999999997</v>
      </c>
      <c r="O1944">
        <v>0</v>
      </c>
      <c r="P1944">
        <v>0.85199999999999998</v>
      </c>
      <c r="Q1944">
        <v>0.14799999999999999</v>
      </c>
    </row>
    <row r="1945" spans="1:17" x14ac:dyDescent="0.2">
      <c r="A1945" s="1" t="str">
        <f>HYPERLINK("http://www.twitter.com/Ugo_Roux/status/857245952276664322", "857245952276664322")</f>
        <v>857245952276664322</v>
      </c>
      <c r="B1945" t="s">
        <v>16</v>
      </c>
      <c r="C1945" s="3">
        <v>42851.619629629633</v>
      </c>
      <c r="D1945" s="3" t="s">
        <v>17</v>
      </c>
      <c r="E1945">
        <v>1</v>
      </c>
      <c r="F1945">
        <v>0</v>
      </c>
      <c r="G1945">
        <v>0</v>
      </c>
      <c r="I1945" t="s">
        <v>1982</v>
      </c>
      <c r="J1945" t="str">
        <f>HYPERLINK("http://pbs.twimg.com/media/C-WLut-WAAA5R0m.jpg", "http://pbs.twimg.com/media/C-WLut-WAAA5R0m.jpg")</f>
        <v>http://pbs.twimg.com/media/C-WLut-WAAA5R0m.jpg</v>
      </c>
      <c r="N1945">
        <v>0</v>
      </c>
      <c r="O1945">
        <v>0</v>
      </c>
      <c r="P1945">
        <v>1</v>
      </c>
      <c r="Q1945">
        <v>0</v>
      </c>
    </row>
    <row r="1946" spans="1:17" x14ac:dyDescent="0.2">
      <c r="A1946" s="1" t="str">
        <f>HYPERLINK("http://www.twitter.com/Ugo_Roux/status/857240993338413059", "857240993338413059")</f>
        <v>857240993338413059</v>
      </c>
      <c r="B1946" t="s">
        <v>370</v>
      </c>
      <c r="C1946" s="3">
        <v>42851.605949074074</v>
      </c>
      <c r="D1946" s="5" t="s">
        <v>41</v>
      </c>
      <c r="E1946">
        <v>0</v>
      </c>
      <c r="F1946">
        <v>0</v>
      </c>
      <c r="G1946">
        <v>0</v>
      </c>
      <c r="I1946" t="s">
        <v>1983</v>
      </c>
      <c r="J1946" t="str">
        <f>HYPERLINK("http://pbs.twimg.com/media/C-WII5tU0AAIn0q.jpg", "http://pbs.twimg.com/media/C-WII5tU0AAIn0q.jpg")</f>
        <v>http://pbs.twimg.com/media/C-WII5tU0AAIn0q.jpg</v>
      </c>
      <c r="N1946">
        <v>0</v>
      </c>
      <c r="O1946">
        <v>0</v>
      </c>
      <c r="P1946">
        <v>1</v>
      </c>
      <c r="Q1946">
        <v>0</v>
      </c>
    </row>
    <row r="1947" spans="1:17" x14ac:dyDescent="0.2">
      <c r="A1947" s="1" t="str">
        <f>HYPERLINK("http://www.twitter.com/Ugo_Roux/status/857111680148525056", "857111680148525056")</f>
        <v>857111680148525056</v>
      </c>
      <c r="B1947" t="s">
        <v>471</v>
      </c>
      <c r="C1947" s="3">
        <v>42851.249108796299</v>
      </c>
      <c r="D1947" s="3" t="s">
        <v>28</v>
      </c>
      <c r="E1947">
        <v>0</v>
      </c>
      <c r="F1947">
        <v>0</v>
      </c>
      <c r="G1947">
        <v>0</v>
      </c>
      <c r="I1947" t="s">
        <v>1984</v>
      </c>
      <c r="J1947" t="str">
        <f>HYPERLINK("http://pbs.twimg.com/media/C-USeY9XcAATiLq.jpg", "http://pbs.twimg.com/media/C-USeY9XcAATiLq.jpg")</f>
        <v>http://pbs.twimg.com/media/C-USeY9XcAATiLq.jpg</v>
      </c>
      <c r="N1947">
        <v>0</v>
      </c>
      <c r="O1947">
        <v>0</v>
      </c>
      <c r="P1947">
        <v>1</v>
      </c>
      <c r="Q1947">
        <v>0</v>
      </c>
    </row>
    <row r="1948" spans="1:17" x14ac:dyDescent="0.2">
      <c r="A1948" s="1" t="str">
        <f>HYPERLINK("http://www.twitter.com/Ugo_Roux/status/856855472535724032", "856855472535724032")</f>
        <v>856855472535724032</v>
      </c>
      <c r="B1948" t="s">
        <v>370</v>
      </c>
      <c r="C1948" s="3">
        <v>42850.54210648148</v>
      </c>
      <c r="D1948" s="5" t="s">
        <v>28</v>
      </c>
      <c r="E1948">
        <v>0</v>
      </c>
      <c r="F1948">
        <v>0</v>
      </c>
      <c r="G1948">
        <v>0</v>
      </c>
      <c r="I1948" t="s">
        <v>1985</v>
      </c>
      <c r="J1948" t="str">
        <f>HYPERLINK("http://pbs.twimg.com/media/C-Qpgm6UMAArq1O.jpg", "http://pbs.twimg.com/media/C-Qpgm6UMAArq1O.jpg")</f>
        <v>http://pbs.twimg.com/media/C-Qpgm6UMAArq1O.jpg</v>
      </c>
      <c r="N1948">
        <v>0</v>
      </c>
      <c r="O1948">
        <v>0</v>
      </c>
      <c r="P1948">
        <v>1</v>
      </c>
      <c r="Q1948">
        <v>0</v>
      </c>
    </row>
    <row r="1949" spans="1:17" x14ac:dyDescent="0.2">
      <c r="A1949" s="1" t="str">
        <f>HYPERLINK("http://www.twitter.com/Ugo_Roux/status/856848580367314944", "856848580367314944")</f>
        <v>856848580367314944</v>
      </c>
      <c r="B1949" t="s">
        <v>370</v>
      </c>
      <c r="C1949" s="3">
        <v>42850.523090277777</v>
      </c>
      <c r="D1949" s="5" t="s">
        <v>28</v>
      </c>
      <c r="E1949">
        <v>0</v>
      </c>
      <c r="F1949">
        <v>0</v>
      </c>
      <c r="G1949">
        <v>0</v>
      </c>
      <c r="I1949" t="s">
        <v>1986</v>
      </c>
      <c r="J1949" t="str">
        <f>HYPERLINK("http://pbs.twimg.com/media/C-QjPfxVYAMR4no.jpg", "http://pbs.twimg.com/media/C-QjPfxVYAMR4no.jpg")</f>
        <v>http://pbs.twimg.com/media/C-QjPfxVYAMR4no.jpg</v>
      </c>
      <c r="N1949">
        <v>0</v>
      </c>
      <c r="O1949">
        <v>0</v>
      </c>
      <c r="P1949">
        <v>1</v>
      </c>
      <c r="Q1949">
        <v>0</v>
      </c>
    </row>
    <row r="1950" spans="1:17" x14ac:dyDescent="0.2">
      <c r="A1950" s="1" t="str">
        <f>HYPERLINK("http://www.twitter.com/Ugo_Roux/status/856846042310090758", "856846042310090758")</f>
        <v>856846042310090758</v>
      </c>
      <c r="B1950" t="s">
        <v>370</v>
      </c>
      <c r="C1950" s="3">
        <v>42850.516087962962</v>
      </c>
      <c r="D1950" s="5" t="s">
        <v>28</v>
      </c>
      <c r="E1950">
        <v>0</v>
      </c>
      <c r="F1950">
        <v>0</v>
      </c>
      <c r="G1950">
        <v>0</v>
      </c>
      <c r="I1950" t="s">
        <v>1987</v>
      </c>
      <c r="J1950" t="str">
        <f>HYPERLINK("http://pbs.twimg.com/media/C-Qg7wiV0AAH_zC.jpg", "http://pbs.twimg.com/media/C-Qg7wiV0AAH_zC.jpg")</f>
        <v>http://pbs.twimg.com/media/C-Qg7wiV0AAH_zC.jpg</v>
      </c>
      <c r="N1950">
        <v>0</v>
      </c>
      <c r="O1950">
        <v>0</v>
      </c>
      <c r="P1950">
        <v>1</v>
      </c>
      <c r="Q1950">
        <v>0</v>
      </c>
    </row>
    <row r="1951" spans="1:17" x14ac:dyDescent="0.2">
      <c r="A1951" s="1" t="str">
        <f>HYPERLINK("http://www.twitter.com/Ugo_Roux/status/856844047234846721", "856844047234846721")</f>
        <v>856844047234846721</v>
      </c>
      <c r="B1951" t="s">
        <v>370</v>
      </c>
      <c r="C1951" s="3">
        <v>42850.510578703703</v>
      </c>
      <c r="D1951" s="5" t="s">
        <v>28</v>
      </c>
      <c r="E1951">
        <v>0</v>
      </c>
      <c r="F1951">
        <v>0</v>
      </c>
      <c r="G1951">
        <v>0</v>
      </c>
      <c r="I1951" t="s">
        <v>1988</v>
      </c>
      <c r="J1951" t="str">
        <f>HYPERLINK("http://pbs.twimg.com/media/C-QfHlMVYAAUIX7.jpg", "http://pbs.twimg.com/media/C-QfHlMVYAAUIX7.jpg")</f>
        <v>http://pbs.twimg.com/media/C-QfHlMVYAAUIX7.jpg</v>
      </c>
      <c r="N1951">
        <v>0</v>
      </c>
      <c r="O1951">
        <v>0</v>
      </c>
      <c r="P1951">
        <v>1</v>
      </c>
      <c r="Q1951">
        <v>0</v>
      </c>
    </row>
    <row r="1952" spans="1:17" x14ac:dyDescent="0.2">
      <c r="A1952" s="1" t="str">
        <f>HYPERLINK("http://www.twitter.com/Ugo_Roux/status/856843046155153408", "856843046155153408")</f>
        <v>856843046155153408</v>
      </c>
      <c r="B1952" t="s">
        <v>130</v>
      </c>
      <c r="C1952" s="3">
        <v>42850.507824074077</v>
      </c>
      <c r="D1952" s="5" t="s">
        <v>17</v>
      </c>
      <c r="E1952">
        <v>0</v>
      </c>
      <c r="F1952">
        <v>0</v>
      </c>
      <c r="G1952">
        <v>0</v>
      </c>
      <c r="I1952" t="s">
        <v>1989</v>
      </c>
      <c r="N1952">
        <v>0</v>
      </c>
      <c r="O1952">
        <v>0</v>
      </c>
      <c r="P1952">
        <v>1</v>
      </c>
      <c r="Q1952">
        <v>0</v>
      </c>
    </row>
    <row r="1953" spans="1:17" x14ac:dyDescent="0.2">
      <c r="A1953" s="1" t="str">
        <f>HYPERLINK("http://www.twitter.com/Ugo_Roux/status/856813148933959685", "856813148933959685")</f>
        <v>856813148933959685</v>
      </c>
      <c r="B1953" t="s">
        <v>370</v>
      </c>
      <c r="C1953" s="3">
        <v>42850.425324074073</v>
      </c>
      <c r="D1953" s="5" t="s">
        <v>28</v>
      </c>
      <c r="E1953">
        <v>0</v>
      </c>
      <c r="F1953">
        <v>0</v>
      </c>
      <c r="G1953">
        <v>0</v>
      </c>
      <c r="I1953" t="s">
        <v>1990</v>
      </c>
      <c r="J1953" t="str">
        <f>HYPERLINK("http://pbs.twimg.com/media/C-QDBFHV0AE7tyr.jpg", "http://pbs.twimg.com/media/C-QDBFHV0AE7tyr.jpg")</f>
        <v>http://pbs.twimg.com/media/C-QDBFHV0AE7tyr.jpg</v>
      </c>
      <c r="N1953">
        <v>0</v>
      </c>
      <c r="O1953">
        <v>0</v>
      </c>
      <c r="P1953">
        <v>1</v>
      </c>
      <c r="Q1953">
        <v>0</v>
      </c>
    </row>
    <row r="1954" spans="1:17" x14ac:dyDescent="0.2">
      <c r="A1954" s="1" t="str">
        <f>HYPERLINK("http://www.twitter.com/Ugo_Roux/status/856808186665472002", "856808186665472002")</f>
        <v>856808186665472002</v>
      </c>
      <c r="B1954" t="s">
        <v>16</v>
      </c>
      <c r="C1954" s="3">
        <v>42850.411631944437</v>
      </c>
      <c r="D1954" s="3" t="s">
        <v>17</v>
      </c>
      <c r="E1954">
        <v>1</v>
      </c>
      <c r="F1954">
        <v>0</v>
      </c>
      <c r="G1954">
        <v>0</v>
      </c>
      <c r="I1954" t="s">
        <v>1991</v>
      </c>
      <c r="N1954">
        <v>0</v>
      </c>
      <c r="O1954">
        <v>0</v>
      </c>
      <c r="P1954">
        <v>1</v>
      </c>
      <c r="Q1954">
        <v>0</v>
      </c>
    </row>
    <row r="1955" spans="1:17" x14ac:dyDescent="0.2">
      <c r="A1955" s="1" t="str">
        <f>HYPERLINK("http://www.twitter.com/Ugo_Roux/status/856498317366374402", "856498317366374402")</f>
        <v>856498317366374402</v>
      </c>
      <c r="B1955" t="s">
        <v>285</v>
      </c>
      <c r="C1955" s="3">
        <v>42849.556550925918</v>
      </c>
      <c r="D1955" s="5" t="s">
        <v>28</v>
      </c>
      <c r="E1955">
        <v>0</v>
      </c>
      <c r="F1955">
        <v>0</v>
      </c>
      <c r="G1955">
        <v>0</v>
      </c>
      <c r="I1955" t="s">
        <v>1992</v>
      </c>
      <c r="J1955" t="str">
        <f>HYPERLINK("http://pbs.twimg.com/media/C-LkpdgXoAU4CqV.jpg", "http://pbs.twimg.com/media/C-LkpdgXoAU4CqV.jpg")</f>
        <v>http://pbs.twimg.com/media/C-LkpdgXoAU4CqV.jpg</v>
      </c>
      <c r="N1955">
        <v>0</v>
      </c>
      <c r="O1955">
        <v>0</v>
      </c>
      <c r="P1955">
        <v>1</v>
      </c>
      <c r="Q1955">
        <v>0</v>
      </c>
    </row>
    <row r="1956" spans="1:17" x14ac:dyDescent="0.2">
      <c r="A1956" s="1" t="str">
        <f>HYPERLINK("http://www.twitter.com/Ugo_Roux/status/856129634789974016", "856129634789974016")</f>
        <v>856129634789974016</v>
      </c>
      <c r="B1956" t="s">
        <v>142</v>
      </c>
      <c r="C1956" s="3">
        <v>42848.539178240739</v>
      </c>
      <c r="D1956" s="5" t="s">
        <v>17</v>
      </c>
      <c r="E1956">
        <v>2</v>
      </c>
      <c r="F1956">
        <v>2</v>
      </c>
      <c r="G1956">
        <v>0</v>
      </c>
      <c r="I1956" t="s">
        <v>1993</v>
      </c>
      <c r="N1956">
        <v>0</v>
      </c>
      <c r="O1956">
        <v>0</v>
      </c>
      <c r="P1956">
        <v>1</v>
      </c>
      <c r="Q1956">
        <v>0</v>
      </c>
    </row>
    <row r="1957" spans="1:17" x14ac:dyDescent="0.2">
      <c r="A1957" s="1" t="str">
        <f>HYPERLINK("http://www.twitter.com/Ugo_Roux/status/856088761423233024", "856088761423233024")</f>
        <v>856088761423233024</v>
      </c>
      <c r="B1957" t="s">
        <v>16</v>
      </c>
      <c r="C1957" s="3">
        <v>42848.426388888889</v>
      </c>
      <c r="D1957" s="3" t="s">
        <v>28</v>
      </c>
      <c r="E1957">
        <v>1</v>
      </c>
      <c r="F1957">
        <v>0</v>
      </c>
      <c r="G1957">
        <v>0</v>
      </c>
      <c r="I1957" t="s">
        <v>1994</v>
      </c>
      <c r="J1957" t="str">
        <f>HYPERLINK("http://pbs.twimg.com/media/C97YnXQXkAABuRQ.jpg", "http://pbs.twimg.com/media/C97YnXQXkAABuRQ.jpg")</f>
        <v>http://pbs.twimg.com/media/C97YnXQXkAABuRQ.jpg</v>
      </c>
      <c r="N1957">
        <v>0</v>
      </c>
      <c r="O1957">
        <v>0</v>
      </c>
      <c r="P1957">
        <v>1</v>
      </c>
      <c r="Q1957">
        <v>0</v>
      </c>
    </row>
    <row r="1958" spans="1:17" x14ac:dyDescent="0.2">
      <c r="A1958" s="1" t="str">
        <f>HYPERLINK("http://www.twitter.com/Ugo_Roux/status/855448584086577155", "855448584086577155")</f>
        <v>855448584086577155</v>
      </c>
      <c r="B1958" t="s">
        <v>142</v>
      </c>
      <c r="C1958" s="3">
        <v>42846.659837962958</v>
      </c>
      <c r="D1958" s="5" t="s">
        <v>28</v>
      </c>
      <c r="E1958">
        <v>3</v>
      </c>
      <c r="F1958">
        <v>2</v>
      </c>
      <c r="G1958">
        <v>0</v>
      </c>
      <c r="I1958" t="s">
        <v>1995</v>
      </c>
      <c r="N1958">
        <v>0</v>
      </c>
      <c r="O1958">
        <v>0</v>
      </c>
      <c r="P1958">
        <v>1</v>
      </c>
      <c r="Q1958">
        <v>0</v>
      </c>
    </row>
    <row r="1959" spans="1:17" x14ac:dyDescent="0.2">
      <c r="A1959" s="1" t="str">
        <f>HYPERLINK("http://www.twitter.com/Ugo_Roux/status/855447743682273280", "855447743682273280")</f>
        <v>855447743682273280</v>
      </c>
      <c r="B1959" t="s">
        <v>142</v>
      </c>
      <c r="C1959" s="3">
        <v>42846.657523148147</v>
      </c>
      <c r="D1959" s="5" t="s">
        <v>17</v>
      </c>
      <c r="E1959">
        <v>0</v>
      </c>
      <c r="F1959">
        <v>1</v>
      </c>
      <c r="G1959">
        <v>0</v>
      </c>
      <c r="I1959" t="s">
        <v>1996</v>
      </c>
      <c r="N1959">
        <v>0</v>
      </c>
      <c r="O1959">
        <v>0</v>
      </c>
      <c r="P1959">
        <v>1</v>
      </c>
      <c r="Q1959">
        <v>0</v>
      </c>
    </row>
    <row r="1960" spans="1:17" x14ac:dyDescent="0.2">
      <c r="A1960" s="1" t="str">
        <f>HYPERLINK("http://www.twitter.com/Ugo_Roux/status/855107730549460994", "855107730549460994")</f>
        <v>855107730549460994</v>
      </c>
      <c r="B1960" t="s">
        <v>142</v>
      </c>
      <c r="C1960" s="3">
        <v>42845.719259259262</v>
      </c>
      <c r="D1960" s="5" t="s">
        <v>41</v>
      </c>
      <c r="E1960">
        <v>4</v>
      </c>
      <c r="F1960">
        <v>6</v>
      </c>
      <c r="G1960">
        <v>0</v>
      </c>
      <c r="I1960" t="s">
        <v>1997</v>
      </c>
      <c r="J1960" t="str">
        <f>HYPERLINK("http://pbs.twimg.com/media/C93z8KaXYAAsdex.jpg", "http://pbs.twimg.com/media/C93z8KaXYAAsdex.jpg")</f>
        <v>http://pbs.twimg.com/media/C93z8KaXYAAsdex.jpg</v>
      </c>
      <c r="N1960">
        <v>0</v>
      </c>
      <c r="O1960">
        <v>0</v>
      </c>
      <c r="P1960">
        <v>1</v>
      </c>
      <c r="Q1960">
        <v>0</v>
      </c>
    </row>
    <row r="1961" spans="1:17" x14ac:dyDescent="0.2">
      <c r="A1961" s="1" t="str">
        <f>HYPERLINK("http://www.twitter.com/Ugo_Roux/status/854707274216083459", "854707274216083459")</f>
        <v>854707274216083459</v>
      </c>
      <c r="B1961" t="s">
        <v>142</v>
      </c>
      <c r="C1961" s="3">
        <v>42844.614212962973</v>
      </c>
      <c r="D1961" s="5" t="s">
        <v>28</v>
      </c>
      <c r="E1961">
        <v>1</v>
      </c>
      <c r="F1961">
        <v>0</v>
      </c>
      <c r="G1961">
        <v>0</v>
      </c>
      <c r="I1961" t="s">
        <v>1998</v>
      </c>
      <c r="N1961">
        <v>0</v>
      </c>
      <c r="O1961">
        <v>0</v>
      </c>
      <c r="P1961">
        <v>1</v>
      </c>
      <c r="Q1961">
        <v>0</v>
      </c>
    </row>
    <row r="1962" spans="1:17" x14ac:dyDescent="0.2">
      <c r="A1962" s="1" t="str">
        <f>HYPERLINK("http://www.twitter.com/Ugo_Roux/status/854314527353184257", "854314527353184257")</f>
        <v>854314527353184257</v>
      </c>
      <c r="B1962" t="s">
        <v>16</v>
      </c>
      <c r="C1962" s="3">
        <v>42843.530439814807</v>
      </c>
      <c r="D1962" s="3" t="s">
        <v>17</v>
      </c>
      <c r="E1962">
        <v>3</v>
      </c>
      <c r="F1962">
        <v>1</v>
      </c>
      <c r="G1962">
        <v>0</v>
      </c>
      <c r="I1962" t="s">
        <v>1999</v>
      </c>
      <c r="J1962" t="str">
        <f>HYPERLINK("http://pbs.twimg.com/media/C9shxAlXUAAPzni.jpg", "http://pbs.twimg.com/media/C9shxAlXUAAPzni.jpg")</f>
        <v>http://pbs.twimg.com/media/C9shxAlXUAAPzni.jpg</v>
      </c>
      <c r="N1962">
        <v>0</v>
      </c>
      <c r="O1962">
        <v>0</v>
      </c>
      <c r="P1962">
        <v>1</v>
      </c>
      <c r="Q1962">
        <v>0</v>
      </c>
    </row>
    <row r="1963" spans="1:17" x14ac:dyDescent="0.2">
      <c r="A1963" s="1" t="str">
        <f>HYPERLINK("http://www.twitter.com/Ugo_Roux/status/854313570162667520", "854313570162667520")</f>
        <v>854313570162667520</v>
      </c>
      <c r="B1963" t="s">
        <v>16</v>
      </c>
      <c r="C1963" s="3">
        <v>42843.527800925927</v>
      </c>
      <c r="D1963" s="3" t="s">
        <v>28</v>
      </c>
      <c r="E1963">
        <v>5</v>
      </c>
      <c r="F1963">
        <v>3</v>
      </c>
      <c r="G1963">
        <v>0</v>
      </c>
      <c r="I1963" t="s">
        <v>2000</v>
      </c>
      <c r="J1963" t="str">
        <f>HYPERLINK("http://pbs.twimg.com/media/C9sg85dW0AAhBH7.jpg", "http://pbs.twimg.com/media/C9sg85dW0AAhBH7.jpg")</f>
        <v>http://pbs.twimg.com/media/C9sg85dW0AAhBH7.jpg</v>
      </c>
      <c r="N1963">
        <v>0</v>
      </c>
      <c r="O1963">
        <v>0</v>
      </c>
      <c r="P1963">
        <v>1</v>
      </c>
      <c r="Q1963">
        <v>0</v>
      </c>
    </row>
    <row r="1964" spans="1:17" x14ac:dyDescent="0.2">
      <c r="A1964" s="1" t="str">
        <f>HYPERLINK("http://www.twitter.com/Ugo_Roux/status/854241474204110848", "854241474204110848")</f>
        <v>854241474204110848</v>
      </c>
      <c r="B1964" t="s">
        <v>476</v>
      </c>
      <c r="C1964" s="3">
        <v>42843.32885416667</v>
      </c>
      <c r="D1964" s="5" t="s">
        <v>17</v>
      </c>
      <c r="E1964">
        <v>1</v>
      </c>
      <c r="F1964">
        <v>0</v>
      </c>
      <c r="G1964">
        <v>0</v>
      </c>
      <c r="I1964" t="s">
        <v>2001</v>
      </c>
      <c r="J1964" t="str">
        <f>HYPERLINK("http://pbs.twimg.com/media/C9rfs6HXoAEAQcs.jpg", "http://pbs.twimg.com/media/C9rfs6HXoAEAQcs.jpg")</f>
        <v>http://pbs.twimg.com/media/C9rfs6HXoAEAQcs.jpg</v>
      </c>
      <c r="N1964">
        <v>0</v>
      </c>
      <c r="O1964">
        <v>0</v>
      </c>
      <c r="P1964">
        <v>1</v>
      </c>
      <c r="Q1964">
        <v>0</v>
      </c>
    </row>
    <row r="1965" spans="1:17" x14ac:dyDescent="0.2">
      <c r="A1965" s="1" t="str">
        <f>HYPERLINK("http://www.twitter.com/Ugo_Roux/status/852467652257656832", "852467652257656832")</f>
        <v>852467652257656832</v>
      </c>
      <c r="B1965" t="s">
        <v>16</v>
      </c>
      <c r="C1965" s="3">
        <v>42838.434039351851</v>
      </c>
      <c r="D1965" s="3" t="s">
        <v>17</v>
      </c>
      <c r="E1965">
        <v>0</v>
      </c>
      <c r="F1965">
        <v>0</v>
      </c>
      <c r="G1965">
        <v>0</v>
      </c>
      <c r="I1965" t="s">
        <v>2002</v>
      </c>
      <c r="N1965">
        <v>0</v>
      </c>
      <c r="O1965">
        <v>0</v>
      </c>
      <c r="P1965">
        <v>1</v>
      </c>
      <c r="Q1965">
        <v>0</v>
      </c>
    </row>
    <row r="1966" spans="1:17" x14ac:dyDescent="0.2">
      <c r="A1966" s="1" t="str">
        <f>HYPERLINK("http://www.twitter.com/Ugo_Roux/status/852450068544319488", "852450068544319488")</f>
        <v>852450068544319488</v>
      </c>
      <c r="B1966" t="s">
        <v>414</v>
      </c>
      <c r="C1966" s="3">
        <v>42838.385509259257</v>
      </c>
      <c r="D1966" s="5" t="s">
        <v>28</v>
      </c>
      <c r="E1966">
        <v>1</v>
      </c>
      <c r="F1966">
        <v>1</v>
      </c>
      <c r="G1966">
        <v>0</v>
      </c>
      <c r="I1966" t="s">
        <v>2003</v>
      </c>
      <c r="N1966">
        <v>0</v>
      </c>
      <c r="O1966">
        <v>0</v>
      </c>
      <c r="P1966">
        <v>1</v>
      </c>
      <c r="Q1966">
        <v>0</v>
      </c>
    </row>
    <row r="1967" spans="1:17" x14ac:dyDescent="0.2">
      <c r="A1967" s="1" t="str">
        <f>HYPERLINK("http://www.twitter.com/Ugo_Roux/status/852113869237624832", "852113869237624832")</f>
        <v>852113869237624832</v>
      </c>
      <c r="B1967" t="s">
        <v>16</v>
      </c>
      <c r="C1967" s="3">
        <v>42837.457777777781</v>
      </c>
      <c r="D1967" s="3" t="s">
        <v>17</v>
      </c>
      <c r="E1967">
        <v>1</v>
      </c>
      <c r="F1967">
        <v>0</v>
      </c>
      <c r="G1967">
        <v>0</v>
      </c>
      <c r="I1967" t="s">
        <v>2004</v>
      </c>
      <c r="N1967">
        <v>0</v>
      </c>
      <c r="O1967">
        <v>0</v>
      </c>
      <c r="P1967">
        <v>1</v>
      </c>
      <c r="Q1967">
        <v>0</v>
      </c>
    </row>
    <row r="1968" spans="1:17" x14ac:dyDescent="0.2">
      <c r="A1968" s="1" t="str">
        <f>HYPERLINK("http://www.twitter.com/Ugo_Roux/status/852107121588137985", "852107121588137985")</f>
        <v>852107121588137985</v>
      </c>
      <c r="B1968" t="s">
        <v>16</v>
      </c>
      <c r="C1968" s="3">
        <v>42837.439155092587</v>
      </c>
      <c r="D1968" s="3" t="s">
        <v>17</v>
      </c>
      <c r="E1968">
        <v>3</v>
      </c>
      <c r="F1968">
        <v>1</v>
      </c>
      <c r="G1968">
        <v>1</v>
      </c>
      <c r="I1968" t="s">
        <v>2005</v>
      </c>
      <c r="J1968" t="str">
        <f>HYPERLINK("http://pbs.twimg.com/media/C9NK0jdXoAEr7-k.jpg", "http://pbs.twimg.com/media/C9NK0jdXoAEr7-k.jpg")</f>
        <v>http://pbs.twimg.com/media/C9NK0jdXoAEr7-k.jpg</v>
      </c>
      <c r="N1968">
        <v>0</v>
      </c>
      <c r="O1968">
        <v>0</v>
      </c>
      <c r="P1968">
        <v>1</v>
      </c>
      <c r="Q1968">
        <v>0</v>
      </c>
    </row>
    <row r="1969" spans="1:17" x14ac:dyDescent="0.2">
      <c r="A1969" s="1" t="str">
        <f>HYPERLINK("http://www.twitter.com/Ugo_Roux/status/852048163741589508", "852048163741589508")</f>
        <v>852048163741589508</v>
      </c>
      <c r="B1969" t="s">
        <v>142</v>
      </c>
      <c r="C1969" s="3">
        <v>42837.276469907411</v>
      </c>
      <c r="D1969" s="5" t="s">
        <v>24</v>
      </c>
      <c r="E1969">
        <v>1</v>
      </c>
      <c r="F1969">
        <v>0</v>
      </c>
      <c r="G1969">
        <v>0</v>
      </c>
      <c r="I1969" t="s">
        <v>2006</v>
      </c>
      <c r="N1969">
        <v>0</v>
      </c>
      <c r="O1969">
        <v>0</v>
      </c>
      <c r="P1969">
        <v>1</v>
      </c>
      <c r="Q1969">
        <v>0</v>
      </c>
    </row>
    <row r="1970" spans="1:17" x14ac:dyDescent="0.2">
      <c r="A1970" s="1" t="str">
        <f>HYPERLINK("http://www.twitter.com/Ugo_Roux/status/852044723732725760", "852044723732725760")</f>
        <v>852044723732725760</v>
      </c>
      <c r="B1970" t="s">
        <v>285</v>
      </c>
      <c r="C1970" s="3">
        <v>42837.266979166663</v>
      </c>
      <c r="D1970" s="5" t="s">
        <v>28</v>
      </c>
      <c r="E1970">
        <v>0</v>
      </c>
      <c r="F1970">
        <v>2</v>
      </c>
      <c r="G1970">
        <v>0</v>
      </c>
      <c r="I1970" t="s">
        <v>2007</v>
      </c>
      <c r="J1970" t="str">
        <f>HYPERLINK("http://pbs.twimg.com/media/C9MSH12UwAAJESg.jpg", "http://pbs.twimg.com/media/C9MSH12UwAAJESg.jpg")</f>
        <v>http://pbs.twimg.com/media/C9MSH12UwAAJESg.jpg</v>
      </c>
      <c r="N1970">
        <v>0</v>
      </c>
      <c r="O1970">
        <v>0</v>
      </c>
      <c r="P1970">
        <v>1</v>
      </c>
      <c r="Q1970">
        <v>0</v>
      </c>
    </row>
    <row r="1971" spans="1:17" x14ac:dyDescent="0.2">
      <c r="A1971" s="1" t="str">
        <f>HYPERLINK("http://www.twitter.com/Ugo_Roux/status/851793069569691650", "851793069569691650")</f>
        <v>851793069569691650</v>
      </c>
      <c r="B1971" t="s">
        <v>16</v>
      </c>
      <c r="C1971" s="3">
        <v>42836.572534722232</v>
      </c>
      <c r="D1971" s="3" t="s">
        <v>625</v>
      </c>
      <c r="E1971">
        <v>7</v>
      </c>
      <c r="F1971">
        <v>11</v>
      </c>
      <c r="G1971">
        <v>6</v>
      </c>
      <c r="I1971" t="s">
        <v>2008</v>
      </c>
      <c r="J1971" t="str">
        <f>HYPERLINK("http://pbs.twimg.com/media/C9IpIwcXoAE2b01.jpg", "http://pbs.twimg.com/media/C9IpIwcXoAE2b01.jpg")</f>
        <v>http://pbs.twimg.com/media/C9IpIwcXoAE2b01.jpg</v>
      </c>
      <c r="N1971">
        <v>0</v>
      </c>
      <c r="O1971">
        <v>0</v>
      </c>
      <c r="P1971">
        <v>1</v>
      </c>
      <c r="Q1971">
        <v>0</v>
      </c>
    </row>
    <row r="1972" spans="1:17" x14ac:dyDescent="0.2">
      <c r="A1972" s="1" t="str">
        <f>HYPERLINK("http://www.twitter.com/Ugo_Roux/status/851792180255576064", "851792180255576064")</f>
        <v>851792180255576064</v>
      </c>
      <c r="B1972" t="s">
        <v>16</v>
      </c>
      <c r="C1972" s="3">
        <v>42836.570081018523</v>
      </c>
      <c r="D1972" s="3" t="s">
        <v>41</v>
      </c>
      <c r="E1972">
        <v>0</v>
      </c>
      <c r="F1972">
        <v>0</v>
      </c>
      <c r="G1972">
        <v>0</v>
      </c>
      <c r="I1972" t="s">
        <v>2009</v>
      </c>
      <c r="N1972">
        <v>0</v>
      </c>
      <c r="O1972">
        <v>0</v>
      </c>
      <c r="P1972">
        <v>1</v>
      </c>
      <c r="Q1972">
        <v>0</v>
      </c>
    </row>
    <row r="1973" spans="1:17" x14ac:dyDescent="0.2">
      <c r="A1973" s="1" t="str">
        <f>HYPERLINK("http://www.twitter.com/Ugo_Roux/status/851791369769234432", "851791369769234432")</f>
        <v>851791369769234432</v>
      </c>
      <c r="B1973" t="s">
        <v>16</v>
      </c>
      <c r="C1973" s="3">
        <v>42836.567847222221</v>
      </c>
      <c r="D1973" s="3" t="s">
        <v>41</v>
      </c>
      <c r="E1973">
        <v>0</v>
      </c>
      <c r="F1973">
        <v>0</v>
      </c>
      <c r="G1973">
        <v>0</v>
      </c>
      <c r="I1973" t="s">
        <v>2010</v>
      </c>
      <c r="N1973">
        <v>0.67920000000000003</v>
      </c>
      <c r="O1973">
        <v>0</v>
      </c>
      <c r="P1973">
        <v>0.77300000000000002</v>
      </c>
      <c r="Q1973">
        <v>0.22700000000000001</v>
      </c>
    </row>
    <row r="1974" spans="1:17" x14ac:dyDescent="0.2">
      <c r="A1974" s="1" t="str">
        <f>HYPERLINK("http://www.twitter.com/Ugo_Roux/status/851776691580149760", "851776691580149760")</f>
        <v>851776691580149760</v>
      </c>
      <c r="B1974" t="s">
        <v>16</v>
      </c>
      <c r="C1974" s="3">
        <v>42836.527349537027</v>
      </c>
      <c r="D1974" s="3" t="s">
        <v>41</v>
      </c>
      <c r="E1974">
        <v>0</v>
      </c>
      <c r="F1974">
        <v>0</v>
      </c>
      <c r="G1974">
        <v>0</v>
      </c>
      <c r="I1974" t="s">
        <v>2011</v>
      </c>
      <c r="N1974">
        <v>0</v>
      </c>
      <c r="O1974">
        <v>0</v>
      </c>
      <c r="P1974">
        <v>1</v>
      </c>
      <c r="Q1974">
        <v>0</v>
      </c>
    </row>
    <row r="1975" spans="1:17" x14ac:dyDescent="0.2">
      <c r="A1975" s="1" t="str">
        <f>HYPERLINK("http://www.twitter.com/Ugo_Roux/status/851776639029608448", "851776639029608448")</f>
        <v>851776639029608448</v>
      </c>
      <c r="B1975" t="s">
        <v>16</v>
      </c>
      <c r="C1975" s="3">
        <v>42836.527199074073</v>
      </c>
      <c r="D1975" s="3" t="s">
        <v>41</v>
      </c>
      <c r="E1975">
        <v>0</v>
      </c>
      <c r="F1975">
        <v>0</v>
      </c>
      <c r="G1975">
        <v>0</v>
      </c>
      <c r="I1975" t="s">
        <v>2012</v>
      </c>
      <c r="N1975">
        <v>0</v>
      </c>
      <c r="O1975">
        <v>0</v>
      </c>
      <c r="P1975">
        <v>1</v>
      </c>
      <c r="Q1975">
        <v>0</v>
      </c>
    </row>
    <row r="1976" spans="1:17" x14ac:dyDescent="0.2">
      <c r="A1976" s="1" t="str">
        <f>HYPERLINK("http://www.twitter.com/Ugo_Roux/status/851776341129261057", "851776341129261057")</f>
        <v>851776341129261057</v>
      </c>
      <c r="B1976" t="s">
        <v>16</v>
      </c>
      <c r="C1976" s="3">
        <v>42836.526377314818</v>
      </c>
      <c r="D1976" s="3" t="s">
        <v>41</v>
      </c>
      <c r="E1976">
        <v>0</v>
      </c>
      <c r="F1976">
        <v>0</v>
      </c>
      <c r="G1976">
        <v>0</v>
      </c>
      <c r="I1976" t="s">
        <v>2013</v>
      </c>
      <c r="N1976">
        <v>0</v>
      </c>
      <c r="O1976">
        <v>0</v>
      </c>
      <c r="P1976">
        <v>1</v>
      </c>
      <c r="Q1976">
        <v>0</v>
      </c>
    </row>
    <row r="1977" spans="1:17" x14ac:dyDescent="0.2">
      <c r="A1977" s="1" t="str">
        <f>HYPERLINK("http://www.twitter.com/Ugo_Roux/status/851776187005382656", "851776187005382656")</f>
        <v>851776187005382656</v>
      </c>
      <c r="B1977" t="s">
        <v>16</v>
      </c>
      <c r="C1977" s="3">
        <v>42836.525949074072</v>
      </c>
      <c r="D1977" s="3" t="s">
        <v>41</v>
      </c>
      <c r="E1977">
        <v>1</v>
      </c>
      <c r="F1977">
        <v>0</v>
      </c>
      <c r="G1977">
        <v>1</v>
      </c>
      <c r="I1977" t="s">
        <v>2014</v>
      </c>
      <c r="N1977">
        <v>0</v>
      </c>
      <c r="O1977">
        <v>0</v>
      </c>
      <c r="P1977">
        <v>1</v>
      </c>
      <c r="Q1977">
        <v>0</v>
      </c>
    </row>
    <row r="1978" spans="1:17" x14ac:dyDescent="0.2">
      <c r="A1978" s="1" t="str">
        <f>HYPERLINK("http://www.twitter.com/Ugo_Roux/status/851775972386930688", "851775972386930688")</f>
        <v>851775972386930688</v>
      </c>
      <c r="B1978" t="s">
        <v>16</v>
      </c>
      <c r="C1978" s="3">
        <v>42836.525358796287</v>
      </c>
      <c r="D1978" s="3" t="s">
        <v>41</v>
      </c>
      <c r="E1978">
        <v>0</v>
      </c>
      <c r="F1978">
        <v>0</v>
      </c>
      <c r="G1978">
        <v>0</v>
      </c>
      <c r="I1978" t="s">
        <v>2015</v>
      </c>
      <c r="N1978">
        <v>0</v>
      </c>
      <c r="O1978">
        <v>0</v>
      </c>
      <c r="P1978">
        <v>1</v>
      </c>
      <c r="Q1978">
        <v>0</v>
      </c>
    </row>
    <row r="1979" spans="1:17" x14ac:dyDescent="0.2">
      <c r="A1979" s="1" t="str">
        <f>HYPERLINK("http://www.twitter.com/Ugo_Roux/status/851775755952541696", "851775755952541696")</f>
        <v>851775755952541696</v>
      </c>
      <c r="B1979" t="s">
        <v>16</v>
      </c>
      <c r="C1979" s="3">
        <v>42836.524768518517</v>
      </c>
      <c r="D1979" s="3" t="s">
        <v>41</v>
      </c>
      <c r="E1979">
        <v>0</v>
      </c>
      <c r="F1979">
        <v>0</v>
      </c>
      <c r="G1979">
        <v>0</v>
      </c>
      <c r="I1979" t="s">
        <v>2016</v>
      </c>
      <c r="N1979">
        <v>0</v>
      </c>
      <c r="O1979">
        <v>0</v>
      </c>
      <c r="P1979">
        <v>1</v>
      </c>
      <c r="Q1979">
        <v>0</v>
      </c>
    </row>
    <row r="1980" spans="1:17" x14ac:dyDescent="0.2">
      <c r="A1980" s="1" t="str">
        <f>HYPERLINK("http://www.twitter.com/Ugo_Roux/status/851775528231161856", "851775528231161856")</f>
        <v>851775528231161856</v>
      </c>
      <c r="B1980" t="s">
        <v>16</v>
      </c>
      <c r="C1980" s="3">
        <v>42836.524131944447</v>
      </c>
      <c r="D1980" s="3" t="s">
        <v>41</v>
      </c>
      <c r="E1980">
        <v>0</v>
      </c>
      <c r="F1980">
        <v>0</v>
      </c>
      <c r="G1980">
        <v>0</v>
      </c>
      <c r="I1980" t="s">
        <v>2017</v>
      </c>
      <c r="N1980">
        <v>0</v>
      </c>
      <c r="O1980">
        <v>0</v>
      </c>
      <c r="P1980">
        <v>1</v>
      </c>
      <c r="Q1980">
        <v>0</v>
      </c>
    </row>
    <row r="1981" spans="1:17" x14ac:dyDescent="0.2">
      <c r="A1981" s="1" t="str">
        <f>HYPERLINK("http://www.twitter.com/Ugo_Roux/status/851738103194808320", "851738103194808320")</f>
        <v>851738103194808320</v>
      </c>
      <c r="B1981" t="s">
        <v>130</v>
      </c>
      <c r="C1981" s="3">
        <v>42836.420856481483</v>
      </c>
      <c r="D1981" s="5" t="s">
        <v>28</v>
      </c>
      <c r="E1981">
        <v>0</v>
      </c>
      <c r="F1981">
        <v>0</v>
      </c>
      <c r="G1981">
        <v>0</v>
      </c>
      <c r="I1981" t="s">
        <v>2018</v>
      </c>
      <c r="N1981">
        <v>0</v>
      </c>
      <c r="O1981">
        <v>0</v>
      </c>
      <c r="P1981">
        <v>1</v>
      </c>
      <c r="Q1981">
        <v>0</v>
      </c>
    </row>
    <row r="1982" spans="1:17" x14ac:dyDescent="0.2">
      <c r="A1982" s="1" t="str">
        <f>HYPERLINK("http://www.twitter.com/Ugo_Roux/status/851438847900753920", "851438847900753920")</f>
        <v>851438847900753920</v>
      </c>
      <c r="B1982" t="s">
        <v>142</v>
      </c>
      <c r="C1982" s="3">
        <v>42835.595069444447</v>
      </c>
      <c r="D1982" s="5" t="s">
        <v>41</v>
      </c>
      <c r="E1982">
        <v>0</v>
      </c>
      <c r="F1982">
        <v>1</v>
      </c>
      <c r="G1982">
        <v>0</v>
      </c>
      <c r="I1982" t="s">
        <v>2019</v>
      </c>
      <c r="N1982">
        <v>0</v>
      </c>
      <c r="O1982">
        <v>0</v>
      </c>
      <c r="P1982">
        <v>1</v>
      </c>
      <c r="Q1982">
        <v>0</v>
      </c>
    </row>
    <row r="1983" spans="1:17" x14ac:dyDescent="0.2">
      <c r="A1983" s="1" t="str">
        <f>HYPERLINK("http://www.twitter.com/Ugo_Roux/status/851438473844228096", "851438473844228096")</f>
        <v>851438473844228096</v>
      </c>
      <c r="B1983" t="s">
        <v>142</v>
      </c>
      <c r="C1983" s="3">
        <v>42835.594039351847</v>
      </c>
      <c r="D1983" s="5" t="s">
        <v>28</v>
      </c>
      <c r="E1983">
        <v>1</v>
      </c>
      <c r="F1983">
        <v>0</v>
      </c>
      <c r="G1983">
        <v>0</v>
      </c>
      <c r="I1983" t="s">
        <v>2020</v>
      </c>
      <c r="N1983">
        <v>0</v>
      </c>
      <c r="O1983">
        <v>0</v>
      </c>
      <c r="P1983">
        <v>1</v>
      </c>
      <c r="Q1983">
        <v>0</v>
      </c>
    </row>
    <row r="1984" spans="1:17" x14ac:dyDescent="0.2">
      <c r="A1984" s="1" t="str">
        <f>HYPERLINK("http://www.twitter.com/Ugo_Roux/status/850232613352595456", "850232613352595456")</f>
        <v>850232613352595456</v>
      </c>
      <c r="B1984" t="s">
        <v>285</v>
      </c>
      <c r="C1984" s="3">
        <v>42832.266504629632</v>
      </c>
      <c r="D1984" s="5" t="s">
        <v>28</v>
      </c>
      <c r="E1984">
        <v>0</v>
      </c>
      <c r="F1984">
        <v>0</v>
      </c>
      <c r="G1984">
        <v>0</v>
      </c>
      <c r="I1984" t="s">
        <v>2021</v>
      </c>
      <c r="N1984">
        <v>0</v>
      </c>
      <c r="O1984">
        <v>0</v>
      </c>
      <c r="P1984">
        <v>1</v>
      </c>
      <c r="Q1984">
        <v>0</v>
      </c>
    </row>
    <row r="1985" spans="1:17" x14ac:dyDescent="0.2">
      <c r="A1985" s="1" t="str">
        <f>HYPERLINK("http://www.twitter.com/Ugo_Roux/status/850232160002822145", "850232160002822145")</f>
        <v>850232160002822145</v>
      </c>
      <c r="B1985" t="s">
        <v>285</v>
      </c>
      <c r="C1985" s="3">
        <v>42832.26525462963</v>
      </c>
      <c r="D1985" s="5" t="s">
        <v>17</v>
      </c>
      <c r="E1985">
        <v>0</v>
      </c>
      <c r="F1985">
        <v>1</v>
      </c>
      <c r="G1985">
        <v>0</v>
      </c>
      <c r="I1985" t="s">
        <v>2022</v>
      </c>
      <c r="J1985" t="str">
        <f>HYPERLINK("http://pbs.twimg.com/media/C8yg1nBUIAEgFN1.jpg", "http://pbs.twimg.com/media/C8yg1nBUIAEgFN1.jpg")</f>
        <v>http://pbs.twimg.com/media/C8yg1nBUIAEgFN1.jpg</v>
      </c>
      <c r="K1985" t="str">
        <f>HYPERLINK("http://pbs.twimg.com/media/C8yg2y-UQAAxg3V.jpg", "http://pbs.twimg.com/media/C8yg2y-UQAAxg3V.jpg")</f>
        <v>http://pbs.twimg.com/media/C8yg2y-UQAAxg3V.jpg</v>
      </c>
      <c r="L1985" t="str">
        <f>HYPERLINK("http://pbs.twimg.com/media/C8yg4ImUIAAjz6K.jpg", "http://pbs.twimg.com/media/C8yg4ImUIAAjz6K.jpg")</f>
        <v>http://pbs.twimg.com/media/C8yg4ImUIAAjz6K.jpg</v>
      </c>
      <c r="N1985">
        <v>0</v>
      </c>
      <c r="O1985">
        <v>0</v>
      </c>
      <c r="P1985">
        <v>1</v>
      </c>
      <c r="Q1985">
        <v>0</v>
      </c>
    </row>
    <row r="1986" spans="1:17" x14ac:dyDescent="0.2">
      <c r="A1986" s="1" t="str">
        <f>HYPERLINK("http://www.twitter.com/Ugo_Roux/status/849887127345278976", "849887127345278976")</f>
        <v>849887127345278976</v>
      </c>
      <c r="B1986" t="s">
        <v>414</v>
      </c>
      <c r="C1986" s="3">
        <v>42831.313136574077</v>
      </c>
      <c r="D1986" s="5" t="s">
        <v>28</v>
      </c>
      <c r="E1986">
        <v>0</v>
      </c>
      <c r="F1986">
        <v>0</v>
      </c>
      <c r="G1986">
        <v>0</v>
      </c>
      <c r="I1986" t="s">
        <v>2023</v>
      </c>
      <c r="J1986" t="str">
        <f>HYPERLINK("http://pbs.twimg.com/media/C8tn0qTXcAA0g6Q.jpg", "http://pbs.twimg.com/media/C8tn0qTXcAA0g6Q.jpg")</f>
        <v>http://pbs.twimg.com/media/C8tn0qTXcAA0g6Q.jpg</v>
      </c>
      <c r="N1986">
        <v>0</v>
      </c>
      <c r="O1986">
        <v>0</v>
      </c>
      <c r="P1986">
        <v>1</v>
      </c>
      <c r="Q1986">
        <v>0</v>
      </c>
    </row>
    <row r="1987" spans="1:17" x14ac:dyDescent="0.2">
      <c r="A1987" s="1" t="str">
        <f>HYPERLINK("http://www.twitter.com/Ugo_Roux/status/849620275763326977", "849620275763326977")</f>
        <v>849620275763326977</v>
      </c>
      <c r="B1987" t="s">
        <v>471</v>
      </c>
      <c r="C1987" s="3">
        <v>42830.576770833337</v>
      </c>
      <c r="D1987" s="3" t="s">
        <v>28</v>
      </c>
      <c r="E1987">
        <v>0</v>
      </c>
      <c r="F1987">
        <v>0</v>
      </c>
      <c r="G1987">
        <v>0</v>
      </c>
      <c r="I1987" t="s">
        <v>2024</v>
      </c>
      <c r="J1987" t="str">
        <f>HYPERLINK("http://pbs.twimg.com/media/C8p1Hh2XYAAZSh0.jpg", "http://pbs.twimg.com/media/C8p1Hh2XYAAZSh0.jpg")</f>
        <v>http://pbs.twimg.com/media/C8p1Hh2XYAAZSh0.jpg</v>
      </c>
      <c r="N1987">
        <v>0</v>
      </c>
      <c r="O1987">
        <v>0</v>
      </c>
      <c r="P1987">
        <v>1</v>
      </c>
      <c r="Q1987">
        <v>0</v>
      </c>
    </row>
    <row r="1988" spans="1:17" x14ac:dyDescent="0.2">
      <c r="A1988" s="1" t="str">
        <f>HYPERLINK("http://www.twitter.com/Ugo_Roux/status/849538241468534784", "849538241468534784")</f>
        <v>849538241468534784</v>
      </c>
      <c r="B1988" t="s">
        <v>285</v>
      </c>
      <c r="C1988" s="3">
        <v>42830.350405092591</v>
      </c>
      <c r="D1988" s="5" t="s">
        <v>28</v>
      </c>
      <c r="E1988">
        <v>0</v>
      </c>
      <c r="F1988">
        <v>1</v>
      </c>
      <c r="G1988">
        <v>0</v>
      </c>
      <c r="I1988" t="s">
        <v>2025</v>
      </c>
      <c r="J1988" t="str">
        <f>HYPERLINK("http://pbs.twimg.com/media/C8oqhm2XsAADXTn.jpg", "http://pbs.twimg.com/media/C8oqhm2XsAADXTn.jpg")</f>
        <v>http://pbs.twimg.com/media/C8oqhm2XsAADXTn.jpg</v>
      </c>
      <c r="N1988">
        <v>0</v>
      </c>
      <c r="O1988">
        <v>0</v>
      </c>
      <c r="P1988">
        <v>1</v>
      </c>
      <c r="Q1988">
        <v>0</v>
      </c>
    </row>
    <row r="1989" spans="1:17" x14ac:dyDescent="0.2">
      <c r="A1989" s="1" t="str">
        <f>HYPERLINK("http://www.twitter.com/Ugo_Roux/status/849512086233370625", "849512086233370625")</f>
        <v>849512086233370625</v>
      </c>
      <c r="B1989" t="s">
        <v>285</v>
      </c>
      <c r="C1989" s="3">
        <v>42830.278229166674</v>
      </c>
      <c r="D1989" s="5" t="s">
        <v>28</v>
      </c>
      <c r="E1989">
        <v>0</v>
      </c>
      <c r="F1989">
        <v>0</v>
      </c>
      <c r="G1989">
        <v>0</v>
      </c>
      <c r="I1989" t="s">
        <v>2026</v>
      </c>
      <c r="J1989" t="str">
        <f>HYPERLINK("http://pbs.twimg.com/media/C8oSu4oXkAE7tS_.jpg", "http://pbs.twimg.com/media/C8oSu4oXkAE7tS_.jpg")</f>
        <v>http://pbs.twimg.com/media/C8oSu4oXkAE7tS_.jpg</v>
      </c>
      <c r="N1989">
        <v>0</v>
      </c>
      <c r="O1989">
        <v>0</v>
      </c>
      <c r="P1989">
        <v>1</v>
      </c>
      <c r="Q1989">
        <v>0</v>
      </c>
    </row>
    <row r="1990" spans="1:17" x14ac:dyDescent="0.2">
      <c r="A1990" s="1" t="str">
        <f>HYPERLINK("http://www.twitter.com/Ugo_Roux/status/848910816111939584", "848910816111939584")</f>
        <v>848910816111939584</v>
      </c>
      <c r="B1990" t="s">
        <v>142</v>
      </c>
      <c r="C1990" s="3">
        <v>42828.619039351863</v>
      </c>
      <c r="D1990" s="5" t="s">
        <v>17</v>
      </c>
      <c r="E1990">
        <v>0</v>
      </c>
      <c r="F1990">
        <v>1</v>
      </c>
      <c r="G1990">
        <v>0</v>
      </c>
      <c r="I1990" t="s">
        <v>2027</v>
      </c>
      <c r="J1990" t="str">
        <f>HYPERLINK("http://pbs.twimg.com/media/C8fv4f4XoAIsZoS.jpg", "http://pbs.twimg.com/media/C8fv4f4XoAIsZoS.jpg")</f>
        <v>http://pbs.twimg.com/media/C8fv4f4XoAIsZoS.jpg</v>
      </c>
      <c r="N1990">
        <v>0</v>
      </c>
      <c r="O1990">
        <v>0</v>
      </c>
      <c r="P1990">
        <v>1</v>
      </c>
      <c r="Q1990">
        <v>0</v>
      </c>
    </row>
    <row r="1991" spans="1:17" x14ac:dyDescent="0.2">
      <c r="A1991" s="1" t="str">
        <f>HYPERLINK("http://www.twitter.com/Ugo_Roux/status/848781827137572865", "848781827137572865")</f>
        <v>848781827137572865</v>
      </c>
      <c r="B1991" t="s">
        <v>130</v>
      </c>
      <c r="C1991" s="3">
        <v>42828.263090277767</v>
      </c>
      <c r="D1991" s="5" t="s">
        <v>17</v>
      </c>
      <c r="E1991">
        <v>0</v>
      </c>
      <c r="F1991">
        <v>0</v>
      </c>
      <c r="G1991">
        <v>0</v>
      </c>
      <c r="I1991" t="s">
        <v>2028</v>
      </c>
      <c r="N1991">
        <v>0</v>
      </c>
      <c r="O1991">
        <v>0</v>
      </c>
      <c r="P1991">
        <v>1</v>
      </c>
      <c r="Q1991">
        <v>0</v>
      </c>
    </row>
    <row r="1992" spans="1:17" x14ac:dyDescent="0.2">
      <c r="A1992" s="1" t="str">
        <f>HYPERLINK("http://www.twitter.com/Ugo_Roux/status/848463108444127232", "848463108444127232")</f>
        <v>848463108444127232</v>
      </c>
      <c r="B1992" t="s">
        <v>142</v>
      </c>
      <c r="C1992" s="3">
        <v>42827.383599537039</v>
      </c>
      <c r="D1992" s="5" t="s">
        <v>17</v>
      </c>
      <c r="E1992">
        <v>0</v>
      </c>
      <c r="F1992">
        <v>2</v>
      </c>
      <c r="G1992">
        <v>0</v>
      </c>
      <c r="I1992" t="s">
        <v>2029</v>
      </c>
      <c r="N1992">
        <v>0</v>
      </c>
      <c r="O1992">
        <v>0</v>
      </c>
      <c r="P1992">
        <v>1</v>
      </c>
      <c r="Q1992">
        <v>0</v>
      </c>
    </row>
    <row r="1993" spans="1:17" x14ac:dyDescent="0.2">
      <c r="A1993" s="1" t="str">
        <f>HYPERLINK("http://www.twitter.com/Ugo_Roux/status/848195515372187649", "848195515372187649")</f>
        <v>848195515372187649</v>
      </c>
      <c r="B1993" t="s">
        <v>142</v>
      </c>
      <c r="C1993" s="3">
        <v>42826.645185185182</v>
      </c>
      <c r="D1993" s="5" t="s">
        <v>24</v>
      </c>
      <c r="E1993">
        <v>0</v>
      </c>
      <c r="F1993">
        <v>1</v>
      </c>
      <c r="G1993">
        <v>0</v>
      </c>
      <c r="I1993" t="s">
        <v>2030</v>
      </c>
      <c r="J1993" t="str">
        <f>HYPERLINK("http://pbs.twimg.com/media/C8VlUUSXsAAm6Cd.jpg", "http://pbs.twimg.com/media/C8VlUUSXsAAm6Cd.jpg")</f>
        <v>http://pbs.twimg.com/media/C8VlUUSXsAAm6Cd.jpg</v>
      </c>
      <c r="K1993" t="str">
        <f>HYPERLINK("http://pbs.twimg.com/media/C8VlUUeXkAIJiYP.jpg", "http://pbs.twimg.com/media/C8VlUUeXkAIJiYP.jpg")</f>
        <v>http://pbs.twimg.com/media/C8VlUUeXkAIJiYP.jpg</v>
      </c>
      <c r="N1993">
        <v>0</v>
      </c>
      <c r="O1993">
        <v>0</v>
      </c>
      <c r="P1993">
        <v>1</v>
      </c>
      <c r="Q1993">
        <v>0</v>
      </c>
    </row>
    <row r="1994" spans="1:17" x14ac:dyDescent="0.2">
      <c r="A1994" s="1" t="str">
        <f>HYPERLINK("http://www.twitter.com/Ugo_Roux/status/848073991906525185", "848073991906525185")</f>
        <v>848073991906525185</v>
      </c>
      <c r="B1994" t="s">
        <v>414</v>
      </c>
      <c r="C1994" s="3">
        <v>42826.309837962966</v>
      </c>
      <c r="D1994" s="5" t="s">
        <v>28</v>
      </c>
      <c r="E1994">
        <v>0</v>
      </c>
      <c r="F1994">
        <v>0</v>
      </c>
      <c r="G1994">
        <v>0</v>
      </c>
      <c r="I1994" t="s">
        <v>2031</v>
      </c>
      <c r="N1994">
        <v>0</v>
      </c>
      <c r="O1994">
        <v>0</v>
      </c>
      <c r="P1994">
        <v>1</v>
      </c>
      <c r="Q1994">
        <v>0</v>
      </c>
    </row>
    <row r="1995" spans="1:17" x14ac:dyDescent="0.2">
      <c r="A1995" s="1" t="str">
        <f>HYPERLINK("http://www.twitter.com/Ugo_Roux/status/847479155755069440", "847479155755069440")</f>
        <v>847479155755069440</v>
      </c>
      <c r="B1995" t="s">
        <v>47</v>
      </c>
      <c r="C1995" s="3">
        <v>42824.668402777781</v>
      </c>
      <c r="D1995" s="5" t="s">
        <v>41</v>
      </c>
      <c r="E1995">
        <v>2</v>
      </c>
      <c r="F1995">
        <v>0</v>
      </c>
      <c r="G1995">
        <v>0</v>
      </c>
      <c r="I1995" t="s">
        <v>2032</v>
      </c>
      <c r="J1995" t="str">
        <f>HYPERLINK("http://pbs.twimg.com/media/C8LZbpoVYAEfsBJ.jpg", "http://pbs.twimg.com/media/C8LZbpoVYAEfsBJ.jpg")</f>
        <v>http://pbs.twimg.com/media/C8LZbpoVYAEfsBJ.jpg</v>
      </c>
      <c r="N1995">
        <v>0</v>
      </c>
      <c r="O1995">
        <v>0</v>
      </c>
      <c r="P1995">
        <v>1</v>
      </c>
      <c r="Q1995">
        <v>0</v>
      </c>
    </row>
    <row r="1996" spans="1:17" x14ac:dyDescent="0.2">
      <c r="A1996" s="1" t="str">
        <f>HYPERLINK("http://www.twitter.com/Ugo_Roux/status/847417662351200257", "847417662351200257")</f>
        <v>847417662351200257</v>
      </c>
      <c r="B1996" t="s">
        <v>130</v>
      </c>
      <c r="C1996" s="3">
        <v>42824.498715277783</v>
      </c>
      <c r="D1996" s="5" t="s">
        <v>24</v>
      </c>
      <c r="E1996">
        <v>0</v>
      </c>
      <c r="F1996">
        <v>0</v>
      </c>
      <c r="G1996">
        <v>0</v>
      </c>
      <c r="I1996" t="s">
        <v>2033</v>
      </c>
      <c r="N1996">
        <v>0</v>
      </c>
      <c r="O1996">
        <v>0</v>
      </c>
      <c r="P1996">
        <v>1</v>
      </c>
      <c r="Q1996">
        <v>0</v>
      </c>
    </row>
    <row r="1997" spans="1:17" x14ac:dyDescent="0.2">
      <c r="A1997" s="1" t="str">
        <f>HYPERLINK("http://www.twitter.com/Ugo_Roux/status/847341939468808193", "847341939468808193")</f>
        <v>847341939468808193</v>
      </c>
      <c r="B1997" t="s">
        <v>16</v>
      </c>
      <c r="C1997" s="3">
        <v>42824.289756944447</v>
      </c>
      <c r="D1997" s="3" t="s">
        <v>24</v>
      </c>
      <c r="E1997">
        <v>7</v>
      </c>
      <c r="F1997">
        <v>1</v>
      </c>
      <c r="G1997">
        <v>0</v>
      </c>
      <c r="I1997" t="s">
        <v>2034</v>
      </c>
      <c r="J1997" t="str">
        <f>HYPERLINK("http://pbs.twimg.com/media/C8JcwtSVYAAZxD3.jpg", "http://pbs.twimg.com/media/C8JcwtSVYAAZxD3.jpg")</f>
        <v>http://pbs.twimg.com/media/C8JcwtSVYAAZxD3.jpg</v>
      </c>
      <c r="N1997">
        <v>-0.20030000000000001</v>
      </c>
      <c r="O1997">
        <v>7.4999999999999997E-2</v>
      </c>
      <c r="P1997">
        <v>0.92500000000000004</v>
      </c>
      <c r="Q1997">
        <v>0</v>
      </c>
    </row>
    <row r="1998" spans="1:17" x14ac:dyDescent="0.2">
      <c r="A1998" s="1" t="str">
        <f>HYPERLINK("http://www.twitter.com/Ugo_Roux/status/847118413650690050", "847118413650690050")</f>
        <v>847118413650690050</v>
      </c>
      <c r="B1998" t="s">
        <v>370</v>
      </c>
      <c r="C1998" s="3">
        <v>42823.672951388893</v>
      </c>
      <c r="D1998" s="5" t="s">
        <v>28</v>
      </c>
      <c r="E1998">
        <v>0</v>
      </c>
      <c r="F1998">
        <v>0</v>
      </c>
      <c r="G1998">
        <v>0</v>
      </c>
      <c r="I1998" t="s">
        <v>2035</v>
      </c>
      <c r="J1998" t="str">
        <f>HYPERLINK("http://pbs.twimg.com/media/C8GRtMbUwAANioD.jpg", "http://pbs.twimg.com/media/C8GRtMbUwAANioD.jpg")</f>
        <v>http://pbs.twimg.com/media/C8GRtMbUwAANioD.jpg</v>
      </c>
      <c r="N1998">
        <v>0</v>
      </c>
      <c r="O1998">
        <v>0</v>
      </c>
      <c r="P1998">
        <v>1</v>
      </c>
      <c r="Q1998">
        <v>0</v>
      </c>
    </row>
    <row r="1999" spans="1:17" x14ac:dyDescent="0.2">
      <c r="A1999" s="1" t="str">
        <f>HYPERLINK("http://www.twitter.com/Ugo_Roux/status/847115616490262529", "847115616490262529")</f>
        <v>847115616490262529</v>
      </c>
      <c r="B1999" t="s">
        <v>370</v>
      </c>
      <c r="C1999" s="3">
        <v>42823.665231481478</v>
      </c>
      <c r="D1999" s="5" t="s">
        <v>28</v>
      </c>
      <c r="E1999">
        <v>0</v>
      </c>
      <c r="F1999">
        <v>0</v>
      </c>
      <c r="G1999">
        <v>0</v>
      </c>
      <c r="I1999" t="s">
        <v>2036</v>
      </c>
      <c r="J1999" t="str">
        <f>HYPERLINK("http://pbs.twimg.com/media/C8GPKbIUwAEmCNe.jpg", "http://pbs.twimg.com/media/C8GPKbIUwAEmCNe.jpg")</f>
        <v>http://pbs.twimg.com/media/C8GPKbIUwAEmCNe.jpg</v>
      </c>
      <c r="N1999">
        <v>0</v>
      </c>
      <c r="O1999">
        <v>0</v>
      </c>
      <c r="P1999">
        <v>1</v>
      </c>
      <c r="Q1999">
        <v>0</v>
      </c>
    </row>
    <row r="2000" spans="1:17" x14ac:dyDescent="0.2">
      <c r="A2000" s="1" t="str">
        <f>HYPERLINK("http://www.twitter.com/Ugo_Roux/status/847102479384883200", "847102479384883200")</f>
        <v>847102479384883200</v>
      </c>
      <c r="B2000" t="s">
        <v>370</v>
      </c>
      <c r="C2000" s="3">
        <v>42823.628981481481</v>
      </c>
      <c r="D2000" s="5" t="s">
        <v>28</v>
      </c>
      <c r="E2000">
        <v>0</v>
      </c>
      <c r="F2000">
        <v>0</v>
      </c>
      <c r="G2000">
        <v>0</v>
      </c>
      <c r="I2000" t="s">
        <v>2037</v>
      </c>
      <c r="J2000" t="str">
        <f>HYPERLINK("http://pbs.twimg.com/media/C8GDNukUwAA5MAd.jpg", "http://pbs.twimg.com/media/C8GDNukUwAA5MAd.jpg")</f>
        <v>http://pbs.twimg.com/media/C8GDNukUwAA5MAd.jpg</v>
      </c>
      <c r="N2000">
        <v>0</v>
      </c>
      <c r="O2000">
        <v>0</v>
      </c>
      <c r="P2000">
        <v>1</v>
      </c>
      <c r="Q2000">
        <v>0</v>
      </c>
    </row>
    <row r="2001" spans="1:17" x14ac:dyDescent="0.2">
      <c r="A2001" s="1" t="str">
        <f>HYPERLINK("http://www.twitter.com/Ugo_Roux/status/847093375929061376", "847093375929061376")</f>
        <v>847093375929061376</v>
      </c>
      <c r="B2001" t="s">
        <v>370</v>
      </c>
      <c r="C2001" s="3">
        <v>42823.603854166657</v>
      </c>
      <c r="D2001" s="5" t="s">
        <v>28</v>
      </c>
      <c r="E2001">
        <v>0</v>
      </c>
      <c r="F2001">
        <v>0</v>
      </c>
      <c r="G2001">
        <v>0</v>
      </c>
      <c r="I2001" t="s">
        <v>2038</v>
      </c>
      <c r="J2001" t="str">
        <f>HYPERLINK("http://pbs.twimg.com/media/C8F672QU8AADxjN.jpg", "http://pbs.twimg.com/media/C8F672QU8AADxjN.jpg")</f>
        <v>http://pbs.twimg.com/media/C8F672QU8AADxjN.jpg</v>
      </c>
      <c r="N2001">
        <v>0</v>
      </c>
      <c r="O2001">
        <v>0</v>
      </c>
      <c r="P2001">
        <v>1</v>
      </c>
      <c r="Q2001">
        <v>0</v>
      </c>
    </row>
    <row r="2002" spans="1:17" x14ac:dyDescent="0.2">
      <c r="A2002" s="1" t="str">
        <f>HYPERLINK("http://www.twitter.com/Ugo_Roux/status/846740142689800192", "846740142689800192")</f>
        <v>846740142689800192</v>
      </c>
      <c r="B2002" t="s">
        <v>47</v>
      </c>
      <c r="C2002" s="3">
        <v>42822.629120370373</v>
      </c>
      <c r="D2002" s="5" t="s">
        <v>24</v>
      </c>
      <c r="E2002">
        <v>2</v>
      </c>
      <c r="F2002">
        <v>0</v>
      </c>
      <c r="G2002">
        <v>0</v>
      </c>
      <c r="I2002" t="s">
        <v>2039</v>
      </c>
      <c r="N2002">
        <v>0.22439999999999999</v>
      </c>
      <c r="O2002">
        <v>0</v>
      </c>
      <c r="P2002">
        <v>0.82599999999999996</v>
      </c>
      <c r="Q2002">
        <v>0.17399999999999999</v>
      </c>
    </row>
    <row r="2003" spans="1:17" x14ac:dyDescent="0.2">
      <c r="A2003" s="1" t="str">
        <f>HYPERLINK("http://www.twitter.com/Ugo_Roux/status/846708258425458688", "846708258425458688")</f>
        <v>846708258425458688</v>
      </c>
      <c r="B2003" t="s">
        <v>471</v>
      </c>
      <c r="C2003" s="3">
        <v>42822.541134259263</v>
      </c>
      <c r="D2003" s="3" t="s">
        <v>28</v>
      </c>
      <c r="E2003">
        <v>0</v>
      </c>
      <c r="F2003">
        <v>0</v>
      </c>
      <c r="G2003">
        <v>0</v>
      </c>
      <c r="I2003" t="s">
        <v>2040</v>
      </c>
      <c r="J2003" t="str">
        <f>HYPERLINK("http://pbs.twimg.com/media/C8AcjV3W4AYUrVA.jpg", "http://pbs.twimg.com/media/C8AcjV3W4AYUrVA.jpg")</f>
        <v>http://pbs.twimg.com/media/C8AcjV3W4AYUrVA.jpg</v>
      </c>
      <c r="K2003" t="str">
        <f>HYPERLINK("http://pbs.twimg.com/media/C8AcmQFXwAArL0h.jpg", "http://pbs.twimg.com/media/C8AcmQFXwAArL0h.jpg")</f>
        <v>http://pbs.twimg.com/media/C8AcmQFXwAArL0h.jpg</v>
      </c>
      <c r="L2003" t="str">
        <f>HYPERLINK("http://pbs.twimg.com/media/C8AcoRNW4AA_-QS.jpg", "http://pbs.twimg.com/media/C8AcoRNW4AA_-QS.jpg")</f>
        <v>http://pbs.twimg.com/media/C8AcoRNW4AA_-QS.jpg</v>
      </c>
      <c r="N2003">
        <v>0</v>
      </c>
      <c r="O2003">
        <v>0</v>
      </c>
      <c r="P2003">
        <v>1</v>
      </c>
      <c r="Q2003">
        <v>0</v>
      </c>
    </row>
    <row r="2004" spans="1:17" x14ac:dyDescent="0.2">
      <c r="A2004" s="1" t="str">
        <f>HYPERLINK("http://www.twitter.com/Ugo_Roux/status/846686281396576256", "846686281396576256")</f>
        <v>846686281396576256</v>
      </c>
      <c r="B2004" t="s">
        <v>285</v>
      </c>
      <c r="C2004" s="3">
        <v>42822.480486111112</v>
      </c>
      <c r="D2004" s="5" t="s">
        <v>515</v>
      </c>
      <c r="E2004">
        <v>1</v>
      </c>
      <c r="F2004">
        <v>0</v>
      </c>
      <c r="G2004">
        <v>0</v>
      </c>
      <c r="I2004" t="s">
        <v>2041</v>
      </c>
      <c r="N2004">
        <v>0</v>
      </c>
      <c r="O2004">
        <v>0</v>
      </c>
      <c r="P2004">
        <v>1</v>
      </c>
      <c r="Q2004">
        <v>0</v>
      </c>
    </row>
    <row r="2005" spans="1:17" x14ac:dyDescent="0.2">
      <c r="A2005" s="1" t="str">
        <f>HYPERLINK("http://www.twitter.com/Ugo_Roux/status/846610436632068096", "846610436632068096")</f>
        <v>846610436632068096</v>
      </c>
      <c r="B2005" t="s">
        <v>285</v>
      </c>
      <c r="C2005" s="3">
        <v>42822.271203703713</v>
      </c>
      <c r="D2005" s="5" t="s">
        <v>17</v>
      </c>
      <c r="E2005">
        <v>1</v>
      </c>
      <c r="F2005">
        <v>0</v>
      </c>
      <c r="G2005">
        <v>0</v>
      </c>
      <c r="I2005" t="s">
        <v>2042</v>
      </c>
      <c r="J2005" t="str">
        <f>HYPERLINK("http://pbs.twimg.com/media/C7_DrWtXQAAvKgC.jpg", "http://pbs.twimg.com/media/C7_DrWtXQAAvKgC.jpg")</f>
        <v>http://pbs.twimg.com/media/C7_DrWtXQAAvKgC.jpg</v>
      </c>
      <c r="N2005">
        <v>0</v>
      </c>
      <c r="O2005">
        <v>0</v>
      </c>
      <c r="P2005">
        <v>1</v>
      </c>
      <c r="Q2005">
        <v>0</v>
      </c>
    </row>
    <row r="2006" spans="1:17" x14ac:dyDescent="0.2">
      <c r="A2006" s="1" t="str">
        <f>HYPERLINK("http://www.twitter.com/Ugo_Roux/status/845236525646446592", "845236525646446592")</f>
        <v>845236525646446592</v>
      </c>
      <c r="B2006" t="s">
        <v>370</v>
      </c>
      <c r="C2006" s="3">
        <v>42818.479930555557</v>
      </c>
      <c r="D2006" s="5" t="s">
        <v>17</v>
      </c>
      <c r="E2006">
        <v>0</v>
      </c>
      <c r="F2006">
        <v>0</v>
      </c>
      <c r="G2006">
        <v>0</v>
      </c>
      <c r="I2006" t="s">
        <v>2043</v>
      </c>
      <c r="J2006" t="str">
        <f>HYPERLINK("http://pbs.twimg.com/media/C7riI8IVsAET3dI.jpg", "http://pbs.twimg.com/media/C7riI8IVsAET3dI.jpg")</f>
        <v>http://pbs.twimg.com/media/C7riI8IVsAET3dI.jpg</v>
      </c>
      <c r="N2006">
        <v>0</v>
      </c>
      <c r="O2006">
        <v>0</v>
      </c>
      <c r="P2006">
        <v>1</v>
      </c>
      <c r="Q2006">
        <v>0</v>
      </c>
    </row>
    <row r="2007" spans="1:17" x14ac:dyDescent="0.2">
      <c r="A2007" s="1" t="str">
        <f>HYPERLINK("http://www.twitter.com/Ugo_Roux/status/844897297100144643", "844897297100144643")</f>
        <v>844897297100144643</v>
      </c>
      <c r="B2007" t="s">
        <v>471</v>
      </c>
      <c r="C2007" s="3">
        <v>42817.54383101852</v>
      </c>
      <c r="D2007" s="3" t="s">
        <v>28</v>
      </c>
      <c r="E2007">
        <v>0</v>
      </c>
      <c r="F2007">
        <v>1</v>
      </c>
      <c r="G2007">
        <v>0</v>
      </c>
      <c r="I2007" t="s">
        <v>2044</v>
      </c>
      <c r="J2007" t="str">
        <f>HYPERLINK("http://pbs.twimg.com/media/C7mtY8lX0AAMh-I.jpg", "http://pbs.twimg.com/media/C7mtY8lX0AAMh-I.jpg")</f>
        <v>http://pbs.twimg.com/media/C7mtY8lX0AAMh-I.jpg</v>
      </c>
      <c r="N2007">
        <v>0</v>
      </c>
      <c r="O2007">
        <v>0</v>
      </c>
      <c r="P2007">
        <v>1</v>
      </c>
      <c r="Q2007">
        <v>0</v>
      </c>
    </row>
    <row r="2008" spans="1:17" x14ac:dyDescent="0.2">
      <c r="A2008" s="1" t="str">
        <f>HYPERLINK("http://www.twitter.com/Ugo_Roux/status/844569732535795712", "844569732535795712")</f>
        <v>844569732535795712</v>
      </c>
      <c r="B2008" t="s">
        <v>16</v>
      </c>
      <c r="C2008" s="3">
        <v>42816.639930555553</v>
      </c>
      <c r="D2008" s="3" t="s">
        <v>28</v>
      </c>
      <c r="E2008">
        <v>0</v>
      </c>
      <c r="F2008">
        <v>1</v>
      </c>
      <c r="G2008">
        <v>0</v>
      </c>
      <c r="I2008" t="s">
        <v>2045</v>
      </c>
      <c r="N2008">
        <v>-0.45879999999999999</v>
      </c>
      <c r="O2008">
        <v>0.24199999999999999</v>
      </c>
      <c r="P2008">
        <v>0.61899999999999999</v>
      </c>
      <c r="Q2008">
        <v>0.13900000000000001</v>
      </c>
    </row>
    <row r="2009" spans="1:17" x14ac:dyDescent="0.2">
      <c r="A2009" s="1" t="str">
        <f>HYPERLINK("http://www.twitter.com/Ugo_Roux/status/844563806604988416", "844563806604988416")</f>
        <v>844563806604988416</v>
      </c>
      <c r="B2009" t="s">
        <v>370</v>
      </c>
      <c r="C2009" s="3">
        <v>42816.623576388891</v>
      </c>
      <c r="D2009" s="3" t="s">
        <v>41</v>
      </c>
      <c r="E2009">
        <v>0</v>
      </c>
      <c r="F2009">
        <v>0</v>
      </c>
      <c r="G2009">
        <v>0</v>
      </c>
      <c r="I2009" t="s">
        <v>2046</v>
      </c>
      <c r="N2009">
        <v>0</v>
      </c>
      <c r="O2009">
        <v>0</v>
      </c>
      <c r="P2009">
        <v>1</v>
      </c>
      <c r="Q2009">
        <v>0</v>
      </c>
    </row>
    <row r="2010" spans="1:17" x14ac:dyDescent="0.2">
      <c r="A2010" s="1" t="str">
        <f>HYPERLINK("http://www.twitter.com/Ugo_Roux/status/844485163958616064", "844485163958616064")</f>
        <v>844485163958616064</v>
      </c>
      <c r="B2010" t="s">
        <v>285</v>
      </c>
      <c r="C2010" s="3">
        <v>42816.4065625</v>
      </c>
      <c r="D2010" s="5" t="s">
        <v>28</v>
      </c>
      <c r="E2010">
        <v>0</v>
      </c>
      <c r="F2010">
        <v>0</v>
      </c>
      <c r="G2010">
        <v>0</v>
      </c>
      <c r="I2010" t="s">
        <v>2047</v>
      </c>
      <c r="N2010">
        <v>0</v>
      </c>
      <c r="O2010">
        <v>0</v>
      </c>
      <c r="P2010">
        <v>1</v>
      </c>
      <c r="Q2010">
        <v>0</v>
      </c>
    </row>
    <row r="2011" spans="1:17" x14ac:dyDescent="0.2">
      <c r="A2011" s="1" t="str">
        <f>HYPERLINK("http://www.twitter.com/Ugo_Roux/status/844095185697079296", "844095185697079296")</f>
        <v>844095185697079296</v>
      </c>
      <c r="B2011" t="s">
        <v>285</v>
      </c>
      <c r="C2011" s="3">
        <v>42815.330428240741</v>
      </c>
      <c r="D2011" s="5" t="s">
        <v>17</v>
      </c>
      <c r="E2011">
        <v>0</v>
      </c>
      <c r="F2011">
        <v>0</v>
      </c>
      <c r="G2011">
        <v>0</v>
      </c>
      <c r="I2011" t="s">
        <v>2048</v>
      </c>
      <c r="J2011" t="str">
        <f>HYPERLINK("http://pbs.twimg.com/media/C7bT89GW4AE0PpT.jpg", "http://pbs.twimg.com/media/C7bT89GW4AE0PpT.jpg")</f>
        <v>http://pbs.twimg.com/media/C7bT89GW4AE0PpT.jpg</v>
      </c>
      <c r="N2011">
        <v>-0.128</v>
      </c>
      <c r="O2011">
        <v>7.0000000000000007E-2</v>
      </c>
      <c r="P2011">
        <v>0.93</v>
      </c>
      <c r="Q2011">
        <v>0</v>
      </c>
    </row>
    <row r="2012" spans="1:17" x14ac:dyDescent="0.2">
      <c r="A2012" s="1" t="str">
        <f>HYPERLINK("http://www.twitter.com/Ugo_Roux/status/842998811542851585", "842998811542851585")</f>
        <v>842998811542851585</v>
      </c>
      <c r="B2012" t="s">
        <v>142</v>
      </c>
      <c r="C2012" s="3">
        <v>42812.305011574077</v>
      </c>
      <c r="D2012" s="5" t="s">
        <v>28</v>
      </c>
      <c r="E2012">
        <v>0</v>
      </c>
      <c r="F2012">
        <v>4</v>
      </c>
      <c r="G2012">
        <v>0</v>
      </c>
      <c r="I2012" t="s">
        <v>2049</v>
      </c>
      <c r="N2012">
        <v>0</v>
      </c>
      <c r="O2012">
        <v>0</v>
      </c>
      <c r="P2012">
        <v>1</v>
      </c>
      <c r="Q2012">
        <v>0</v>
      </c>
    </row>
    <row r="2013" spans="1:17" x14ac:dyDescent="0.2">
      <c r="A2013" s="1" t="str">
        <f>HYPERLINK("http://www.twitter.com/Ugo_Roux/status/842761162165014528", "842761162165014528")</f>
        <v>842761162165014528</v>
      </c>
      <c r="B2013" t="s">
        <v>414</v>
      </c>
      <c r="C2013" s="3">
        <v>42811.649224537039</v>
      </c>
      <c r="D2013" s="5" t="s">
        <v>28</v>
      </c>
      <c r="E2013">
        <v>2</v>
      </c>
      <c r="F2013">
        <v>1</v>
      </c>
      <c r="G2013">
        <v>0</v>
      </c>
      <c r="I2013" t="s">
        <v>2050</v>
      </c>
      <c r="J2013" t="str">
        <f>HYPERLINK("http://pbs.twimg.com/media/C7IWbbxX0AEKwbo.jpg", "http://pbs.twimg.com/media/C7IWbbxX0AEKwbo.jpg")</f>
        <v>http://pbs.twimg.com/media/C7IWbbxX0AEKwbo.jpg</v>
      </c>
      <c r="N2013">
        <v>0</v>
      </c>
      <c r="O2013">
        <v>0</v>
      </c>
      <c r="P2013">
        <v>1</v>
      </c>
      <c r="Q2013">
        <v>0</v>
      </c>
    </row>
    <row r="2014" spans="1:17" x14ac:dyDescent="0.2">
      <c r="A2014" s="1" t="str">
        <f>HYPERLINK("http://www.twitter.com/Ugo_Roux/status/842703310993874944", "842703310993874944")</f>
        <v>842703310993874944</v>
      </c>
      <c r="B2014" t="s">
        <v>16</v>
      </c>
      <c r="C2014" s="3">
        <v>42811.489583333343</v>
      </c>
      <c r="D2014" s="3" t="s">
        <v>28</v>
      </c>
      <c r="E2014">
        <v>4</v>
      </c>
      <c r="F2014">
        <v>4</v>
      </c>
      <c r="G2014">
        <v>0</v>
      </c>
      <c r="I2014" t="s">
        <v>2051</v>
      </c>
      <c r="J2014" t="str">
        <f>HYPERLINK("http://pbs.twimg.com/media/C7HFULNWwAAJsSn.jpg", "http://pbs.twimg.com/media/C7HFULNWwAAJsSn.jpg")</f>
        <v>http://pbs.twimg.com/media/C7HFULNWwAAJsSn.jpg</v>
      </c>
      <c r="N2014">
        <v>0.54110000000000003</v>
      </c>
      <c r="O2014">
        <v>0</v>
      </c>
      <c r="P2014">
        <v>0.85099999999999998</v>
      </c>
      <c r="Q2014">
        <v>0.14899999999999999</v>
      </c>
    </row>
    <row r="2015" spans="1:17" x14ac:dyDescent="0.2">
      <c r="A2015" s="1" t="str">
        <f>HYPERLINK("http://www.twitter.com/Ugo_Roux/status/842673773052682240", "842673773052682240")</f>
        <v>842673773052682240</v>
      </c>
      <c r="B2015" t="s">
        <v>47</v>
      </c>
      <c r="C2015" s="3">
        <v>42811.408078703702</v>
      </c>
      <c r="D2015" s="3" t="s">
        <v>41</v>
      </c>
      <c r="E2015">
        <v>1</v>
      </c>
      <c r="F2015">
        <v>1</v>
      </c>
      <c r="G2015">
        <v>0</v>
      </c>
      <c r="I2015" t="s">
        <v>2052</v>
      </c>
      <c r="J2015" t="str">
        <f>HYPERLINK("http://pbs.twimg.com/media/C7HGl7DXwAArP8V.jpg", "http://pbs.twimg.com/media/C7HGl7DXwAArP8V.jpg")</f>
        <v>http://pbs.twimg.com/media/C7HGl7DXwAArP8V.jpg</v>
      </c>
      <c r="N2015">
        <v>0.43890000000000001</v>
      </c>
      <c r="O2015">
        <v>0</v>
      </c>
      <c r="P2015">
        <v>0.82199999999999995</v>
      </c>
      <c r="Q2015">
        <v>0.17799999999999999</v>
      </c>
    </row>
    <row r="2016" spans="1:17" x14ac:dyDescent="0.2">
      <c r="A2016" s="1" t="str">
        <f>HYPERLINK("http://www.twitter.com/Ugo_Roux/status/842123828083974150", "842123828083974150")</f>
        <v>842123828083974150</v>
      </c>
      <c r="B2016" t="s">
        <v>142</v>
      </c>
      <c r="C2016" s="3">
        <v>42809.890520833331</v>
      </c>
      <c r="D2016" s="5" t="s">
        <v>41</v>
      </c>
      <c r="E2016">
        <v>1</v>
      </c>
      <c r="F2016">
        <v>0</v>
      </c>
      <c r="G2016">
        <v>1</v>
      </c>
      <c r="I2016" t="s">
        <v>2053</v>
      </c>
      <c r="N2016">
        <v>0</v>
      </c>
      <c r="O2016">
        <v>0</v>
      </c>
      <c r="P2016">
        <v>1</v>
      </c>
      <c r="Q2016">
        <v>0</v>
      </c>
    </row>
    <row r="2017" spans="1:17" x14ac:dyDescent="0.2">
      <c r="A2017" s="1" t="str">
        <f>HYPERLINK("http://www.twitter.com/Ugo_Roux/status/841996941588332545", "841996941588332545")</f>
        <v>841996941588332545</v>
      </c>
      <c r="B2017" t="s">
        <v>16</v>
      </c>
      <c r="C2017" s="3">
        <v>42809.540381944447</v>
      </c>
      <c r="D2017" s="3" t="s">
        <v>17</v>
      </c>
      <c r="E2017">
        <v>1</v>
      </c>
      <c r="F2017">
        <v>0</v>
      </c>
      <c r="G2017">
        <v>0</v>
      </c>
      <c r="I2017" t="s">
        <v>2054</v>
      </c>
      <c r="N2017">
        <v>0</v>
      </c>
      <c r="O2017">
        <v>0</v>
      </c>
      <c r="P2017">
        <v>1</v>
      </c>
      <c r="Q2017">
        <v>0</v>
      </c>
    </row>
    <row r="2018" spans="1:17" x14ac:dyDescent="0.2">
      <c r="A2018" s="1" t="str">
        <f>HYPERLINK("http://www.twitter.com/Ugo_Roux/status/841648561481752576", "841648561481752576")</f>
        <v>841648561481752576</v>
      </c>
      <c r="B2018" t="s">
        <v>285</v>
      </c>
      <c r="C2018" s="3">
        <v>42808.579027777778</v>
      </c>
      <c r="D2018" s="5" t="s">
        <v>28</v>
      </c>
      <c r="E2018">
        <v>0</v>
      </c>
      <c r="F2018">
        <v>1</v>
      </c>
      <c r="G2018">
        <v>0</v>
      </c>
      <c r="I2018" t="s">
        <v>2055</v>
      </c>
      <c r="J2018" t="str">
        <f>HYPERLINK("http://pbs.twimg.com/media/C64iw-bWsAASg2_.jpg", "http://pbs.twimg.com/media/C64iw-bWsAASg2_.jpg")</f>
        <v>http://pbs.twimg.com/media/C64iw-bWsAASg2_.jpg</v>
      </c>
      <c r="N2018">
        <v>0</v>
      </c>
      <c r="O2018">
        <v>0</v>
      </c>
      <c r="P2018">
        <v>1</v>
      </c>
      <c r="Q2018">
        <v>0</v>
      </c>
    </row>
    <row r="2019" spans="1:17" x14ac:dyDescent="0.2">
      <c r="A2019" s="1" t="str">
        <f>HYPERLINK("http://www.twitter.com/Ugo_Roux/status/841177841433739264", "841177841433739264")</f>
        <v>841177841433739264</v>
      </c>
      <c r="B2019" t="s">
        <v>142</v>
      </c>
      <c r="C2019" s="3">
        <v>42807.280092592591</v>
      </c>
      <c r="D2019" s="5" t="s">
        <v>28</v>
      </c>
      <c r="E2019">
        <v>3</v>
      </c>
      <c r="F2019">
        <v>0</v>
      </c>
      <c r="G2019">
        <v>0</v>
      </c>
      <c r="I2019" t="s">
        <v>2056</v>
      </c>
      <c r="N2019">
        <v>0</v>
      </c>
      <c r="O2019">
        <v>0</v>
      </c>
      <c r="P2019">
        <v>1</v>
      </c>
      <c r="Q2019">
        <v>0</v>
      </c>
    </row>
    <row r="2020" spans="1:17" x14ac:dyDescent="0.2">
      <c r="A2020" s="1" t="str">
        <f>HYPERLINK("http://www.twitter.com/Ugo_Roux/status/840552491095842817", "840552491095842817")</f>
        <v>840552491095842817</v>
      </c>
      <c r="B2020" t="s">
        <v>130</v>
      </c>
      <c r="C2020" s="3">
        <v>42805.554456018523</v>
      </c>
      <c r="D2020" s="5" t="s">
        <v>41</v>
      </c>
      <c r="E2020">
        <v>0</v>
      </c>
      <c r="F2020">
        <v>0</v>
      </c>
      <c r="G2020">
        <v>0</v>
      </c>
      <c r="I2020" t="s">
        <v>2057</v>
      </c>
      <c r="N2020">
        <v>0.49390000000000001</v>
      </c>
      <c r="O2020">
        <v>0</v>
      </c>
      <c r="P2020">
        <v>0.86199999999999999</v>
      </c>
      <c r="Q2020">
        <v>0.13800000000000001</v>
      </c>
    </row>
    <row r="2021" spans="1:17" x14ac:dyDescent="0.2">
      <c r="A2021" s="1" t="str">
        <f>HYPERLINK("http://www.twitter.com/Ugo_Roux/status/840551360781246464", "840551360781246464")</f>
        <v>840551360781246464</v>
      </c>
      <c r="B2021" t="s">
        <v>16</v>
      </c>
      <c r="C2021" s="3">
        <v>42805.55133101852</v>
      </c>
      <c r="D2021" s="3" t="s">
        <v>28</v>
      </c>
      <c r="E2021">
        <v>0</v>
      </c>
      <c r="F2021">
        <v>0</v>
      </c>
      <c r="G2021">
        <v>0</v>
      </c>
      <c r="I2021" t="s">
        <v>2058</v>
      </c>
      <c r="N2021">
        <v>0</v>
      </c>
      <c r="O2021">
        <v>0</v>
      </c>
      <c r="P2021">
        <v>1</v>
      </c>
      <c r="Q2021">
        <v>0</v>
      </c>
    </row>
    <row r="2022" spans="1:17" x14ac:dyDescent="0.2">
      <c r="A2022" s="1" t="str">
        <f>HYPERLINK("http://www.twitter.com/Ugo_Roux/status/840108301517901824", "840108301517901824")</f>
        <v>840108301517901824</v>
      </c>
      <c r="B2022" t="s">
        <v>285</v>
      </c>
      <c r="C2022" s="3">
        <v>42804.328726851847</v>
      </c>
      <c r="D2022" s="5" t="s">
        <v>17</v>
      </c>
      <c r="E2022">
        <v>1</v>
      </c>
      <c r="F2022">
        <v>0</v>
      </c>
      <c r="G2022">
        <v>0</v>
      </c>
      <c r="I2022" t="s">
        <v>2059</v>
      </c>
      <c r="J2022" t="str">
        <f>HYPERLINK("http://pbs.twimg.com/media/C6ipGePV4AAmQge.jpg", "http://pbs.twimg.com/media/C6ipGePV4AAmQge.jpg")</f>
        <v>http://pbs.twimg.com/media/C6ipGePV4AAmQge.jpg</v>
      </c>
      <c r="K2022" t="str">
        <f>HYPERLINK("http://pbs.twimg.com/media/C6ipHzQU4AQcZSC.jpg", "http://pbs.twimg.com/media/C6ipHzQU4AQcZSC.jpg")</f>
        <v>http://pbs.twimg.com/media/C6ipHzQU4AQcZSC.jpg</v>
      </c>
      <c r="L2022" t="str">
        <f>HYPERLINK("http://pbs.twimg.com/media/C6ipJNWVsAEPWO6.jpg", "http://pbs.twimg.com/media/C6ipJNWVsAEPWO6.jpg")</f>
        <v>http://pbs.twimg.com/media/C6ipJNWVsAEPWO6.jpg</v>
      </c>
      <c r="N2022">
        <v>0</v>
      </c>
      <c r="O2022">
        <v>0</v>
      </c>
      <c r="P2022">
        <v>1</v>
      </c>
      <c r="Q2022">
        <v>0</v>
      </c>
    </row>
    <row r="2023" spans="1:17" x14ac:dyDescent="0.2">
      <c r="A2023" s="1" t="str">
        <f>HYPERLINK("http://www.twitter.com/Ugo_Roux/status/839446522513195008", "839446522513195008")</f>
        <v>839446522513195008</v>
      </c>
      <c r="B2023" t="s">
        <v>16</v>
      </c>
      <c r="C2023" s="3">
        <v>42802.502557870372</v>
      </c>
      <c r="D2023" s="3" t="s">
        <v>17</v>
      </c>
      <c r="E2023">
        <v>0</v>
      </c>
      <c r="F2023">
        <v>0</v>
      </c>
      <c r="G2023">
        <v>0</v>
      </c>
      <c r="I2023" t="s">
        <v>2060</v>
      </c>
      <c r="N2023">
        <v>0</v>
      </c>
      <c r="O2023">
        <v>0</v>
      </c>
      <c r="P2023">
        <v>1</v>
      </c>
      <c r="Q2023">
        <v>0</v>
      </c>
    </row>
    <row r="2024" spans="1:17" x14ac:dyDescent="0.2">
      <c r="A2024" s="1" t="str">
        <f>HYPERLINK("http://www.twitter.com/Ugo_Roux/status/839040186550005760", "839040186550005760")</f>
        <v>839040186550005760</v>
      </c>
      <c r="B2024" t="s">
        <v>414</v>
      </c>
      <c r="C2024" s="3">
        <v>42801.381284722222</v>
      </c>
      <c r="D2024" s="5" t="s">
        <v>28</v>
      </c>
      <c r="E2024">
        <v>1</v>
      </c>
      <c r="F2024">
        <v>0</v>
      </c>
      <c r="G2024">
        <v>0</v>
      </c>
      <c r="I2024" t="s">
        <v>2061</v>
      </c>
      <c r="J2024" t="str">
        <f>HYPERLINK("http://pbs.twimg.com/media/C6Tei7mWQAEDSrg.jpg", "http://pbs.twimg.com/media/C6Tei7mWQAEDSrg.jpg")</f>
        <v>http://pbs.twimg.com/media/C6Tei7mWQAEDSrg.jpg</v>
      </c>
      <c r="N2024">
        <v>0</v>
      </c>
      <c r="O2024">
        <v>0</v>
      </c>
      <c r="P2024">
        <v>1</v>
      </c>
      <c r="Q2024">
        <v>0</v>
      </c>
    </row>
    <row r="2025" spans="1:17" x14ac:dyDescent="0.2">
      <c r="A2025" s="1" t="str">
        <f>HYPERLINK("http://www.twitter.com/Ugo_Roux/status/837954476887707648", "837954476887707648")</f>
        <v>837954476887707648</v>
      </c>
      <c r="B2025" t="s">
        <v>476</v>
      </c>
      <c r="C2025" s="3">
        <v>42798.385300925933</v>
      </c>
      <c r="D2025" s="5" t="s">
        <v>17</v>
      </c>
      <c r="E2025">
        <v>0</v>
      </c>
      <c r="F2025">
        <v>0</v>
      </c>
      <c r="G2025">
        <v>0</v>
      </c>
      <c r="I2025" t="s">
        <v>2062</v>
      </c>
      <c r="N2025">
        <v>0</v>
      </c>
      <c r="O2025">
        <v>0</v>
      </c>
      <c r="P2025">
        <v>1</v>
      </c>
      <c r="Q2025">
        <v>0</v>
      </c>
    </row>
    <row r="2026" spans="1:17" x14ac:dyDescent="0.2">
      <c r="A2026" s="1" t="str">
        <f>HYPERLINK("http://www.twitter.com/Ugo_Roux/status/837601045668904960", "837601045668904960")</f>
        <v>837601045668904960</v>
      </c>
      <c r="B2026" t="s">
        <v>370</v>
      </c>
      <c r="C2026" s="3">
        <v>42797.410011574073</v>
      </c>
      <c r="D2026" s="5" t="s">
        <v>41</v>
      </c>
      <c r="E2026">
        <v>0</v>
      </c>
      <c r="F2026">
        <v>0</v>
      </c>
      <c r="G2026">
        <v>0</v>
      </c>
      <c r="I2026" t="s">
        <v>2063</v>
      </c>
      <c r="N2026">
        <v>0</v>
      </c>
      <c r="O2026">
        <v>0</v>
      </c>
      <c r="P2026">
        <v>1</v>
      </c>
      <c r="Q2026">
        <v>0</v>
      </c>
    </row>
    <row r="2027" spans="1:17" x14ac:dyDescent="0.2">
      <c r="A2027" s="1" t="str">
        <f>HYPERLINK("http://www.twitter.com/Ugo_Roux/status/837574817528303616", "837574817528303616")</f>
        <v>837574817528303616</v>
      </c>
      <c r="B2027" t="s">
        <v>285</v>
      </c>
      <c r="C2027" s="3">
        <v>42797.337638888886</v>
      </c>
      <c r="D2027" s="5" t="s">
        <v>17</v>
      </c>
      <c r="E2027">
        <v>0</v>
      </c>
      <c r="F2027">
        <v>0</v>
      </c>
      <c r="G2027">
        <v>1</v>
      </c>
      <c r="I2027" t="s">
        <v>2064</v>
      </c>
      <c r="J2027" t="str">
        <f>HYPERLINK("http://pbs.twimg.com/media/C5-ptNIXMAEFXsB.jpg", "http://pbs.twimg.com/media/C5-ptNIXMAEFXsB.jpg")</f>
        <v>http://pbs.twimg.com/media/C5-ptNIXMAEFXsB.jpg</v>
      </c>
      <c r="K2027" t="str">
        <f>HYPERLINK("http://pbs.twimg.com/media/C5-pu7kWUAAVTWm.jpg", "http://pbs.twimg.com/media/C5-pu7kWUAAVTWm.jpg")</f>
        <v>http://pbs.twimg.com/media/C5-pu7kWUAAVTWm.jpg</v>
      </c>
      <c r="L2027" t="str">
        <f>HYPERLINK("http://pbs.twimg.com/media/C5-pwmgXMAM48Mb.jpg", "http://pbs.twimg.com/media/C5-pwmgXMAM48Mb.jpg")</f>
        <v>http://pbs.twimg.com/media/C5-pwmgXMAM48Mb.jpg</v>
      </c>
      <c r="N2027">
        <v>0</v>
      </c>
      <c r="O2027">
        <v>0</v>
      </c>
      <c r="P2027">
        <v>1</v>
      </c>
      <c r="Q2027">
        <v>0</v>
      </c>
    </row>
    <row r="2028" spans="1:17" x14ac:dyDescent="0.2">
      <c r="A2028" s="1" t="str">
        <f>HYPERLINK("http://www.twitter.com/Ugo_Roux/status/837565929110151168", "837565929110151168")</f>
        <v>837565929110151168</v>
      </c>
      <c r="B2028" t="s">
        <v>97</v>
      </c>
      <c r="C2028" s="3">
        <v>42797.313113425917</v>
      </c>
      <c r="D2028" s="5" t="s">
        <v>28</v>
      </c>
      <c r="E2028">
        <v>0</v>
      </c>
      <c r="F2028">
        <v>0</v>
      </c>
      <c r="G2028">
        <v>0</v>
      </c>
      <c r="I2028" t="s">
        <v>2065</v>
      </c>
      <c r="J2028" t="str">
        <f>HYPERLINK("http://pbs.twimg.com/media/C5-hxbPVAAAOoa1.jpg", "http://pbs.twimg.com/media/C5-hxbPVAAAOoa1.jpg")</f>
        <v>http://pbs.twimg.com/media/C5-hxbPVAAAOoa1.jpg</v>
      </c>
      <c r="N2028">
        <v>0</v>
      </c>
      <c r="O2028">
        <v>0</v>
      </c>
      <c r="P2028">
        <v>1</v>
      </c>
      <c r="Q2028">
        <v>0</v>
      </c>
    </row>
    <row r="2029" spans="1:17" x14ac:dyDescent="0.2">
      <c r="A2029" s="1" t="str">
        <f>HYPERLINK("http://www.twitter.com/Ugo_Roux/status/837211944079790080", "837211944079790080")</f>
        <v>837211944079790080</v>
      </c>
      <c r="B2029" t="s">
        <v>285</v>
      </c>
      <c r="C2029" s="3">
        <v>42796.336296296293</v>
      </c>
      <c r="D2029" s="5" t="s">
        <v>17</v>
      </c>
      <c r="E2029">
        <v>0</v>
      </c>
      <c r="F2029">
        <v>0</v>
      </c>
      <c r="G2029">
        <v>0</v>
      </c>
      <c r="I2029" t="s">
        <v>2066</v>
      </c>
      <c r="J2029" t="str">
        <f>HYPERLINK("http://pbs.twimg.com/media/C55fpJ6XQAAY36I.jpg", "http://pbs.twimg.com/media/C55fpJ6XQAAY36I.jpg")</f>
        <v>http://pbs.twimg.com/media/C55fpJ6XQAAY36I.jpg</v>
      </c>
      <c r="N2029">
        <v>0.45879999999999999</v>
      </c>
      <c r="O2029">
        <v>0</v>
      </c>
      <c r="P2029">
        <v>0.85699999999999998</v>
      </c>
      <c r="Q2029">
        <v>0.14299999999999999</v>
      </c>
    </row>
    <row r="2030" spans="1:17" x14ac:dyDescent="0.2">
      <c r="A2030" s="1" t="str">
        <f>HYPERLINK("http://www.twitter.com/Ugo_Roux/status/837028482781745153", "837028482781745153")</f>
        <v>837028482781745153</v>
      </c>
      <c r="B2030" t="s">
        <v>142</v>
      </c>
      <c r="C2030" s="3">
        <v>42795.830046296287</v>
      </c>
      <c r="D2030" s="5" t="s">
        <v>28</v>
      </c>
      <c r="E2030">
        <v>2</v>
      </c>
      <c r="F2030">
        <v>1</v>
      </c>
      <c r="G2030">
        <v>0</v>
      </c>
      <c r="I2030" t="s">
        <v>2067</v>
      </c>
      <c r="N2030">
        <v>0</v>
      </c>
      <c r="O2030">
        <v>0</v>
      </c>
      <c r="P2030">
        <v>1</v>
      </c>
      <c r="Q2030">
        <v>0</v>
      </c>
    </row>
    <row r="2031" spans="1:17" x14ac:dyDescent="0.2">
      <c r="A2031" s="1" t="str">
        <f>HYPERLINK("http://www.twitter.com/Ugo_Roux/status/836980319651774464", "836980319651774464")</f>
        <v>836980319651774464</v>
      </c>
      <c r="B2031" t="s">
        <v>471</v>
      </c>
      <c r="C2031" s="3">
        <v>42795.697141203702</v>
      </c>
      <c r="D2031" s="3" t="s">
        <v>17</v>
      </c>
      <c r="E2031">
        <v>2</v>
      </c>
      <c r="F2031">
        <v>0</v>
      </c>
      <c r="G2031">
        <v>0</v>
      </c>
      <c r="I2031" t="s">
        <v>2068</v>
      </c>
      <c r="J2031" t="str">
        <f>HYPERLINK("http://pbs.twimg.com/media/C52NI0kWUAAzo7R.jpg", "http://pbs.twimg.com/media/C52NI0kWUAAzo7R.jpg")</f>
        <v>http://pbs.twimg.com/media/C52NI0kWUAAzo7R.jpg</v>
      </c>
      <c r="N2031">
        <v>0</v>
      </c>
      <c r="O2031">
        <v>0</v>
      </c>
      <c r="P2031">
        <v>1</v>
      </c>
      <c r="Q2031">
        <v>0</v>
      </c>
    </row>
    <row r="2032" spans="1:17" x14ac:dyDescent="0.2">
      <c r="A2032" s="1" t="str">
        <f>HYPERLINK("http://www.twitter.com/Ugo_Roux/status/836950822068060160", "836950822068060160")</f>
        <v>836950822068060160</v>
      </c>
      <c r="B2032" t="s">
        <v>370</v>
      </c>
      <c r="C2032" s="3">
        <v>42795.615740740737</v>
      </c>
      <c r="D2032" s="5" t="s">
        <v>41</v>
      </c>
      <c r="E2032">
        <v>0</v>
      </c>
      <c r="F2032">
        <v>0</v>
      </c>
      <c r="G2032">
        <v>0</v>
      </c>
      <c r="I2032" t="s">
        <v>2069</v>
      </c>
      <c r="J2032" t="str">
        <f>HYPERLINK("http://pbs.twimg.com/media/C51yVhVVAAATrAd.jpg", "http://pbs.twimg.com/media/C51yVhVVAAATrAd.jpg")</f>
        <v>http://pbs.twimg.com/media/C51yVhVVAAATrAd.jpg</v>
      </c>
      <c r="N2032">
        <v>0</v>
      </c>
      <c r="O2032">
        <v>0</v>
      </c>
      <c r="P2032">
        <v>1</v>
      </c>
      <c r="Q2032">
        <v>0</v>
      </c>
    </row>
    <row r="2033" spans="1:17" x14ac:dyDescent="0.2">
      <c r="A2033" s="1" t="str">
        <f>HYPERLINK("http://www.twitter.com/Ugo_Roux/status/836947012427862017", "836947012427862017")</f>
        <v>836947012427862017</v>
      </c>
      <c r="B2033" t="s">
        <v>370</v>
      </c>
      <c r="C2033" s="3">
        <v>42795.605231481481</v>
      </c>
      <c r="D2033" s="5" t="s">
        <v>28</v>
      </c>
      <c r="E2033">
        <v>0</v>
      </c>
      <c r="F2033">
        <v>0</v>
      </c>
      <c r="G2033">
        <v>0</v>
      </c>
      <c r="I2033" t="s">
        <v>2070</v>
      </c>
      <c r="J2033" t="str">
        <f>HYPERLINK("http://pbs.twimg.com/media/C51u3vSVAAAP9ew.jpg", "http://pbs.twimg.com/media/C51u3vSVAAAP9ew.jpg")</f>
        <v>http://pbs.twimg.com/media/C51u3vSVAAAP9ew.jpg</v>
      </c>
      <c r="N2033">
        <v>0</v>
      </c>
      <c r="O2033">
        <v>0</v>
      </c>
      <c r="P2033">
        <v>1</v>
      </c>
      <c r="Q2033">
        <v>0</v>
      </c>
    </row>
    <row r="2034" spans="1:17" x14ac:dyDescent="0.2">
      <c r="A2034" s="1" t="str">
        <f>HYPERLINK("http://www.twitter.com/Ugo_Roux/status/836898467322728448", "836898467322728448")</f>
        <v>836898467322728448</v>
      </c>
      <c r="B2034" t="s">
        <v>370</v>
      </c>
      <c r="C2034" s="3">
        <v>42795.471273148149</v>
      </c>
      <c r="D2034" s="5" t="s">
        <v>28</v>
      </c>
      <c r="E2034">
        <v>0</v>
      </c>
      <c r="F2034">
        <v>0</v>
      </c>
      <c r="G2034">
        <v>0</v>
      </c>
      <c r="I2034" t="s">
        <v>2071</v>
      </c>
      <c r="J2034" t="str">
        <f>HYPERLINK("http://pbs.twimg.com/media/C51CuCyXQAAPYaO.jpg", "http://pbs.twimg.com/media/C51CuCyXQAAPYaO.jpg")</f>
        <v>http://pbs.twimg.com/media/C51CuCyXQAAPYaO.jpg</v>
      </c>
      <c r="N2034">
        <v>0</v>
      </c>
      <c r="O2034">
        <v>0</v>
      </c>
      <c r="P2034">
        <v>1</v>
      </c>
      <c r="Q2034">
        <v>0</v>
      </c>
    </row>
    <row r="2035" spans="1:17" x14ac:dyDescent="0.2">
      <c r="A2035" s="1" t="str">
        <f>HYPERLINK("http://www.twitter.com/Ugo_Roux/status/836897497008259075", "836897497008259075")</f>
        <v>836897497008259075</v>
      </c>
      <c r="B2035" t="s">
        <v>370</v>
      </c>
      <c r="C2035" s="3">
        <v>42795.468587962961</v>
      </c>
      <c r="D2035" s="5" t="s">
        <v>28</v>
      </c>
      <c r="E2035">
        <v>1</v>
      </c>
      <c r="F2035">
        <v>0</v>
      </c>
      <c r="G2035">
        <v>0</v>
      </c>
      <c r="I2035" t="s">
        <v>2072</v>
      </c>
      <c r="J2035" t="str">
        <f>HYPERLINK("http://pbs.twimg.com/media/C51B1l1WcAANdKf.jpg", "http://pbs.twimg.com/media/C51B1l1WcAANdKf.jpg")</f>
        <v>http://pbs.twimg.com/media/C51B1l1WcAANdKf.jpg</v>
      </c>
      <c r="N2035">
        <v>0</v>
      </c>
      <c r="O2035">
        <v>0</v>
      </c>
      <c r="P2035">
        <v>1</v>
      </c>
      <c r="Q2035">
        <v>0</v>
      </c>
    </row>
    <row r="2036" spans="1:17" x14ac:dyDescent="0.2">
      <c r="A2036" s="1" t="str">
        <f>HYPERLINK("http://www.twitter.com/Ugo_Roux/status/836893176367562753", "836893176367562753")</f>
        <v>836893176367562753</v>
      </c>
      <c r="B2036" t="s">
        <v>16</v>
      </c>
      <c r="C2036" s="3">
        <v>42795.456666666672</v>
      </c>
      <c r="D2036" s="3" t="s">
        <v>28</v>
      </c>
      <c r="E2036">
        <v>2</v>
      </c>
      <c r="F2036">
        <v>1</v>
      </c>
      <c r="G2036">
        <v>0</v>
      </c>
      <c r="I2036" t="s">
        <v>2073</v>
      </c>
      <c r="J2036" t="str">
        <f>HYPERLINK("http://pbs.twimg.com/media/C50910fWgAAseBl.jpg", "http://pbs.twimg.com/media/C50910fWgAAseBl.jpg")</f>
        <v>http://pbs.twimg.com/media/C50910fWgAAseBl.jpg</v>
      </c>
      <c r="N2036">
        <v>0</v>
      </c>
      <c r="O2036">
        <v>0</v>
      </c>
      <c r="P2036">
        <v>1</v>
      </c>
      <c r="Q2036">
        <v>0</v>
      </c>
    </row>
    <row r="2037" spans="1:17" x14ac:dyDescent="0.2">
      <c r="A2037" s="1" t="str">
        <f>HYPERLINK("http://www.twitter.com/Ugo_Roux/status/836892529429729280", "836892529429729280")</f>
        <v>836892529429729280</v>
      </c>
      <c r="B2037" t="s">
        <v>370</v>
      </c>
      <c r="C2037" s="3">
        <v>42795.454884259263</v>
      </c>
      <c r="D2037" s="5" t="s">
        <v>28</v>
      </c>
      <c r="E2037">
        <v>0</v>
      </c>
      <c r="F2037">
        <v>0</v>
      </c>
      <c r="G2037">
        <v>0</v>
      </c>
      <c r="I2037" t="s">
        <v>2074</v>
      </c>
      <c r="J2037" t="str">
        <f>HYPERLINK("http://pbs.twimg.com/media/C509UcAWMAExXsk.jpg", "http://pbs.twimg.com/media/C509UcAWMAExXsk.jpg")</f>
        <v>http://pbs.twimg.com/media/C509UcAWMAExXsk.jpg</v>
      </c>
      <c r="N2037">
        <v>0</v>
      </c>
      <c r="O2037">
        <v>0</v>
      </c>
      <c r="P2037">
        <v>1</v>
      </c>
      <c r="Q2037">
        <v>0</v>
      </c>
    </row>
    <row r="2038" spans="1:17" x14ac:dyDescent="0.2">
      <c r="A2038" s="1" t="str">
        <f>HYPERLINK("http://www.twitter.com/Ugo_Roux/status/836889410318831616", "836889410318831616")</f>
        <v>836889410318831616</v>
      </c>
      <c r="B2038" t="s">
        <v>370</v>
      </c>
      <c r="C2038" s="3">
        <v>42795.446273148147</v>
      </c>
      <c r="D2038" s="5" t="s">
        <v>28</v>
      </c>
      <c r="E2038">
        <v>0</v>
      </c>
      <c r="F2038">
        <v>0</v>
      </c>
      <c r="G2038">
        <v>0</v>
      </c>
      <c r="I2038" t="s">
        <v>2075</v>
      </c>
      <c r="J2038" t="str">
        <f>HYPERLINK("http://pbs.twimg.com/media/C506e5TXEAIr4IL.jpg", "http://pbs.twimg.com/media/C506e5TXEAIr4IL.jpg")</f>
        <v>http://pbs.twimg.com/media/C506e5TXEAIr4IL.jpg</v>
      </c>
      <c r="N2038">
        <v>0</v>
      </c>
      <c r="O2038">
        <v>0</v>
      </c>
      <c r="P2038">
        <v>1</v>
      </c>
      <c r="Q2038">
        <v>0</v>
      </c>
    </row>
    <row r="2039" spans="1:17" x14ac:dyDescent="0.2">
      <c r="A2039" s="1" t="str">
        <f>HYPERLINK("http://www.twitter.com/Ugo_Roux/status/836885235321225218", "836885235321225218")</f>
        <v>836885235321225218</v>
      </c>
      <c r="B2039" t="s">
        <v>370</v>
      </c>
      <c r="C2039" s="3">
        <v>42795.434756944444</v>
      </c>
      <c r="D2039" s="5" t="s">
        <v>28</v>
      </c>
      <c r="E2039">
        <v>0</v>
      </c>
      <c r="F2039">
        <v>0</v>
      </c>
      <c r="G2039">
        <v>0</v>
      </c>
      <c r="I2039" t="s">
        <v>2076</v>
      </c>
      <c r="J2039" t="str">
        <f>HYPERLINK("http://pbs.twimg.com/media/C502rzCWAAARaNH.jpg", "http://pbs.twimg.com/media/C502rzCWAAARaNH.jpg")</f>
        <v>http://pbs.twimg.com/media/C502rzCWAAARaNH.jpg</v>
      </c>
      <c r="N2039">
        <v>-0.42149999999999999</v>
      </c>
      <c r="O2039">
        <v>0.35899999999999999</v>
      </c>
      <c r="P2039">
        <v>0.64100000000000001</v>
      </c>
      <c r="Q2039">
        <v>0</v>
      </c>
    </row>
    <row r="2040" spans="1:17" x14ac:dyDescent="0.2">
      <c r="A2040" s="1" t="str">
        <f>HYPERLINK("http://www.twitter.com/Ugo_Roux/status/836865294341636100", "836865294341636100")</f>
        <v>836865294341636100</v>
      </c>
      <c r="B2040" t="s">
        <v>414</v>
      </c>
      <c r="C2040" s="3">
        <v>42795.379733796297</v>
      </c>
      <c r="D2040" s="5" t="s">
        <v>28</v>
      </c>
      <c r="E2040">
        <v>2</v>
      </c>
      <c r="F2040">
        <v>0</v>
      </c>
      <c r="G2040">
        <v>0</v>
      </c>
      <c r="I2040" t="s">
        <v>2077</v>
      </c>
      <c r="J2040" t="str">
        <f>HYPERLINK("http://pbs.twimg.com/media/C50kfczWUAA54Id.png", "http://pbs.twimg.com/media/C50kfczWUAA54Id.png")</f>
        <v>http://pbs.twimg.com/media/C50kfczWUAA54Id.png</v>
      </c>
      <c r="N2040">
        <v>0</v>
      </c>
      <c r="O2040">
        <v>0</v>
      </c>
      <c r="P2040">
        <v>1</v>
      </c>
      <c r="Q2040">
        <v>0</v>
      </c>
    </row>
    <row r="2041" spans="1:17" x14ac:dyDescent="0.2">
      <c r="A2041" s="1" t="str">
        <f>HYPERLINK("http://www.twitter.com/Ugo_Roux/status/836845442713399296", "836845442713399296")</f>
        <v>836845442713399296</v>
      </c>
      <c r="B2041" t="s">
        <v>285</v>
      </c>
      <c r="C2041" s="3">
        <v>42795.324953703697</v>
      </c>
      <c r="D2041" s="5" t="s">
        <v>460</v>
      </c>
      <c r="E2041">
        <v>0</v>
      </c>
      <c r="F2041">
        <v>0</v>
      </c>
      <c r="G2041">
        <v>0</v>
      </c>
      <c r="I2041" t="s">
        <v>2078</v>
      </c>
      <c r="N2041">
        <v>0</v>
      </c>
      <c r="O2041">
        <v>0</v>
      </c>
      <c r="P2041">
        <v>1</v>
      </c>
      <c r="Q2041">
        <v>0</v>
      </c>
    </row>
    <row r="2042" spans="1:17" x14ac:dyDescent="0.2">
      <c r="A2042" s="1" t="str">
        <f>HYPERLINK("http://www.twitter.com/Ugo_Roux/status/836604871084236801", "836604871084236801")</f>
        <v>836604871084236801</v>
      </c>
      <c r="B2042" t="s">
        <v>471</v>
      </c>
      <c r="C2042" s="3">
        <v>42794.661099537043</v>
      </c>
      <c r="D2042" s="3" t="s">
        <v>28</v>
      </c>
      <c r="E2042">
        <v>1</v>
      </c>
      <c r="F2042">
        <v>1</v>
      </c>
      <c r="G2042">
        <v>0</v>
      </c>
      <c r="I2042" t="s">
        <v>2079</v>
      </c>
      <c r="J2042" t="str">
        <f>HYPERLINK("http://pbs.twimg.com/media/C5w3rgpWYAEaT6J.jpg", "http://pbs.twimg.com/media/C5w3rgpWYAEaT6J.jpg")</f>
        <v>http://pbs.twimg.com/media/C5w3rgpWYAEaT6J.jpg</v>
      </c>
      <c r="N2042">
        <v>0</v>
      </c>
      <c r="O2042">
        <v>0</v>
      </c>
      <c r="P2042">
        <v>1</v>
      </c>
      <c r="Q2042">
        <v>0</v>
      </c>
    </row>
    <row r="2043" spans="1:17" x14ac:dyDescent="0.2">
      <c r="A2043" s="1" t="str">
        <f>HYPERLINK("http://www.twitter.com/Ugo_Roux/status/836483977968029696", "836483977968029696")</f>
        <v>836483977968029696</v>
      </c>
      <c r="B2043" t="s">
        <v>285</v>
      </c>
      <c r="C2043" s="3">
        <v>42794.327499999999</v>
      </c>
      <c r="D2043" s="5" t="s">
        <v>17</v>
      </c>
      <c r="E2043">
        <v>3</v>
      </c>
      <c r="F2043">
        <v>1</v>
      </c>
      <c r="G2043">
        <v>0</v>
      </c>
      <c r="I2043" t="s">
        <v>2080</v>
      </c>
      <c r="J2043" t="str">
        <f>HYPERLINK("http://pbs.twimg.com/media/C5vJoYSWcAAohDM.jpg", "http://pbs.twimg.com/media/C5vJoYSWcAAohDM.jpg")</f>
        <v>http://pbs.twimg.com/media/C5vJoYSWcAAohDM.jpg</v>
      </c>
      <c r="N2043">
        <v>0</v>
      </c>
      <c r="O2043">
        <v>0</v>
      </c>
      <c r="P2043">
        <v>1</v>
      </c>
      <c r="Q2043">
        <v>0</v>
      </c>
    </row>
    <row r="2044" spans="1:17" x14ac:dyDescent="0.2">
      <c r="A2044" s="1" t="str">
        <f>HYPERLINK("http://www.twitter.com/Ugo_Roux/status/836122570906828800", "836122570906828800")</f>
        <v>836122570906828800</v>
      </c>
      <c r="B2044" t="s">
        <v>285</v>
      </c>
      <c r="C2044" s="3">
        <v>42793.330196759263</v>
      </c>
      <c r="D2044" s="5" t="s">
        <v>28</v>
      </c>
      <c r="E2044">
        <v>0</v>
      </c>
      <c r="F2044">
        <v>0</v>
      </c>
      <c r="G2044">
        <v>0</v>
      </c>
      <c r="I2044" t="s">
        <v>2081</v>
      </c>
      <c r="J2044" t="str">
        <f>HYPERLINK("http://pbs.twimg.com/media/C5qBAlGWMAApecA.jpg", "http://pbs.twimg.com/media/C5qBAlGWMAApecA.jpg")</f>
        <v>http://pbs.twimg.com/media/C5qBAlGWMAApecA.jpg</v>
      </c>
      <c r="N2044">
        <v>0</v>
      </c>
      <c r="O2044">
        <v>0</v>
      </c>
      <c r="P2044">
        <v>1</v>
      </c>
      <c r="Q2044">
        <v>0</v>
      </c>
    </row>
    <row r="2045" spans="1:17" x14ac:dyDescent="0.2">
      <c r="A2045" s="1" t="str">
        <f>HYPERLINK("http://www.twitter.com/Ugo_Roux/status/835208087074140160", "835208087074140160")</f>
        <v>835208087074140160</v>
      </c>
      <c r="B2045" t="s">
        <v>16</v>
      </c>
      <c r="C2045" s="3">
        <v>42790.806712962964</v>
      </c>
      <c r="D2045" s="3" t="s">
        <v>28</v>
      </c>
      <c r="E2045">
        <v>2</v>
      </c>
      <c r="F2045">
        <v>1</v>
      </c>
      <c r="G2045">
        <v>0</v>
      </c>
      <c r="I2045" t="s">
        <v>2082</v>
      </c>
      <c r="J2045" t="str">
        <f>HYPERLINK("http://pbs.twimg.com/media/C5dBEWwXQAEJc94.jpg", "http://pbs.twimg.com/media/C5dBEWwXQAEJc94.jpg")</f>
        <v>http://pbs.twimg.com/media/C5dBEWwXQAEJc94.jpg</v>
      </c>
      <c r="K2045" t="str">
        <f>HYPERLINK("http://pbs.twimg.com/media/C5dBHxOXQAYie7I.jpg", "http://pbs.twimg.com/media/C5dBHxOXQAYie7I.jpg")</f>
        <v>http://pbs.twimg.com/media/C5dBHxOXQAYie7I.jpg</v>
      </c>
      <c r="L2045" t="str">
        <f>HYPERLINK("http://pbs.twimg.com/media/C5dBJzzXQAAneFM.jpg", "http://pbs.twimg.com/media/C5dBJzzXQAAneFM.jpg")</f>
        <v>http://pbs.twimg.com/media/C5dBJzzXQAAneFM.jpg</v>
      </c>
      <c r="N2045">
        <v>0</v>
      </c>
      <c r="O2045">
        <v>0</v>
      </c>
      <c r="P2045">
        <v>1</v>
      </c>
      <c r="Q2045">
        <v>0</v>
      </c>
    </row>
    <row r="2046" spans="1:17" x14ac:dyDescent="0.2">
      <c r="A2046" s="1" t="str">
        <f>HYPERLINK("http://www.twitter.com/Ugo_Roux/status/835096397078740992", "835096397078740992")</f>
        <v>835096397078740992</v>
      </c>
      <c r="B2046" t="s">
        <v>16</v>
      </c>
      <c r="C2046" s="3">
        <v>42790.498506944437</v>
      </c>
      <c r="D2046" s="3" t="s">
        <v>17</v>
      </c>
      <c r="E2046">
        <v>1</v>
      </c>
      <c r="F2046">
        <v>1</v>
      </c>
      <c r="G2046">
        <v>0</v>
      </c>
      <c r="I2046" t="s">
        <v>2083</v>
      </c>
      <c r="N2046">
        <v>0</v>
      </c>
      <c r="O2046">
        <v>0</v>
      </c>
      <c r="P2046">
        <v>1</v>
      </c>
      <c r="Q2046">
        <v>0</v>
      </c>
    </row>
    <row r="2047" spans="1:17" x14ac:dyDescent="0.2">
      <c r="A2047" s="1" t="str">
        <f>HYPERLINK("http://www.twitter.com/Ugo_Roux/status/835076847176155136", "835076847176155136")</f>
        <v>835076847176155136</v>
      </c>
      <c r="B2047" t="s">
        <v>47</v>
      </c>
      <c r="C2047" s="3">
        <v>42790.444560185177</v>
      </c>
      <c r="D2047" s="5" t="s">
        <v>28</v>
      </c>
      <c r="E2047">
        <v>0</v>
      </c>
      <c r="F2047">
        <v>0</v>
      </c>
      <c r="G2047">
        <v>0</v>
      </c>
      <c r="I2047" t="s">
        <v>2084</v>
      </c>
      <c r="N2047">
        <v>0</v>
      </c>
      <c r="O2047">
        <v>0</v>
      </c>
      <c r="P2047">
        <v>1</v>
      </c>
      <c r="Q2047">
        <v>0</v>
      </c>
    </row>
    <row r="2048" spans="1:17" x14ac:dyDescent="0.2">
      <c r="A2048" s="1" t="str">
        <f>HYPERLINK("http://www.twitter.com/Ugo_Roux/status/835035365866147840", "835035365866147840")</f>
        <v>835035365866147840</v>
      </c>
      <c r="B2048" t="s">
        <v>285</v>
      </c>
      <c r="C2048" s="3">
        <v>42790.330092592587</v>
      </c>
      <c r="D2048" s="5" t="s">
        <v>17</v>
      </c>
      <c r="E2048">
        <v>2</v>
      </c>
      <c r="F2048">
        <v>0</v>
      </c>
      <c r="G2048">
        <v>0</v>
      </c>
      <c r="I2048" t="s">
        <v>2085</v>
      </c>
      <c r="J2048" t="str">
        <f>HYPERLINK("http://pbs.twimg.com/media/C5akBiPXEAAxVLJ.jpg", "http://pbs.twimg.com/media/C5akBiPXEAAxVLJ.jpg")</f>
        <v>http://pbs.twimg.com/media/C5akBiPXEAAxVLJ.jpg</v>
      </c>
      <c r="K2048" t="str">
        <f>HYPERLINK("http://pbs.twimg.com/media/C5akCXKXEAECF3Z.jpg", "http://pbs.twimg.com/media/C5akCXKXEAECF3Z.jpg")</f>
        <v>http://pbs.twimg.com/media/C5akCXKXEAECF3Z.jpg</v>
      </c>
      <c r="L2048" t="str">
        <f>HYPERLINK("http://pbs.twimg.com/media/C5akDH3WgAAi4mI.jpg", "http://pbs.twimg.com/media/C5akDH3WgAAi4mI.jpg")</f>
        <v>http://pbs.twimg.com/media/C5akDH3WgAAi4mI.jpg</v>
      </c>
      <c r="N2048">
        <v>0</v>
      </c>
      <c r="O2048">
        <v>0</v>
      </c>
      <c r="P2048">
        <v>1</v>
      </c>
      <c r="Q2048">
        <v>0</v>
      </c>
    </row>
    <row r="2049" spans="1:17" x14ac:dyDescent="0.2">
      <c r="A2049" s="1" t="str">
        <f>HYPERLINK("http://www.twitter.com/Ugo_Roux/status/833991372625629187", "833991372625629187")</f>
        <v>833991372625629187</v>
      </c>
      <c r="B2049" t="s">
        <v>16</v>
      </c>
      <c r="C2049" s="3">
        <v>42787.449212962973</v>
      </c>
      <c r="D2049" s="3" t="s">
        <v>17</v>
      </c>
      <c r="E2049">
        <v>0</v>
      </c>
      <c r="F2049">
        <v>1</v>
      </c>
      <c r="G2049">
        <v>0</v>
      </c>
      <c r="I2049" t="s">
        <v>2086</v>
      </c>
      <c r="N2049">
        <v>0</v>
      </c>
      <c r="O2049">
        <v>0</v>
      </c>
      <c r="P2049">
        <v>1</v>
      </c>
      <c r="Q2049">
        <v>0</v>
      </c>
    </row>
    <row r="2050" spans="1:17" x14ac:dyDescent="0.2">
      <c r="A2050" s="1" t="str">
        <f>HYPERLINK("http://www.twitter.com/Ugo_Roux/status/833253842993168384", "833253842993168384")</f>
        <v>833253842993168384</v>
      </c>
      <c r="B2050" t="s">
        <v>142</v>
      </c>
      <c r="C2050" s="3">
        <v>42785.4140162037</v>
      </c>
      <c r="D2050" s="5" t="s">
        <v>28</v>
      </c>
      <c r="E2050">
        <v>4</v>
      </c>
      <c r="F2050">
        <v>1</v>
      </c>
      <c r="G2050">
        <v>0</v>
      </c>
      <c r="I2050" t="s">
        <v>2087</v>
      </c>
      <c r="N2050">
        <v>0</v>
      </c>
      <c r="O2050">
        <v>0</v>
      </c>
      <c r="P2050">
        <v>1</v>
      </c>
      <c r="Q2050">
        <v>0</v>
      </c>
    </row>
    <row r="2051" spans="1:17" x14ac:dyDescent="0.2">
      <c r="A2051" s="1" t="str">
        <f>HYPERLINK("http://www.twitter.com/Ugo_Roux/status/832699786570653696", "832699786570653696")</f>
        <v>832699786570653696</v>
      </c>
      <c r="B2051" t="s">
        <v>130</v>
      </c>
      <c r="C2051" s="3">
        <v>42783.885115740741</v>
      </c>
      <c r="D2051" s="5" t="s">
        <v>41</v>
      </c>
      <c r="E2051">
        <v>1</v>
      </c>
      <c r="F2051">
        <v>1</v>
      </c>
      <c r="G2051">
        <v>0</v>
      </c>
      <c r="I2051" t="s">
        <v>2088</v>
      </c>
      <c r="N2051">
        <v>0.1779</v>
      </c>
      <c r="O2051">
        <v>0</v>
      </c>
      <c r="P2051">
        <v>0.91400000000000003</v>
      </c>
      <c r="Q2051">
        <v>8.5999999999999993E-2</v>
      </c>
    </row>
    <row r="2052" spans="1:17" x14ac:dyDescent="0.2">
      <c r="A2052" s="1" t="str">
        <f>HYPERLINK("http://www.twitter.com/Ugo_Roux/status/832586027650969601", "832586027650969601")</f>
        <v>832586027650969601</v>
      </c>
      <c r="B2052" t="s">
        <v>16</v>
      </c>
      <c r="C2052" s="3">
        <v>42783.571203703701</v>
      </c>
      <c r="D2052" s="3" t="s">
        <v>17</v>
      </c>
      <c r="E2052">
        <v>1</v>
      </c>
      <c r="F2052">
        <v>0</v>
      </c>
      <c r="G2052">
        <v>1</v>
      </c>
      <c r="I2052" t="s">
        <v>2089</v>
      </c>
      <c r="N2052">
        <v>0</v>
      </c>
      <c r="O2052">
        <v>0</v>
      </c>
      <c r="P2052">
        <v>1</v>
      </c>
      <c r="Q2052">
        <v>0</v>
      </c>
    </row>
    <row r="2053" spans="1:17" x14ac:dyDescent="0.2">
      <c r="A2053" s="1" t="str">
        <f>HYPERLINK("http://www.twitter.com/Ugo_Roux/status/832577170140700672", "832577170140700672")</f>
        <v>832577170140700672</v>
      </c>
      <c r="B2053" t="s">
        <v>476</v>
      </c>
      <c r="C2053" s="3">
        <v>42783.546759259261</v>
      </c>
      <c r="D2053" s="5" t="s">
        <v>28</v>
      </c>
      <c r="E2053">
        <v>0</v>
      </c>
      <c r="F2053">
        <v>0</v>
      </c>
      <c r="G2053">
        <v>0</v>
      </c>
      <c r="I2053" t="s">
        <v>2090</v>
      </c>
      <c r="J2053" t="str">
        <f>HYPERLINK("http://pbs.twimg.com/media/C43oV9jWcAEsgUT.jpg", "http://pbs.twimg.com/media/C43oV9jWcAEsgUT.jpg")</f>
        <v>http://pbs.twimg.com/media/C43oV9jWcAEsgUT.jpg</v>
      </c>
      <c r="N2053">
        <v>0</v>
      </c>
      <c r="O2053">
        <v>0</v>
      </c>
      <c r="P2053">
        <v>1</v>
      </c>
      <c r="Q2053">
        <v>0</v>
      </c>
    </row>
    <row r="2054" spans="1:17" x14ac:dyDescent="0.2">
      <c r="A2054" s="1" t="str">
        <f>HYPERLINK("http://www.twitter.com/Ugo_Roux/status/831918277370793984", "831918277370793984")</f>
        <v>831918277370793984</v>
      </c>
      <c r="B2054" t="s">
        <v>142</v>
      </c>
      <c r="C2054" s="3">
        <v>42781.728564814817</v>
      </c>
      <c r="D2054" s="5" t="s">
        <v>41</v>
      </c>
      <c r="E2054">
        <v>1</v>
      </c>
      <c r="F2054">
        <v>1</v>
      </c>
      <c r="G2054">
        <v>0</v>
      </c>
      <c r="I2054" t="s">
        <v>2091</v>
      </c>
      <c r="J2054" t="str">
        <f>HYPERLINK("http://pbs.twimg.com/media/C4uQ8z9W8AQxmPk.jpg", "http://pbs.twimg.com/media/C4uQ8z9W8AQxmPk.jpg")</f>
        <v>http://pbs.twimg.com/media/C4uQ8z9W8AQxmPk.jpg</v>
      </c>
      <c r="K2054" t="str">
        <f>HYPERLINK("http://pbs.twimg.com/media/C4uQ8z7WMAEhxmc.jpg", "http://pbs.twimg.com/media/C4uQ8z7WMAEhxmc.jpg")</f>
        <v>http://pbs.twimg.com/media/C4uQ8z7WMAEhxmc.jpg</v>
      </c>
      <c r="N2054">
        <v>0</v>
      </c>
      <c r="O2054">
        <v>0</v>
      </c>
      <c r="P2054">
        <v>1</v>
      </c>
      <c r="Q2054">
        <v>0</v>
      </c>
    </row>
    <row r="2055" spans="1:17" x14ac:dyDescent="0.2">
      <c r="A2055" s="1" t="str">
        <f>HYPERLINK("http://www.twitter.com/Ugo_Roux/status/831859421437423618", "831859421437423618")</f>
        <v>831859421437423618</v>
      </c>
      <c r="B2055" t="s">
        <v>142</v>
      </c>
      <c r="C2055" s="3">
        <v>42781.566145833327</v>
      </c>
      <c r="D2055" s="5" t="s">
        <v>17</v>
      </c>
      <c r="E2055">
        <v>0</v>
      </c>
      <c r="F2055">
        <v>0</v>
      </c>
      <c r="G2055">
        <v>0</v>
      </c>
      <c r="I2055" t="s">
        <v>2092</v>
      </c>
      <c r="N2055">
        <v>0.49390000000000001</v>
      </c>
      <c r="O2055">
        <v>0</v>
      </c>
      <c r="P2055">
        <v>0.84899999999999998</v>
      </c>
      <c r="Q2055">
        <v>0.151</v>
      </c>
    </row>
    <row r="2056" spans="1:17" x14ac:dyDescent="0.2">
      <c r="A2056" s="1" t="str">
        <f>HYPERLINK("http://www.twitter.com/Ugo_Roux/status/831800732206637057", "831800732206637057")</f>
        <v>831800732206637057</v>
      </c>
      <c r="B2056" t="s">
        <v>414</v>
      </c>
      <c r="C2056" s="3">
        <v>42781.40420138889</v>
      </c>
      <c r="D2056" s="5" t="s">
        <v>28</v>
      </c>
      <c r="E2056">
        <v>4</v>
      </c>
      <c r="F2056">
        <v>2</v>
      </c>
      <c r="G2056">
        <v>0</v>
      </c>
      <c r="I2056" t="s">
        <v>2093</v>
      </c>
      <c r="J2056" t="str">
        <f>HYPERLINK("http://pbs.twimg.com/media/C4smTZwWIAA0W8r.png", "http://pbs.twimg.com/media/C4smTZwWIAA0W8r.png")</f>
        <v>http://pbs.twimg.com/media/C4smTZwWIAA0W8r.png</v>
      </c>
      <c r="N2056">
        <v>0</v>
      </c>
      <c r="O2056">
        <v>0</v>
      </c>
      <c r="P2056">
        <v>1</v>
      </c>
      <c r="Q2056">
        <v>0</v>
      </c>
    </row>
    <row r="2057" spans="1:17" x14ac:dyDescent="0.2">
      <c r="A2057" s="1" t="str">
        <f>HYPERLINK("http://www.twitter.com/Ugo_Roux/status/831517493327962112", "831517493327962112")</f>
        <v>831517493327962112</v>
      </c>
      <c r="B2057" t="s">
        <v>471</v>
      </c>
      <c r="C2057" s="3">
        <v>42780.622604166667</v>
      </c>
      <c r="D2057" s="3" t="s">
        <v>17</v>
      </c>
      <c r="E2057">
        <v>0</v>
      </c>
      <c r="F2057">
        <v>0</v>
      </c>
      <c r="G2057">
        <v>0</v>
      </c>
      <c r="I2057" t="s">
        <v>2094</v>
      </c>
      <c r="N2057">
        <v>0</v>
      </c>
      <c r="O2057">
        <v>0</v>
      </c>
      <c r="P2057">
        <v>1</v>
      </c>
      <c r="Q2057">
        <v>0</v>
      </c>
    </row>
    <row r="2058" spans="1:17" x14ac:dyDescent="0.2">
      <c r="A2058" s="1" t="str">
        <f>HYPERLINK("http://www.twitter.com/Ugo_Roux/status/831512168424210433", "831512168424210433")</f>
        <v>831512168424210433</v>
      </c>
      <c r="B2058" t="s">
        <v>16</v>
      </c>
      <c r="C2058" s="3">
        <v>42780.607916666668</v>
      </c>
      <c r="D2058" s="3" t="s">
        <v>17</v>
      </c>
      <c r="E2058">
        <v>1</v>
      </c>
      <c r="F2058">
        <v>1</v>
      </c>
      <c r="G2058">
        <v>0</v>
      </c>
      <c r="I2058" t="s">
        <v>2095</v>
      </c>
      <c r="J2058" t="str">
        <f>HYPERLINK("http://pbs.twimg.com/media/C4ofvX9W8AA5Jh0.jpg", "http://pbs.twimg.com/media/C4ofvX9W8AA5Jh0.jpg")</f>
        <v>http://pbs.twimg.com/media/C4ofvX9W8AA5Jh0.jpg</v>
      </c>
      <c r="N2058">
        <v>0</v>
      </c>
      <c r="O2058">
        <v>0</v>
      </c>
      <c r="P2058">
        <v>1</v>
      </c>
      <c r="Q2058">
        <v>0</v>
      </c>
    </row>
    <row r="2059" spans="1:17" x14ac:dyDescent="0.2">
      <c r="A2059" s="1" t="str">
        <f>HYPERLINK("http://www.twitter.com/Ugo_Roux/status/831079311373385728", "831079311373385728")</f>
        <v>831079311373385728</v>
      </c>
      <c r="B2059" t="s">
        <v>142</v>
      </c>
      <c r="C2059" s="3">
        <v>42779.413460648153</v>
      </c>
      <c r="D2059" s="5" t="s">
        <v>28</v>
      </c>
      <c r="E2059">
        <v>1</v>
      </c>
      <c r="F2059">
        <v>0</v>
      </c>
      <c r="G2059">
        <v>0</v>
      </c>
      <c r="I2059" t="s">
        <v>2096</v>
      </c>
      <c r="N2059">
        <v>0</v>
      </c>
      <c r="O2059">
        <v>0</v>
      </c>
      <c r="P2059">
        <v>1</v>
      </c>
      <c r="Q2059">
        <v>0</v>
      </c>
    </row>
    <row r="2060" spans="1:17" x14ac:dyDescent="0.2">
      <c r="A2060" s="1" t="str">
        <f>HYPERLINK("http://www.twitter.com/Ugo_Roux/status/830525383846019074", "830525383846019074")</f>
        <v>830525383846019074</v>
      </c>
      <c r="B2060" t="s">
        <v>130</v>
      </c>
      <c r="C2060" s="3">
        <v>42777.88490740741</v>
      </c>
      <c r="D2060" s="5" t="s">
        <v>17</v>
      </c>
      <c r="E2060">
        <v>0</v>
      </c>
      <c r="F2060">
        <v>0</v>
      </c>
      <c r="G2060">
        <v>0</v>
      </c>
      <c r="I2060" t="s">
        <v>2097</v>
      </c>
      <c r="N2060">
        <v>0</v>
      </c>
      <c r="O2060">
        <v>0</v>
      </c>
      <c r="P2060">
        <v>1</v>
      </c>
      <c r="Q2060">
        <v>0</v>
      </c>
    </row>
    <row r="2061" spans="1:17" x14ac:dyDescent="0.2">
      <c r="A2061" s="1" t="str">
        <f>HYPERLINK("http://www.twitter.com/Ugo_Roux/status/830425971522166785", "830425971522166785")</f>
        <v>830425971522166785</v>
      </c>
      <c r="B2061" t="s">
        <v>16</v>
      </c>
      <c r="C2061" s="3">
        <v>42777.610578703701</v>
      </c>
      <c r="D2061" s="3" t="s">
        <v>17</v>
      </c>
      <c r="E2061">
        <v>0</v>
      </c>
      <c r="F2061">
        <v>1</v>
      </c>
      <c r="G2061">
        <v>0</v>
      </c>
      <c r="I2061" t="s">
        <v>2098</v>
      </c>
      <c r="N2061">
        <v>0</v>
      </c>
      <c r="O2061">
        <v>0</v>
      </c>
      <c r="P2061">
        <v>1</v>
      </c>
      <c r="Q2061">
        <v>0</v>
      </c>
    </row>
    <row r="2062" spans="1:17" x14ac:dyDescent="0.2">
      <c r="A2062" s="1" t="str">
        <f>HYPERLINK("http://www.twitter.com/Ugo_Roux/status/830367235935961088", "830367235935961088")</f>
        <v>830367235935961088</v>
      </c>
      <c r="B2062" t="s">
        <v>97</v>
      </c>
      <c r="C2062" s="3">
        <v>42777.448506944442</v>
      </c>
      <c r="D2062" s="5" t="s">
        <v>17</v>
      </c>
      <c r="E2062">
        <v>0</v>
      </c>
      <c r="F2062">
        <v>2</v>
      </c>
      <c r="G2062">
        <v>0</v>
      </c>
      <c r="I2062" t="s">
        <v>2099</v>
      </c>
      <c r="J2062" t="str">
        <f>HYPERLINK("http://pbs.twimg.com/media/C4YOmWoUcAAdvBu.jpg", "http://pbs.twimg.com/media/C4YOmWoUcAAdvBu.jpg")</f>
        <v>http://pbs.twimg.com/media/C4YOmWoUcAAdvBu.jpg</v>
      </c>
      <c r="N2062">
        <v>0</v>
      </c>
      <c r="O2062">
        <v>0</v>
      </c>
      <c r="P2062">
        <v>1</v>
      </c>
      <c r="Q2062">
        <v>0</v>
      </c>
    </row>
    <row r="2063" spans="1:17" x14ac:dyDescent="0.2">
      <c r="A2063" s="1" t="str">
        <f>HYPERLINK("http://www.twitter.com/Ugo_Roux/status/829992089375084544", "829992089375084544")</f>
        <v>829992089375084544</v>
      </c>
      <c r="B2063" t="s">
        <v>476</v>
      </c>
      <c r="C2063" s="3">
        <v>42776.413298611107</v>
      </c>
      <c r="D2063" s="5" t="s">
        <v>41</v>
      </c>
      <c r="E2063">
        <v>0</v>
      </c>
      <c r="F2063">
        <v>0</v>
      </c>
      <c r="G2063">
        <v>0</v>
      </c>
      <c r="I2063" t="s">
        <v>2100</v>
      </c>
      <c r="N2063">
        <v>0</v>
      </c>
      <c r="O2063">
        <v>0</v>
      </c>
      <c r="P2063">
        <v>1</v>
      </c>
      <c r="Q2063">
        <v>0</v>
      </c>
    </row>
    <row r="2064" spans="1:17" x14ac:dyDescent="0.2">
      <c r="A2064" s="1" t="str">
        <f>HYPERLINK("http://www.twitter.com/Ugo_Roux/status/829322481446043649", "829322481446043649")</f>
        <v>829322481446043649</v>
      </c>
      <c r="B2064" t="s">
        <v>476</v>
      </c>
      <c r="C2064" s="3">
        <v>42774.565532407411</v>
      </c>
      <c r="D2064" s="5" t="s">
        <v>28</v>
      </c>
      <c r="E2064">
        <v>0</v>
      </c>
      <c r="F2064">
        <v>0</v>
      </c>
      <c r="G2064">
        <v>0</v>
      </c>
      <c r="I2064" t="s">
        <v>2101</v>
      </c>
      <c r="N2064">
        <v>0</v>
      </c>
      <c r="O2064">
        <v>0</v>
      </c>
      <c r="P2064">
        <v>1</v>
      </c>
      <c r="Q2064">
        <v>0</v>
      </c>
    </row>
    <row r="2065" spans="1:17" x14ac:dyDescent="0.2">
      <c r="A2065" s="1" t="str">
        <f>HYPERLINK("http://www.twitter.com/Ugo_Roux/status/829234360532553728", "829234360532553728")</f>
        <v>829234360532553728</v>
      </c>
      <c r="B2065" t="s">
        <v>471</v>
      </c>
      <c r="C2065" s="3">
        <v>42774.32236111111</v>
      </c>
      <c r="D2065" s="3" t="s">
        <v>28</v>
      </c>
      <c r="E2065">
        <v>0</v>
      </c>
      <c r="F2065">
        <v>0</v>
      </c>
      <c r="G2065">
        <v>0</v>
      </c>
      <c r="I2065" t="s">
        <v>2102</v>
      </c>
      <c r="J2065" t="str">
        <f>HYPERLINK("http://pbs.twimg.com/media/C4IH0ZCWIAIKqcO.jpg", "http://pbs.twimg.com/media/C4IH0ZCWIAIKqcO.jpg")</f>
        <v>http://pbs.twimg.com/media/C4IH0ZCWIAIKqcO.jpg</v>
      </c>
      <c r="N2065">
        <v>0</v>
      </c>
      <c r="O2065">
        <v>0</v>
      </c>
      <c r="P2065">
        <v>1</v>
      </c>
      <c r="Q2065">
        <v>0</v>
      </c>
    </row>
    <row r="2066" spans="1:17" x14ac:dyDescent="0.2">
      <c r="A2066" s="1" t="str">
        <f>HYPERLINK("http://www.twitter.com/Ugo_Roux/status/829233395582509061", "829233395582509061")</f>
        <v>829233395582509061</v>
      </c>
      <c r="B2066" t="s">
        <v>471</v>
      </c>
      <c r="C2066" s="3">
        <v>42774.319699074083</v>
      </c>
      <c r="D2066" s="3" t="s">
        <v>28</v>
      </c>
      <c r="E2066">
        <v>0</v>
      </c>
      <c r="F2066">
        <v>0</v>
      </c>
      <c r="G2066">
        <v>0</v>
      </c>
      <c r="I2066" t="s">
        <v>2103</v>
      </c>
      <c r="J2066" t="str">
        <f>HYPERLINK("http://pbs.twimg.com/media/C4IHWx1XUAEwCPK.jpg", "http://pbs.twimg.com/media/C4IHWx1XUAEwCPK.jpg")</f>
        <v>http://pbs.twimg.com/media/C4IHWx1XUAEwCPK.jpg</v>
      </c>
      <c r="N2066">
        <v>0</v>
      </c>
      <c r="O2066">
        <v>0</v>
      </c>
      <c r="P2066">
        <v>1</v>
      </c>
      <c r="Q2066">
        <v>0</v>
      </c>
    </row>
    <row r="2067" spans="1:17" x14ac:dyDescent="0.2">
      <c r="A2067" s="1" t="str">
        <f>HYPERLINK("http://www.twitter.com/Ugo_Roux/status/829230991550140417", "829230991550140417")</f>
        <v>829230991550140417</v>
      </c>
      <c r="B2067" t="s">
        <v>285</v>
      </c>
      <c r="C2067" s="3">
        <v>42774.313067129631</v>
      </c>
      <c r="D2067" s="5" t="s">
        <v>17</v>
      </c>
      <c r="E2067">
        <v>0</v>
      </c>
      <c r="F2067">
        <v>0</v>
      </c>
      <c r="G2067">
        <v>0</v>
      </c>
      <c r="I2067" t="s">
        <v>2104</v>
      </c>
      <c r="J2067" t="str">
        <f>HYPERLINK("http://pbs.twimg.com/media/C4IFKMSWcAAtqk8.jpg", "http://pbs.twimg.com/media/C4IFKMSWcAAtqk8.jpg")</f>
        <v>http://pbs.twimg.com/media/C4IFKMSWcAAtqk8.jpg</v>
      </c>
      <c r="N2067">
        <v>0</v>
      </c>
      <c r="O2067">
        <v>0</v>
      </c>
      <c r="P2067">
        <v>1</v>
      </c>
      <c r="Q2067">
        <v>0</v>
      </c>
    </row>
    <row r="2068" spans="1:17" x14ac:dyDescent="0.2">
      <c r="A2068" s="1" t="str">
        <f>HYPERLINK("http://www.twitter.com/Ugo_Roux/status/828914141012357120", "828914141012357120")</f>
        <v>828914141012357120</v>
      </c>
      <c r="B2068" t="s">
        <v>97</v>
      </c>
      <c r="C2068" s="3">
        <v>42773.438726851848</v>
      </c>
      <c r="D2068" s="5" t="s">
        <v>28</v>
      </c>
      <c r="E2068">
        <v>0</v>
      </c>
      <c r="F2068">
        <v>0</v>
      </c>
      <c r="G2068">
        <v>0</v>
      </c>
      <c r="I2068" t="s">
        <v>2105</v>
      </c>
      <c r="J2068" t="str">
        <f>HYPERLINK("http://pbs.twimg.com/media/C4DlBEbUYAIHkdy.jpg", "http://pbs.twimg.com/media/C4DlBEbUYAIHkdy.jpg")</f>
        <v>http://pbs.twimg.com/media/C4DlBEbUYAIHkdy.jpg</v>
      </c>
      <c r="N2068">
        <v>0</v>
      </c>
      <c r="O2068">
        <v>0</v>
      </c>
      <c r="P2068">
        <v>1</v>
      </c>
      <c r="Q2068">
        <v>0</v>
      </c>
    </row>
    <row r="2069" spans="1:17" x14ac:dyDescent="0.2">
      <c r="A2069" s="1" t="str">
        <f>HYPERLINK("http://www.twitter.com/Ugo_Roux/status/828870325651775488", "828870325651775488")</f>
        <v>828870325651775488</v>
      </c>
      <c r="B2069" t="s">
        <v>142</v>
      </c>
      <c r="C2069" s="3">
        <v>42773.317812499998</v>
      </c>
      <c r="D2069" s="5" t="s">
        <v>41</v>
      </c>
      <c r="E2069">
        <v>2</v>
      </c>
      <c r="F2069">
        <v>0</v>
      </c>
      <c r="G2069">
        <v>0</v>
      </c>
      <c r="I2069" t="s">
        <v>2106</v>
      </c>
      <c r="N2069">
        <v>0</v>
      </c>
      <c r="O2069">
        <v>0</v>
      </c>
      <c r="P2069">
        <v>1</v>
      </c>
      <c r="Q2069">
        <v>0</v>
      </c>
    </row>
    <row r="2070" spans="1:17" x14ac:dyDescent="0.2">
      <c r="A2070" s="1" t="str">
        <f>HYPERLINK("http://www.twitter.com/Ugo_Roux/status/828867784914370560", "828867784914370560")</f>
        <v>828867784914370560</v>
      </c>
      <c r="B2070" t="s">
        <v>285</v>
      </c>
      <c r="C2070" s="3">
        <v>42773.310810185183</v>
      </c>
      <c r="D2070" s="5" t="s">
        <v>28</v>
      </c>
      <c r="E2070">
        <v>0</v>
      </c>
      <c r="F2070">
        <v>1</v>
      </c>
      <c r="G2070">
        <v>0</v>
      </c>
      <c r="I2070" t="s">
        <v>2107</v>
      </c>
      <c r="J2070" t="str">
        <f>HYPERLINK("http://pbs.twimg.com/media/C4C61F-WIAEU0Lz.jpg", "http://pbs.twimg.com/media/C4C61F-WIAEU0Lz.jpg")</f>
        <v>http://pbs.twimg.com/media/C4C61F-WIAEU0Lz.jpg</v>
      </c>
      <c r="N2070">
        <v>0</v>
      </c>
      <c r="O2070">
        <v>0</v>
      </c>
      <c r="P2070">
        <v>1</v>
      </c>
      <c r="Q2070">
        <v>0</v>
      </c>
    </row>
    <row r="2071" spans="1:17" x14ac:dyDescent="0.2">
      <c r="A2071" s="1" t="str">
        <f>HYPERLINK("http://www.twitter.com/Ugo_Roux/status/827434232758812672", "827434232758812672")</f>
        <v>827434232758812672</v>
      </c>
      <c r="B2071" t="s">
        <v>414</v>
      </c>
      <c r="C2071" s="3">
        <v>42769.354953703703</v>
      </c>
      <c r="D2071" s="5" t="s">
        <v>28</v>
      </c>
      <c r="E2071">
        <v>0</v>
      </c>
      <c r="F2071">
        <v>0</v>
      </c>
      <c r="G2071">
        <v>0</v>
      </c>
      <c r="I2071" t="s">
        <v>2108</v>
      </c>
      <c r="J2071" t="str">
        <f>HYPERLINK("http://pbs.twimg.com/media/C3ui-4pWMAA8ncE.jpg", "http://pbs.twimg.com/media/C3ui-4pWMAA8ncE.jpg")</f>
        <v>http://pbs.twimg.com/media/C3ui-4pWMAA8ncE.jpg</v>
      </c>
      <c r="N2071">
        <v>0</v>
      </c>
      <c r="O2071">
        <v>0</v>
      </c>
      <c r="P2071">
        <v>1</v>
      </c>
      <c r="Q2071">
        <v>0</v>
      </c>
    </row>
    <row r="2072" spans="1:17" x14ac:dyDescent="0.2">
      <c r="A2072" s="1" t="str">
        <f>HYPERLINK("http://www.twitter.com/Ugo_Roux/status/827433817463992320", "827433817463992320")</f>
        <v>827433817463992320</v>
      </c>
      <c r="B2072" t="s">
        <v>476</v>
      </c>
      <c r="C2072" s="3">
        <v>42769.353807870371</v>
      </c>
      <c r="D2072" s="5" t="s">
        <v>17</v>
      </c>
      <c r="E2072">
        <v>2</v>
      </c>
      <c r="F2072">
        <v>2</v>
      </c>
      <c r="G2072">
        <v>0</v>
      </c>
      <c r="I2072" t="s">
        <v>2109</v>
      </c>
      <c r="J2072" t="str">
        <f>HYPERLINK("http://pbs.twimg.com/media/C3uiA1SWYAAWdXx.jpg", "http://pbs.twimg.com/media/C3uiA1SWYAAWdXx.jpg")</f>
        <v>http://pbs.twimg.com/media/C3uiA1SWYAAWdXx.jpg</v>
      </c>
      <c r="N2072">
        <v>0</v>
      </c>
      <c r="O2072">
        <v>0</v>
      </c>
      <c r="P2072">
        <v>1</v>
      </c>
      <c r="Q2072">
        <v>0</v>
      </c>
    </row>
    <row r="2073" spans="1:17" x14ac:dyDescent="0.2">
      <c r="A2073" s="1" t="str">
        <f>HYPERLINK("http://www.twitter.com/Ugo_Roux/status/827430558707900416", "827430558707900416")</f>
        <v>827430558707900416</v>
      </c>
      <c r="B2073" t="s">
        <v>414</v>
      </c>
      <c r="C2073" s="3">
        <v>42769.344814814824</v>
      </c>
      <c r="D2073" s="5" t="s">
        <v>17</v>
      </c>
      <c r="E2073">
        <v>0</v>
      </c>
      <c r="F2073">
        <v>1</v>
      </c>
      <c r="G2073">
        <v>0</v>
      </c>
      <c r="I2073" t="s">
        <v>2110</v>
      </c>
      <c r="J2073" t="str">
        <f>HYPERLINK("http://pbs.twimg.com/media/C3ufs5eWIAI-LdP.jpg", "http://pbs.twimg.com/media/C3ufs5eWIAI-LdP.jpg")</f>
        <v>http://pbs.twimg.com/media/C3ufs5eWIAI-LdP.jpg</v>
      </c>
      <c r="N2073">
        <v>0</v>
      </c>
      <c r="O2073">
        <v>0</v>
      </c>
      <c r="P2073">
        <v>1</v>
      </c>
      <c r="Q2073">
        <v>0</v>
      </c>
    </row>
    <row r="2074" spans="1:17" x14ac:dyDescent="0.2">
      <c r="A2074" s="1" t="str">
        <f>HYPERLINK("http://www.twitter.com/Ugo_Roux/status/826821880191582209", "826821880191582209")</f>
        <v>826821880191582209</v>
      </c>
      <c r="B2074" t="s">
        <v>142</v>
      </c>
      <c r="C2074" s="3">
        <v>42767.665185185193</v>
      </c>
      <c r="D2074" s="5" t="s">
        <v>28</v>
      </c>
      <c r="E2074">
        <v>0</v>
      </c>
      <c r="F2074">
        <v>1</v>
      </c>
      <c r="G2074">
        <v>0</v>
      </c>
      <c r="I2074" t="s">
        <v>2111</v>
      </c>
      <c r="N2074">
        <v>0</v>
      </c>
      <c r="O2074">
        <v>0</v>
      </c>
      <c r="P2074">
        <v>1</v>
      </c>
      <c r="Q2074">
        <v>0</v>
      </c>
    </row>
    <row r="2075" spans="1:17" x14ac:dyDescent="0.2">
      <c r="A2075" s="1" t="str">
        <f>HYPERLINK("http://www.twitter.com/Ugo_Roux/status/826730000590262272", "826730000590262272")</f>
        <v>826730000590262272</v>
      </c>
      <c r="B2075" t="s">
        <v>471</v>
      </c>
      <c r="C2075" s="3">
        <v>42767.411643518521</v>
      </c>
      <c r="D2075" s="3" t="s">
        <v>28</v>
      </c>
      <c r="E2075">
        <v>0</v>
      </c>
      <c r="F2075">
        <v>0</v>
      </c>
      <c r="G2075">
        <v>0</v>
      </c>
      <c r="I2075" t="s">
        <v>2112</v>
      </c>
      <c r="J2075" t="str">
        <f>HYPERLINK("http://pbs.twimg.com/media/C3kigEYW8AAkVlI.jpg", "http://pbs.twimg.com/media/C3kigEYW8AAkVlI.jpg")</f>
        <v>http://pbs.twimg.com/media/C3kigEYW8AAkVlI.jpg</v>
      </c>
      <c r="N2075">
        <v>0</v>
      </c>
      <c r="O2075">
        <v>0</v>
      </c>
      <c r="P2075">
        <v>1</v>
      </c>
      <c r="Q2075">
        <v>0</v>
      </c>
    </row>
    <row r="2076" spans="1:17" x14ac:dyDescent="0.2">
      <c r="A2076" s="1" t="str">
        <f>HYPERLINK("http://www.twitter.com/Ugo_Roux/status/826533536186392576", "826533536186392576")</f>
        <v>826533536186392576</v>
      </c>
      <c r="B2076" t="s">
        <v>142</v>
      </c>
      <c r="C2076" s="3">
        <v>42766.869502314818</v>
      </c>
      <c r="D2076" s="5" t="s">
        <v>17</v>
      </c>
      <c r="E2076">
        <v>0</v>
      </c>
      <c r="F2076">
        <v>2</v>
      </c>
      <c r="G2076">
        <v>0</v>
      </c>
      <c r="I2076" t="s">
        <v>2113</v>
      </c>
      <c r="N2076">
        <v>0</v>
      </c>
      <c r="O2076">
        <v>0</v>
      </c>
      <c r="P2076">
        <v>1</v>
      </c>
      <c r="Q2076">
        <v>0</v>
      </c>
    </row>
    <row r="2077" spans="1:17" x14ac:dyDescent="0.2">
      <c r="A2077" s="1" t="str">
        <f>HYPERLINK("http://www.twitter.com/Ugo_Roux/status/826364037885739008", "826364037885739008")</f>
        <v>826364037885739008</v>
      </c>
      <c r="B2077" t="s">
        <v>414</v>
      </c>
      <c r="C2077" s="3">
        <v>42766.401782407411</v>
      </c>
      <c r="D2077" s="5" t="s">
        <v>28</v>
      </c>
      <c r="E2077">
        <v>1</v>
      </c>
      <c r="F2077">
        <v>0</v>
      </c>
      <c r="G2077">
        <v>0</v>
      </c>
      <c r="I2077" t="s">
        <v>2114</v>
      </c>
      <c r="J2077" t="str">
        <f>HYPERLINK("http://pbs.twimg.com/media/C3fVsyZWIAAFFBH.jpg", "http://pbs.twimg.com/media/C3fVsyZWIAAFFBH.jpg")</f>
        <v>http://pbs.twimg.com/media/C3fVsyZWIAAFFBH.jpg</v>
      </c>
      <c r="N2077">
        <v>0</v>
      </c>
      <c r="O2077">
        <v>0</v>
      </c>
      <c r="P2077">
        <v>1</v>
      </c>
      <c r="Q2077">
        <v>0</v>
      </c>
    </row>
    <row r="2078" spans="1:17" x14ac:dyDescent="0.2">
      <c r="A2078" s="1" t="str">
        <f>HYPERLINK("http://www.twitter.com/Ugo_Roux/status/826336789396848641", "826336789396848641")</f>
        <v>826336789396848641</v>
      </c>
      <c r="B2078" t="s">
        <v>285</v>
      </c>
      <c r="C2078" s="3">
        <v>42766.326585648138</v>
      </c>
      <c r="D2078" s="5" t="s">
        <v>17</v>
      </c>
      <c r="E2078">
        <v>0</v>
      </c>
      <c r="F2078">
        <v>0</v>
      </c>
      <c r="G2078">
        <v>0</v>
      </c>
      <c r="I2078" t="s">
        <v>2115</v>
      </c>
      <c r="J2078" t="str">
        <f>HYPERLINK("http://pbs.twimg.com/media/C3e8xagWYAAwno3.jpg", "http://pbs.twimg.com/media/C3e8xagWYAAwno3.jpg")</f>
        <v>http://pbs.twimg.com/media/C3e8xagWYAAwno3.jpg</v>
      </c>
      <c r="N2078">
        <v>0</v>
      </c>
      <c r="O2078">
        <v>0</v>
      </c>
      <c r="P2078">
        <v>1</v>
      </c>
      <c r="Q2078">
        <v>0</v>
      </c>
    </row>
    <row r="2079" spans="1:17" x14ac:dyDescent="0.2">
      <c r="A2079" s="1" t="str">
        <f>HYPERLINK("http://www.twitter.com/Ugo_Roux/status/825412672183291906", "825412672183291906")</f>
        <v>825412672183291906</v>
      </c>
      <c r="B2079" t="s">
        <v>130</v>
      </c>
      <c r="C2079" s="3">
        <v>42763.776516203703</v>
      </c>
      <c r="D2079" s="5" t="s">
        <v>41</v>
      </c>
      <c r="E2079">
        <v>0</v>
      </c>
      <c r="F2079">
        <v>0</v>
      </c>
      <c r="G2079">
        <v>0</v>
      </c>
      <c r="I2079" t="s">
        <v>2116</v>
      </c>
      <c r="N2079">
        <v>0</v>
      </c>
      <c r="O2079">
        <v>0</v>
      </c>
      <c r="P2079">
        <v>1</v>
      </c>
      <c r="Q2079">
        <v>0</v>
      </c>
    </row>
    <row r="2080" spans="1:17" x14ac:dyDescent="0.2">
      <c r="A2080" s="1" t="str">
        <f>HYPERLINK("http://www.twitter.com/Ugo_Roux/status/825278782546255876", "825278782546255876")</f>
        <v>825278782546255876</v>
      </c>
      <c r="B2080" t="s">
        <v>142</v>
      </c>
      <c r="C2080" s="3">
        <v>42763.407048611109</v>
      </c>
      <c r="D2080" s="5" t="s">
        <v>17</v>
      </c>
      <c r="E2080">
        <v>0</v>
      </c>
      <c r="F2080">
        <v>0</v>
      </c>
      <c r="G2080">
        <v>0</v>
      </c>
      <c r="I2080" t="s">
        <v>2117</v>
      </c>
      <c r="N2080">
        <v>0</v>
      </c>
      <c r="O2080">
        <v>0</v>
      </c>
      <c r="P2080">
        <v>1</v>
      </c>
      <c r="Q2080">
        <v>0</v>
      </c>
    </row>
    <row r="2081" spans="1:17" x14ac:dyDescent="0.2">
      <c r="A2081" s="1" t="str">
        <f>HYPERLINK("http://www.twitter.com/Ugo_Roux/status/825021368982978560", "825021368982978560")</f>
        <v>825021368982978560</v>
      </c>
      <c r="B2081" t="s">
        <v>142</v>
      </c>
      <c r="C2081" s="3">
        <v>42762.69672453704</v>
      </c>
      <c r="D2081" s="5" t="s">
        <v>41</v>
      </c>
      <c r="E2081">
        <v>0</v>
      </c>
      <c r="F2081">
        <v>2</v>
      </c>
      <c r="G2081">
        <v>0</v>
      </c>
      <c r="I2081" t="s">
        <v>2118</v>
      </c>
      <c r="J2081" t="str">
        <f>HYPERLINK("http://pbs.twimg.com/media/C3MQjb8WYAEgVhD.jpg", "http://pbs.twimg.com/media/C3MQjb8WYAEgVhD.jpg")</f>
        <v>http://pbs.twimg.com/media/C3MQjb8WYAEgVhD.jpg</v>
      </c>
      <c r="N2081">
        <v>0</v>
      </c>
      <c r="O2081">
        <v>0</v>
      </c>
      <c r="P2081">
        <v>1</v>
      </c>
      <c r="Q2081">
        <v>0</v>
      </c>
    </row>
    <row r="2082" spans="1:17" x14ac:dyDescent="0.2">
      <c r="A2082" s="1" t="str">
        <f>HYPERLINK("http://www.twitter.com/Ugo_Roux/status/825020737454870528", "825020737454870528")</f>
        <v>825020737454870528</v>
      </c>
      <c r="B2082" t="s">
        <v>142</v>
      </c>
      <c r="C2082" s="3">
        <v>42762.694976851853</v>
      </c>
      <c r="D2082" s="5" t="s">
        <v>28</v>
      </c>
      <c r="E2082">
        <v>1</v>
      </c>
      <c r="F2082">
        <v>1</v>
      </c>
      <c r="G2082">
        <v>0</v>
      </c>
      <c r="I2082" t="s">
        <v>2119</v>
      </c>
      <c r="N2082">
        <v>0</v>
      </c>
      <c r="O2082">
        <v>0</v>
      </c>
      <c r="P2082">
        <v>1</v>
      </c>
      <c r="Q2082">
        <v>0</v>
      </c>
    </row>
    <row r="2083" spans="1:17" x14ac:dyDescent="0.2">
      <c r="A2083" s="1" t="str">
        <f>HYPERLINK("http://www.twitter.com/Ugo_Roux/status/824882599864594432", "824882599864594432")</f>
        <v>824882599864594432</v>
      </c>
      <c r="B2083" t="s">
        <v>285</v>
      </c>
      <c r="C2083" s="3">
        <v>42762.313796296286</v>
      </c>
      <c r="D2083" s="5" t="s">
        <v>17</v>
      </c>
      <c r="E2083">
        <v>1</v>
      </c>
      <c r="F2083">
        <v>1</v>
      </c>
      <c r="G2083">
        <v>0</v>
      </c>
      <c r="I2083" t="s">
        <v>2120</v>
      </c>
      <c r="J2083" t="str">
        <f>HYPERLINK("http://pbs.twimg.com/media/C3KR-V1VUAEmF9S.jpg", "http://pbs.twimg.com/media/C3KR-V1VUAEmF9S.jpg")</f>
        <v>http://pbs.twimg.com/media/C3KR-V1VUAEmF9S.jpg</v>
      </c>
      <c r="N2083">
        <v>0</v>
      </c>
      <c r="O2083">
        <v>0</v>
      </c>
      <c r="P2083">
        <v>1</v>
      </c>
      <c r="Q2083">
        <v>0</v>
      </c>
    </row>
    <row r="2084" spans="1:17" x14ac:dyDescent="0.2">
      <c r="A2084" s="1" t="str">
        <f>HYPERLINK("http://www.twitter.com/Ugo_Roux/status/824227594803482624", "824227594803482624")</f>
        <v>824227594803482624</v>
      </c>
      <c r="B2084" t="s">
        <v>16</v>
      </c>
      <c r="C2084" s="3">
        <v>42760.506319444437</v>
      </c>
      <c r="D2084" s="3" t="s">
        <v>17</v>
      </c>
      <c r="E2084">
        <v>0</v>
      </c>
      <c r="F2084">
        <v>1</v>
      </c>
      <c r="G2084">
        <v>0</v>
      </c>
      <c r="I2084" t="s">
        <v>2121</v>
      </c>
      <c r="N2084">
        <v>0</v>
      </c>
      <c r="O2084">
        <v>0</v>
      </c>
      <c r="P2084">
        <v>1</v>
      </c>
      <c r="Q2084">
        <v>0</v>
      </c>
    </row>
    <row r="2085" spans="1:17" x14ac:dyDescent="0.2">
      <c r="A2085" s="1" t="str">
        <f>HYPERLINK("http://www.twitter.com/Ugo_Roux/status/823897185376993283", "823897185376993283")</f>
        <v>823897185376993283</v>
      </c>
      <c r="B2085" t="s">
        <v>370</v>
      </c>
      <c r="C2085" s="3">
        <v>42759.594560185193</v>
      </c>
      <c r="D2085" s="5" t="s">
        <v>41</v>
      </c>
      <c r="E2085">
        <v>0</v>
      </c>
      <c r="F2085">
        <v>0</v>
      </c>
      <c r="G2085">
        <v>0</v>
      </c>
      <c r="I2085" t="s">
        <v>2122</v>
      </c>
      <c r="J2085" t="str">
        <f>HYPERLINK("http://pbs.twimg.com/media/C28SH0rVQAAisOT.jpg", "http://pbs.twimg.com/media/C28SH0rVQAAisOT.jpg")</f>
        <v>http://pbs.twimg.com/media/C28SH0rVQAAisOT.jpg</v>
      </c>
      <c r="N2085">
        <v>0</v>
      </c>
      <c r="O2085">
        <v>0</v>
      </c>
      <c r="P2085">
        <v>1</v>
      </c>
      <c r="Q2085">
        <v>0</v>
      </c>
    </row>
    <row r="2086" spans="1:17" x14ac:dyDescent="0.2">
      <c r="A2086" s="1" t="str">
        <f>HYPERLINK("http://www.twitter.com/Ugo_Roux/status/823825712226467841", "823825712226467841")</f>
        <v>823825712226467841</v>
      </c>
      <c r="B2086" t="s">
        <v>414</v>
      </c>
      <c r="C2086" s="3">
        <v>42759.397337962961</v>
      </c>
      <c r="D2086" s="5" t="s">
        <v>28</v>
      </c>
      <c r="E2086">
        <v>0</v>
      </c>
      <c r="F2086">
        <v>1</v>
      </c>
      <c r="G2086">
        <v>0</v>
      </c>
      <c r="I2086" t="s">
        <v>2123</v>
      </c>
      <c r="J2086" t="str">
        <f>HYPERLINK("http://pbs.twimg.com/media/C27RAXOXcAAeyT0.jpg", "http://pbs.twimg.com/media/C27RAXOXcAAeyT0.jpg")</f>
        <v>http://pbs.twimg.com/media/C27RAXOXcAAeyT0.jpg</v>
      </c>
      <c r="N2086">
        <v>0</v>
      </c>
      <c r="O2086">
        <v>0</v>
      </c>
      <c r="P2086">
        <v>1</v>
      </c>
      <c r="Q2086">
        <v>0</v>
      </c>
    </row>
    <row r="2087" spans="1:17" x14ac:dyDescent="0.2">
      <c r="A2087" s="1" t="str">
        <f>HYPERLINK("http://www.twitter.com/Ugo_Roux/status/823794399012331520", "823794399012331520")</f>
        <v>823794399012331520</v>
      </c>
      <c r="B2087" t="s">
        <v>285</v>
      </c>
      <c r="C2087" s="3">
        <v>42759.310925925929</v>
      </c>
      <c r="D2087" s="5" t="s">
        <v>41</v>
      </c>
      <c r="E2087">
        <v>0</v>
      </c>
      <c r="F2087">
        <v>0</v>
      </c>
      <c r="G2087">
        <v>0</v>
      </c>
      <c r="I2087" t="s">
        <v>2124</v>
      </c>
      <c r="N2087">
        <v>0</v>
      </c>
      <c r="O2087">
        <v>0</v>
      </c>
      <c r="P2087">
        <v>1</v>
      </c>
      <c r="Q2087">
        <v>0</v>
      </c>
    </row>
    <row r="2088" spans="1:17" x14ac:dyDescent="0.2">
      <c r="A2088" s="1" t="str">
        <f>HYPERLINK("http://www.twitter.com/Ugo_Roux/status/822809748479340544", "822809748479340544")</f>
        <v>822809748479340544</v>
      </c>
      <c r="B2088" t="s">
        <v>97</v>
      </c>
      <c r="C2088" s="3">
        <v>42756.593807870369</v>
      </c>
      <c r="D2088" s="5" t="s">
        <v>41</v>
      </c>
      <c r="E2088">
        <v>0</v>
      </c>
      <c r="F2088">
        <v>0</v>
      </c>
      <c r="G2088">
        <v>0</v>
      </c>
      <c r="I2088" t="s">
        <v>2125</v>
      </c>
      <c r="J2088" t="str">
        <f>HYPERLINK("http://pbs.twimg.com/media/C2s1Gp1UsAEc55v.jpg", "http://pbs.twimg.com/media/C2s1Gp1UsAEc55v.jpg")</f>
        <v>http://pbs.twimg.com/media/C2s1Gp1UsAEc55v.jpg</v>
      </c>
      <c r="N2088">
        <v>0</v>
      </c>
      <c r="O2088">
        <v>0</v>
      </c>
      <c r="P2088">
        <v>1</v>
      </c>
      <c r="Q2088">
        <v>0</v>
      </c>
    </row>
    <row r="2089" spans="1:17" x14ac:dyDescent="0.2">
      <c r="A2089" s="1" t="str">
        <f>HYPERLINK("http://www.twitter.com/Ugo_Roux/status/822470991477673985", "822470991477673985")</f>
        <v>822470991477673985</v>
      </c>
      <c r="B2089" t="s">
        <v>414</v>
      </c>
      <c r="C2089" s="3">
        <v>42755.659016203703</v>
      </c>
      <c r="D2089" s="5" t="s">
        <v>28</v>
      </c>
      <c r="E2089">
        <v>2</v>
      </c>
      <c r="F2089">
        <v>0</v>
      </c>
      <c r="G2089">
        <v>0</v>
      </c>
      <c r="I2089" t="s">
        <v>2126</v>
      </c>
      <c r="N2089">
        <v>0</v>
      </c>
      <c r="O2089">
        <v>0</v>
      </c>
      <c r="P2089">
        <v>1</v>
      </c>
      <c r="Q2089">
        <v>0</v>
      </c>
    </row>
    <row r="2090" spans="1:17" x14ac:dyDescent="0.2">
      <c r="A2090" s="1" t="str">
        <f>HYPERLINK("http://www.twitter.com/Ugo_Roux/status/822433635940913153", "822433635940913153")</f>
        <v>822433635940913153</v>
      </c>
      <c r="B2090" t="s">
        <v>97</v>
      </c>
      <c r="C2090" s="3">
        <v>42755.555937500001</v>
      </c>
      <c r="D2090" s="5" t="s">
        <v>28</v>
      </c>
      <c r="E2090">
        <v>0</v>
      </c>
      <c r="F2090">
        <v>0</v>
      </c>
      <c r="G2090">
        <v>0</v>
      </c>
      <c r="I2090" t="s">
        <v>2127</v>
      </c>
      <c r="J2090" t="str">
        <f>HYPERLINK("http://pbs.twimg.com/media/C2nfCB5VEAEPNB5.jpg", "http://pbs.twimg.com/media/C2nfCB5VEAEPNB5.jpg")</f>
        <v>http://pbs.twimg.com/media/C2nfCB5VEAEPNB5.jpg</v>
      </c>
      <c r="N2090">
        <v>0</v>
      </c>
      <c r="O2090">
        <v>0</v>
      </c>
      <c r="P2090">
        <v>1</v>
      </c>
      <c r="Q2090">
        <v>0</v>
      </c>
    </row>
    <row r="2091" spans="1:17" x14ac:dyDescent="0.2">
      <c r="A2091" s="1" t="str">
        <f>HYPERLINK("http://www.twitter.com/Ugo_Roux/status/822380586127896576", "822380586127896576")</f>
        <v>822380586127896576</v>
      </c>
      <c r="B2091" t="s">
        <v>47</v>
      </c>
      <c r="C2091" s="3">
        <v>42755.409548611111</v>
      </c>
      <c r="D2091" s="5" t="s">
        <v>41</v>
      </c>
      <c r="E2091">
        <v>0</v>
      </c>
      <c r="F2091">
        <v>0</v>
      </c>
      <c r="G2091">
        <v>0</v>
      </c>
      <c r="I2091" t="s">
        <v>2128</v>
      </c>
      <c r="J2091" t="str">
        <f>HYPERLINK("http://pbs.twimg.com/media/C2muximUcAAdQYn.jpg", "http://pbs.twimg.com/media/C2muximUcAAdQYn.jpg")</f>
        <v>http://pbs.twimg.com/media/C2muximUcAAdQYn.jpg</v>
      </c>
      <c r="N2091">
        <v>0</v>
      </c>
      <c r="O2091">
        <v>0</v>
      </c>
      <c r="P2091">
        <v>1</v>
      </c>
      <c r="Q2091">
        <v>0</v>
      </c>
    </row>
    <row r="2092" spans="1:17" x14ac:dyDescent="0.2">
      <c r="A2092" s="1" t="str">
        <f>HYPERLINK("http://www.twitter.com/Ugo_Roux/status/822214690973646848", "822214690973646848")</f>
        <v>822214690973646848</v>
      </c>
      <c r="B2092" t="s">
        <v>142</v>
      </c>
      <c r="C2092" s="3">
        <v>42754.95175925926</v>
      </c>
      <c r="D2092" s="5" t="s">
        <v>17</v>
      </c>
      <c r="E2092">
        <v>1</v>
      </c>
      <c r="F2092">
        <v>0</v>
      </c>
      <c r="G2092">
        <v>0</v>
      </c>
      <c r="I2092" t="s">
        <v>2129</v>
      </c>
      <c r="N2092">
        <v>0</v>
      </c>
      <c r="O2092">
        <v>0</v>
      </c>
      <c r="P2092">
        <v>1</v>
      </c>
      <c r="Q2092">
        <v>0</v>
      </c>
    </row>
    <row r="2093" spans="1:17" x14ac:dyDescent="0.2">
      <c r="A2093" s="1" t="str">
        <f>HYPERLINK("http://www.twitter.com/Ugo_Roux/status/821673895946227719", "821673895946227719")</f>
        <v>821673895946227719</v>
      </c>
      <c r="B2093" t="s">
        <v>16</v>
      </c>
      <c r="C2093" s="3">
        <v>42753.459456018521</v>
      </c>
      <c r="D2093" s="3" t="s">
        <v>17</v>
      </c>
      <c r="E2093">
        <v>4</v>
      </c>
      <c r="F2093">
        <v>0</v>
      </c>
      <c r="G2093">
        <v>0</v>
      </c>
      <c r="I2093" t="s">
        <v>2130</v>
      </c>
      <c r="N2093">
        <v>0</v>
      </c>
      <c r="O2093">
        <v>0</v>
      </c>
      <c r="P2093">
        <v>1</v>
      </c>
      <c r="Q2093">
        <v>0</v>
      </c>
    </row>
    <row r="2094" spans="1:17" x14ac:dyDescent="0.2">
      <c r="A2094" s="1" t="str">
        <f>HYPERLINK("http://www.twitter.com/Ugo_Roux/status/821627070258282496", "821627070258282496")</f>
        <v>821627070258282496</v>
      </c>
      <c r="B2094" t="s">
        <v>142</v>
      </c>
      <c r="C2094" s="3">
        <v>42753.330243055563</v>
      </c>
      <c r="D2094" s="5" t="s">
        <v>28</v>
      </c>
      <c r="E2094">
        <v>0</v>
      </c>
      <c r="F2094">
        <v>1</v>
      </c>
      <c r="G2094">
        <v>0</v>
      </c>
      <c r="I2094" t="s">
        <v>2131</v>
      </c>
      <c r="N2094">
        <v>0.54110000000000003</v>
      </c>
      <c r="O2094">
        <v>0</v>
      </c>
      <c r="P2094">
        <v>0.81100000000000005</v>
      </c>
      <c r="Q2094">
        <v>0.189</v>
      </c>
    </row>
    <row r="2095" spans="1:17" x14ac:dyDescent="0.2">
      <c r="A2095" s="1" t="str">
        <f>HYPERLINK("http://www.twitter.com/Ugo_Roux/status/821404409993330690", "821404409993330690")</f>
        <v>821404409993330690</v>
      </c>
      <c r="B2095" t="s">
        <v>142</v>
      </c>
      <c r="C2095" s="3">
        <v>42752.715810185182</v>
      </c>
      <c r="D2095" s="5" t="s">
        <v>17</v>
      </c>
      <c r="E2095">
        <v>0</v>
      </c>
      <c r="F2095">
        <v>0</v>
      </c>
      <c r="G2095">
        <v>0</v>
      </c>
      <c r="I2095" t="s">
        <v>2132</v>
      </c>
      <c r="N2095">
        <v>0</v>
      </c>
      <c r="O2095">
        <v>0</v>
      </c>
      <c r="P2095">
        <v>1</v>
      </c>
      <c r="Q2095">
        <v>0</v>
      </c>
    </row>
    <row r="2096" spans="1:17" x14ac:dyDescent="0.2">
      <c r="A2096" s="1" t="str">
        <f>HYPERLINK("http://www.twitter.com/Ugo_Roux/status/821325272553295872", "821325272553295872")</f>
        <v>821325272553295872</v>
      </c>
      <c r="B2096" t="s">
        <v>285</v>
      </c>
      <c r="C2096" s="3">
        <v>42752.497442129628</v>
      </c>
      <c r="D2096" s="5" t="s">
        <v>17</v>
      </c>
      <c r="E2096">
        <v>1</v>
      </c>
      <c r="F2096">
        <v>0</v>
      </c>
      <c r="G2096">
        <v>0</v>
      </c>
      <c r="I2096" t="s">
        <v>2133</v>
      </c>
      <c r="N2096">
        <v>0</v>
      </c>
      <c r="O2096">
        <v>0</v>
      </c>
      <c r="P2096">
        <v>1</v>
      </c>
      <c r="Q2096">
        <v>0</v>
      </c>
    </row>
    <row r="2097" spans="1:17" x14ac:dyDescent="0.2">
      <c r="A2097" s="1" t="str">
        <f>HYPERLINK("http://www.twitter.com/Ugo_Roux/status/820278564356583425", "820278564356583425")</f>
        <v>820278564356583425</v>
      </c>
      <c r="B2097" t="s">
        <v>47</v>
      </c>
      <c r="C2097" s="3">
        <v>42749.609074074076</v>
      </c>
      <c r="D2097" s="5" t="s">
        <v>41</v>
      </c>
      <c r="E2097">
        <v>0</v>
      </c>
      <c r="F2097">
        <v>0</v>
      </c>
      <c r="G2097">
        <v>0</v>
      </c>
      <c r="I2097" t="s">
        <v>2134</v>
      </c>
      <c r="J2097" t="str">
        <f>HYPERLINK("http://pbs.twimg.com/media/C2I2_3gXcAAMAyL.jpg", "http://pbs.twimg.com/media/C2I2_3gXcAAMAyL.jpg")</f>
        <v>http://pbs.twimg.com/media/C2I2_3gXcAAMAyL.jpg</v>
      </c>
      <c r="N2097">
        <v>-0.20030000000000001</v>
      </c>
      <c r="O2097">
        <v>0.152</v>
      </c>
      <c r="P2097">
        <v>0.84799999999999998</v>
      </c>
      <c r="Q2097">
        <v>0</v>
      </c>
    </row>
    <row r="2098" spans="1:17" x14ac:dyDescent="0.2">
      <c r="A2098" s="1" t="str">
        <f>HYPERLINK("http://www.twitter.com/Ugo_Roux/status/820199648870760448", "820199648870760448")</f>
        <v>820199648870760448</v>
      </c>
      <c r="B2098" t="s">
        <v>47</v>
      </c>
      <c r="C2098" s="3">
        <v>42749.39130787037</v>
      </c>
      <c r="D2098" s="5" t="s">
        <v>17</v>
      </c>
      <c r="E2098">
        <v>3</v>
      </c>
      <c r="F2098">
        <v>4</v>
      </c>
      <c r="G2098">
        <v>1</v>
      </c>
      <c r="I2098" t="s">
        <v>2135</v>
      </c>
      <c r="N2098">
        <v>0.31819999999999998</v>
      </c>
      <c r="O2098">
        <v>0</v>
      </c>
      <c r="P2098">
        <v>0.89700000000000002</v>
      </c>
      <c r="Q2098">
        <v>0.10299999999999999</v>
      </c>
    </row>
    <row r="2099" spans="1:17" x14ac:dyDescent="0.2">
      <c r="A2099" s="1" t="str">
        <f>HYPERLINK("http://www.twitter.com/Ugo_Roux/status/819942141078228997", "819942141078228997")</f>
        <v>819942141078228997</v>
      </c>
      <c r="B2099" t="s">
        <v>16</v>
      </c>
      <c r="C2099" s="3">
        <v>42748.680717592593</v>
      </c>
      <c r="D2099" s="3" t="s">
        <v>17</v>
      </c>
      <c r="E2099">
        <v>3</v>
      </c>
      <c r="F2099">
        <v>0</v>
      </c>
      <c r="G2099">
        <v>0</v>
      </c>
      <c r="I2099" t="s">
        <v>2136</v>
      </c>
      <c r="N2099">
        <v>0</v>
      </c>
      <c r="O2099">
        <v>0</v>
      </c>
      <c r="P2099">
        <v>1</v>
      </c>
      <c r="Q2099">
        <v>0</v>
      </c>
    </row>
    <row r="2100" spans="1:17" x14ac:dyDescent="0.2">
      <c r="A2100" s="1" t="str">
        <f>HYPERLINK("http://www.twitter.com/Ugo_Roux/status/819925000778117121", "819925000778117121")</f>
        <v>819925000778117121</v>
      </c>
      <c r="B2100" t="s">
        <v>476</v>
      </c>
      <c r="C2100" s="3">
        <v>42748.633425925917</v>
      </c>
      <c r="D2100" s="5" t="s">
        <v>28</v>
      </c>
      <c r="E2100">
        <v>0</v>
      </c>
      <c r="F2100">
        <v>0</v>
      </c>
      <c r="G2100">
        <v>0</v>
      </c>
      <c r="I2100" t="s">
        <v>2137</v>
      </c>
      <c r="N2100">
        <v>0</v>
      </c>
      <c r="O2100">
        <v>0</v>
      </c>
      <c r="P2100">
        <v>1</v>
      </c>
      <c r="Q2100">
        <v>0</v>
      </c>
    </row>
    <row r="2101" spans="1:17" x14ac:dyDescent="0.2">
      <c r="A2101" s="1" t="str">
        <f>HYPERLINK("http://www.twitter.com/Ugo_Roux/status/819850596333342721", "819850596333342721")</f>
        <v>819850596333342721</v>
      </c>
      <c r="B2101" t="s">
        <v>16</v>
      </c>
      <c r="C2101" s="3">
        <v>42748.428101851852</v>
      </c>
      <c r="D2101" s="3" t="s">
        <v>28</v>
      </c>
      <c r="E2101">
        <v>2</v>
      </c>
      <c r="F2101">
        <v>0</v>
      </c>
      <c r="G2101">
        <v>0</v>
      </c>
      <c r="I2101" t="s">
        <v>2138</v>
      </c>
      <c r="J2101" t="str">
        <f>HYPERLINK("http://pbs.twimg.com/media/C2Ct-1bXEAUzjlB.jpg", "http://pbs.twimg.com/media/C2Ct-1bXEAUzjlB.jpg")</f>
        <v>http://pbs.twimg.com/media/C2Ct-1bXEAUzjlB.jpg</v>
      </c>
      <c r="N2101">
        <v>0</v>
      </c>
      <c r="O2101">
        <v>0</v>
      </c>
      <c r="P2101">
        <v>1</v>
      </c>
      <c r="Q2101">
        <v>0</v>
      </c>
    </row>
    <row r="2102" spans="1:17" x14ac:dyDescent="0.2">
      <c r="A2102" s="1" t="str">
        <f>HYPERLINK("http://www.twitter.com/Ugo_Roux/status/819446423586476032", "819446423586476032")</f>
        <v>819446423586476032</v>
      </c>
      <c r="B2102" t="s">
        <v>285</v>
      </c>
      <c r="C2102" s="3">
        <v>42747.312800925924</v>
      </c>
      <c r="D2102" s="5" t="s">
        <v>17</v>
      </c>
      <c r="E2102">
        <v>0</v>
      </c>
      <c r="F2102">
        <v>0</v>
      </c>
      <c r="G2102">
        <v>0</v>
      </c>
      <c r="I2102" t="s">
        <v>2139</v>
      </c>
      <c r="J2102" t="str">
        <f>HYPERLINK("http://pbs.twimg.com/media/C19CKrUXAAAFHge.jpg", "http://pbs.twimg.com/media/C19CKrUXAAAFHge.jpg")</f>
        <v>http://pbs.twimg.com/media/C19CKrUXAAAFHge.jpg</v>
      </c>
      <c r="N2102">
        <v>0.45879999999999999</v>
      </c>
      <c r="O2102">
        <v>0</v>
      </c>
      <c r="P2102">
        <v>0.82399999999999995</v>
      </c>
      <c r="Q2102">
        <v>0.17599999999999999</v>
      </c>
    </row>
    <row r="2103" spans="1:17" x14ac:dyDescent="0.2">
      <c r="A2103" s="1" t="str">
        <f>HYPERLINK("http://www.twitter.com/Ugo_Roux/status/819221127801212929", "819221127801212929")</f>
        <v>819221127801212929</v>
      </c>
      <c r="B2103" t="s">
        <v>471</v>
      </c>
      <c r="C2103" s="3">
        <v>42746.691099537027</v>
      </c>
      <c r="D2103" s="3" t="s">
        <v>28</v>
      </c>
      <c r="E2103">
        <v>1</v>
      </c>
      <c r="F2103">
        <v>1</v>
      </c>
      <c r="G2103">
        <v>0</v>
      </c>
      <c r="I2103" t="s">
        <v>2140</v>
      </c>
      <c r="J2103" t="str">
        <f>HYPERLINK("http://pbs.twimg.com/media/C150yk_WQAE_A1y.jpg", "http://pbs.twimg.com/media/C150yk_WQAE_A1y.jpg")</f>
        <v>http://pbs.twimg.com/media/C150yk_WQAE_A1y.jpg</v>
      </c>
      <c r="N2103">
        <v>0</v>
      </c>
      <c r="O2103">
        <v>0</v>
      </c>
      <c r="P2103">
        <v>1</v>
      </c>
      <c r="Q2103">
        <v>0</v>
      </c>
    </row>
    <row r="2104" spans="1:17" x14ac:dyDescent="0.2">
      <c r="A2104" s="1" t="str">
        <f>HYPERLINK("http://www.twitter.com/Ugo_Roux/status/819108284372320256", "819108284372320256")</f>
        <v>819108284372320256</v>
      </c>
      <c r="B2104" t="s">
        <v>476</v>
      </c>
      <c r="C2104" s="3">
        <v>42746.379710648151</v>
      </c>
      <c r="D2104" s="5" t="s">
        <v>41</v>
      </c>
      <c r="E2104">
        <v>1</v>
      </c>
      <c r="F2104">
        <v>0</v>
      </c>
      <c r="G2104">
        <v>0</v>
      </c>
      <c r="I2104" t="s">
        <v>2141</v>
      </c>
      <c r="J2104" t="str">
        <f>HYPERLINK("http://pbs.twimg.com/media/C14Oe0kWIAA6B8y.jpg", "http://pbs.twimg.com/media/C14Oe0kWIAA6B8y.jpg")</f>
        <v>http://pbs.twimg.com/media/C14Oe0kWIAA6B8y.jpg</v>
      </c>
      <c r="N2104">
        <v>0</v>
      </c>
      <c r="O2104">
        <v>0</v>
      </c>
      <c r="P2104">
        <v>1</v>
      </c>
      <c r="Q2104">
        <v>0</v>
      </c>
    </row>
    <row r="2105" spans="1:17" x14ac:dyDescent="0.2">
      <c r="A2105" s="1" t="str">
        <f>HYPERLINK("http://www.twitter.com/Ugo_Roux/status/819080484932173824", "819080484932173824")</f>
        <v>819080484932173824</v>
      </c>
      <c r="B2105" t="s">
        <v>285</v>
      </c>
      <c r="C2105" s="3">
        <v>42746.30300925926</v>
      </c>
      <c r="D2105" s="5" t="s">
        <v>28</v>
      </c>
      <c r="E2105">
        <v>0</v>
      </c>
      <c r="F2105">
        <v>0</v>
      </c>
      <c r="G2105">
        <v>0</v>
      </c>
      <c r="I2105" t="s">
        <v>2142</v>
      </c>
      <c r="N2105">
        <v>0</v>
      </c>
      <c r="O2105">
        <v>0</v>
      </c>
      <c r="P2105">
        <v>1</v>
      </c>
      <c r="Q2105">
        <v>0</v>
      </c>
    </row>
    <row r="2106" spans="1:17" x14ac:dyDescent="0.2">
      <c r="A2106" s="1" t="str">
        <f>HYPERLINK("http://www.twitter.com/Ugo_Roux/status/818857999930376193", "818857999930376193")</f>
        <v>818857999930376193</v>
      </c>
      <c r="B2106" t="s">
        <v>414</v>
      </c>
      <c r="C2106" s="3">
        <v>42745.689062500001</v>
      </c>
      <c r="D2106" s="5" t="s">
        <v>17</v>
      </c>
      <c r="E2106">
        <v>1</v>
      </c>
      <c r="F2106">
        <v>2</v>
      </c>
      <c r="G2106">
        <v>0</v>
      </c>
      <c r="I2106" t="s">
        <v>2143</v>
      </c>
      <c r="J2106" t="str">
        <f>HYPERLINK("http://pbs.twimg.com/media/C10qzdgXEAMQBQD.jpg", "http://pbs.twimg.com/media/C10qzdgXEAMQBQD.jpg")</f>
        <v>http://pbs.twimg.com/media/C10qzdgXEAMQBQD.jpg</v>
      </c>
      <c r="K2106" t="str">
        <f>HYPERLINK("http://pbs.twimg.com/media/C10q0lPWEAAgHqA.jpg", "http://pbs.twimg.com/media/C10q0lPWEAAgHqA.jpg")</f>
        <v>http://pbs.twimg.com/media/C10q0lPWEAAgHqA.jpg</v>
      </c>
      <c r="L2106" t="str">
        <f>HYPERLINK("http://pbs.twimg.com/media/C10q25BWEAENh0D.png", "http://pbs.twimg.com/media/C10q25BWEAENh0D.png")</f>
        <v>http://pbs.twimg.com/media/C10q25BWEAENh0D.png</v>
      </c>
      <c r="N2106">
        <v>0</v>
      </c>
      <c r="O2106">
        <v>0</v>
      </c>
      <c r="P2106">
        <v>1</v>
      </c>
      <c r="Q2106">
        <v>0</v>
      </c>
    </row>
    <row r="2107" spans="1:17" x14ac:dyDescent="0.2">
      <c r="A2107" s="1" t="str">
        <f>HYPERLINK("http://www.twitter.com/Ugo_Roux/status/818784195417952256", "818784195417952256")</f>
        <v>818784195417952256</v>
      </c>
      <c r="B2107" t="s">
        <v>16</v>
      </c>
      <c r="C2107" s="3">
        <v>42745.485405092593</v>
      </c>
      <c r="D2107" s="3" t="s">
        <v>17</v>
      </c>
      <c r="E2107">
        <v>0</v>
      </c>
      <c r="F2107">
        <v>0</v>
      </c>
      <c r="G2107">
        <v>0</v>
      </c>
      <c r="I2107" t="s">
        <v>2144</v>
      </c>
      <c r="N2107">
        <v>-0.128</v>
      </c>
      <c r="O2107">
        <v>8.1000000000000003E-2</v>
      </c>
      <c r="P2107">
        <v>0.91900000000000004</v>
      </c>
      <c r="Q2107">
        <v>0</v>
      </c>
    </row>
    <row r="2108" spans="1:17" x14ac:dyDescent="0.2">
      <c r="A2108" s="1" t="str">
        <f>HYPERLINK("http://www.twitter.com/Ugo_Roux/status/818719530549673985", "818719530549673985")</f>
        <v>818719530549673985</v>
      </c>
      <c r="B2108" t="s">
        <v>285</v>
      </c>
      <c r="C2108" s="3">
        <v>42745.306956018518</v>
      </c>
      <c r="D2108" s="5" t="s">
        <v>17</v>
      </c>
      <c r="E2108">
        <v>1</v>
      </c>
      <c r="F2108">
        <v>0</v>
      </c>
      <c r="G2108">
        <v>0</v>
      </c>
      <c r="I2108" t="s">
        <v>2145</v>
      </c>
      <c r="J2108" t="str">
        <f>HYPERLINK("http://pbs.twimg.com/media/C1ytDYaXAAAaqer.jpg", "http://pbs.twimg.com/media/C1ytDYaXAAAaqer.jpg")</f>
        <v>http://pbs.twimg.com/media/C1ytDYaXAAAaqer.jpg</v>
      </c>
      <c r="N2108">
        <v>0</v>
      </c>
      <c r="O2108">
        <v>0</v>
      </c>
      <c r="P2108">
        <v>1</v>
      </c>
      <c r="Q2108">
        <v>0</v>
      </c>
    </row>
    <row r="2109" spans="1:17" x14ac:dyDescent="0.2">
      <c r="A2109" s="1" t="str">
        <f>HYPERLINK("http://www.twitter.com/Ugo_Roux/status/817429235652497408", "817429235652497408")</f>
        <v>817429235652497408</v>
      </c>
      <c r="B2109" t="s">
        <v>285</v>
      </c>
      <c r="C2109" s="3">
        <v>42741.746423611112</v>
      </c>
      <c r="D2109" s="5" t="s">
        <v>28</v>
      </c>
      <c r="E2109">
        <v>0</v>
      </c>
      <c r="F2109">
        <v>0</v>
      </c>
      <c r="G2109">
        <v>0</v>
      </c>
      <c r="I2109" t="s">
        <v>2146</v>
      </c>
      <c r="N2109">
        <v>0</v>
      </c>
      <c r="O2109">
        <v>0</v>
      </c>
      <c r="P2109">
        <v>1</v>
      </c>
      <c r="Q2109">
        <v>0</v>
      </c>
    </row>
    <row r="2110" spans="1:17" x14ac:dyDescent="0.2">
      <c r="A2110" s="1" t="str">
        <f>HYPERLINK("http://www.twitter.com/Ugo_Roux/status/816958967893073920", "816958967893073920")</f>
        <v>816958967893073920</v>
      </c>
      <c r="B2110" t="s">
        <v>16</v>
      </c>
      <c r="C2110" s="3">
        <v>42740.44872685185</v>
      </c>
      <c r="D2110" s="3" t="s">
        <v>28</v>
      </c>
      <c r="E2110">
        <v>2</v>
      </c>
      <c r="F2110">
        <v>1</v>
      </c>
      <c r="G2110">
        <v>1</v>
      </c>
      <c r="I2110" t="s">
        <v>2147</v>
      </c>
      <c r="J2110" t="str">
        <f>HYPERLINK("http://pbs.twimg.com/media/C1Zp_w1XEAAsEce.jpg", "http://pbs.twimg.com/media/C1Zp_w1XEAAsEce.jpg")</f>
        <v>http://pbs.twimg.com/media/C1Zp_w1XEAAsEce.jpg</v>
      </c>
      <c r="N2110">
        <v>0</v>
      </c>
      <c r="O2110">
        <v>0</v>
      </c>
      <c r="P2110">
        <v>1</v>
      </c>
      <c r="Q2110">
        <v>0</v>
      </c>
    </row>
    <row r="2111" spans="1:17" x14ac:dyDescent="0.2">
      <c r="A2111" s="1" t="str">
        <f>HYPERLINK("http://www.twitter.com/Ugo_Roux/status/816948064107855872", "816948064107855872")</f>
        <v>816948064107855872</v>
      </c>
      <c r="B2111" t="s">
        <v>97</v>
      </c>
      <c r="C2111" s="3">
        <v>42740.418645833342</v>
      </c>
      <c r="D2111" s="5" t="s">
        <v>28</v>
      </c>
      <c r="E2111">
        <v>0</v>
      </c>
      <c r="F2111">
        <v>0</v>
      </c>
      <c r="G2111">
        <v>0</v>
      </c>
      <c r="I2111" t="s">
        <v>2148</v>
      </c>
      <c r="J2111" t="str">
        <f>HYPERLINK("http://pbs.twimg.com/media/C1Zh7w8VEAA1Zs0.jpg", "http://pbs.twimg.com/media/C1Zh7w8VEAA1Zs0.jpg")</f>
        <v>http://pbs.twimg.com/media/C1Zh7w8VEAA1Zs0.jpg</v>
      </c>
      <c r="N2111">
        <v>0</v>
      </c>
      <c r="O2111">
        <v>0</v>
      </c>
      <c r="P2111">
        <v>1</v>
      </c>
      <c r="Q2111">
        <v>0</v>
      </c>
    </row>
    <row r="2112" spans="1:17" x14ac:dyDescent="0.2">
      <c r="A2112" s="1" t="str">
        <f>HYPERLINK("http://www.twitter.com/Ugo_Roux/status/816305080051920897", "816305080051920897")</f>
        <v>816305080051920897</v>
      </c>
      <c r="B2112" t="s">
        <v>370</v>
      </c>
      <c r="C2112" s="3">
        <v>42738.64434027778</v>
      </c>
      <c r="D2112" s="5" t="s">
        <v>41</v>
      </c>
      <c r="E2112">
        <v>0</v>
      </c>
      <c r="F2112">
        <v>0</v>
      </c>
      <c r="G2112">
        <v>0</v>
      </c>
      <c r="I2112" t="s">
        <v>2149</v>
      </c>
      <c r="J2112" t="str">
        <f>HYPERLINK("http://pbs.twimg.com/media/C1QZJLxUUAAlx9S.jpg", "http://pbs.twimg.com/media/C1QZJLxUUAAlx9S.jpg")</f>
        <v>http://pbs.twimg.com/media/C1QZJLxUUAAlx9S.jpg</v>
      </c>
      <c r="N2112">
        <v>0</v>
      </c>
      <c r="O2112">
        <v>0</v>
      </c>
      <c r="P2112">
        <v>1</v>
      </c>
      <c r="Q2112">
        <v>0</v>
      </c>
    </row>
    <row r="2113" spans="1:17" x14ac:dyDescent="0.2">
      <c r="A2113" s="1" t="str">
        <f>HYPERLINK("http://www.twitter.com/Ugo_Roux/status/816242480970600449", "816242480970600449")</f>
        <v>816242480970600449</v>
      </c>
      <c r="B2113" t="s">
        <v>370</v>
      </c>
      <c r="C2113" s="3">
        <v>42738.471608796302</v>
      </c>
      <c r="D2113" s="5" t="s">
        <v>28</v>
      </c>
      <c r="E2113">
        <v>1</v>
      </c>
      <c r="F2113">
        <v>0</v>
      </c>
      <c r="G2113">
        <v>0</v>
      </c>
      <c r="I2113" t="s">
        <v>2150</v>
      </c>
      <c r="J2113" t="str">
        <f>HYPERLINK("http://pbs.twimg.com/media/C1PgNbDVIAArn0k.jpg", "http://pbs.twimg.com/media/C1PgNbDVIAArn0k.jpg")</f>
        <v>http://pbs.twimg.com/media/C1PgNbDVIAArn0k.jpg</v>
      </c>
      <c r="N2113">
        <v>0</v>
      </c>
      <c r="O2113">
        <v>0</v>
      </c>
      <c r="P2113">
        <v>1</v>
      </c>
      <c r="Q2113">
        <v>0</v>
      </c>
    </row>
    <row r="2114" spans="1:17" x14ac:dyDescent="0.2">
      <c r="A2114" s="1" t="str">
        <f>HYPERLINK("http://www.twitter.com/Ugo_Roux/status/816229524954292225", "816229524954292225")</f>
        <v>816229524954292225</v>
      </c>
      <c r="B2114" t="s">
        <v>370</v>
      </c>
      <c r="C2114" s="3">
        <v>42738.435856481483</v>
      </c>
      <c r="D2114" s="5" t="s">
        <v>28</v>
      </c>
      <c r="E2114">
        <v>0</v>
      </c>
      <c r="F2114">
        <v>0</v>
      </c>
      <c r="G2114">
        <v>0</v>
      </c>
      <c r="I2114" t="s">
        <v>2151</v>
      </c>
      <c r="J2114" t="str">
        <f>HYPERLINK("http://pbs.twimg.com/media/C1PUbTQVQAABPRi.jpg", "http://pbs.twimg.com/media/C1PUbTQVQAABPRi.jpg")</f>
        <v>http://pbs.twimg.com/media/C1PUbTQVQAABPRi.jpg</v>
      </c>
      <c r="N2114">
        <v>0</v>
      </c>
      <c r="O2114">
        <v>0</v>
      </c>
      <c r="P2114">
        <v>1</v>
      </c>
      <c r="Q2114">
        <v>0</v>
      </c>
    </row>
    <row r="2115" spans="1:17" x14ac:dyDescent="0.2">
      <c r="A2115" s="1" t="str">
        <f>HYPERLINK("http://www.twitter.com/Ugo_Roux/status/816193088867667968", "816193088867667968")</f>
        <v>816193088867667968</v>
      </c>
      <c r="B2115" t="s">
        <v>414</v>
      </c>
      <c r="C2115" s="3">
        <v>42738.335312499999</v>
      </c>
      <c r="D2115" s="5" t="s">
        <v>41</v>
      </c>
      <c r="E2115">
        <v>0</v>
      </c>
      <c r="F2115">
        <v>0</v>
      </c>
      <c r="G2115">
        <v>0</v>
      </c>
      <c r="I2115" t="s">
        <v>2152</v>
      </c>
      <c r="J2115" t="str">
        <f>HYPERLINK("http://pbs.twimg.com/media/C1OzR3WWEAAPNVg.jpg", "http://pbs.twimg.com/media/C1OzR3WWEAAPNVg.jpg")</f>
        <v>http://pbs.twimg.com/media/C1OzR3WWEAAPNVg.jpg</v>
      </c>
      <c r="N2115">
        <v>0</v>
      </c>
      <c r="O2115">
        <v>0</v>
      </c>
      <c r="P2115">
        <v>1</v>
      </c>
      <c r="Q2115">
        <v>0</v>
      </c>
    </row>
    <row r="2116" spans="1:17" x14ac:dyDescent="0.2">
      <c r="A2116" s="1" t="str">
        <f>HYPERLINK("http://www.twitter.com/Ugo_Roux/status/815131595363516416", "815131595363516416")</f>
        <v>815131595363516416</v>
      </c>
      <c r="B2116" t="s">
        <v>16</v>
      </c>
      <c r="C2116" s="3">
        <v>42735.406145833331</v>
      </c>
      <c r="D2116" s="3" t="s">
        <v>239</v>
      </c>
      <c r="E2116">
        <v>1</v>
      </c>
      <c r="F2116">
        <v>0</v>
      </c>
      <c r="G2116">
        <v>0</v>
      </c>
      <c r="I2116" t="s">
        <v>2153</v>
      </c>
      <c r="N2116">
        <v>0</v>
      </c>
      <c r="O2116">
        <v>0</v>
      </c>
      <c r="P2116">
        <v>1</v>
      </c>
      <c r="Q2116">
        <v>0</v>
      </c>
    </row>
    <row r="2117" spans="1:17" x14ac:dyDescent="0.2">
      <c r="A2117" s="1" t="str">
        <f>HYPERLINK("http://www.twitter.com/Ugo_Roux/status/814042986568970240", "814042986568970240")</f>
        <v>814042986568970240</v>
      </c>
      <c r="B2117" t="s">
        <v>414</v>
      </c>
      <c r="C2117" s="3">
        <v>42732.40215277778</v>
      </c>
      <c r="D2117" s="5" t="s">
        <v>41</v>
      </c>
      <c r="E2117">
        <v>0</v>
      </c>
      <c r="F2117">
        <v>0</v>
      </c>
      <c r="G2117">
        <v>0</v>
      </c>
      <c r="I2117" t="s">
        <v>2154</v>
      </c>
      <c r="J2117" t="str">
        <f>HYPERLINK("http://pbs.twimg.com/media/C0wPv8sXcAA9O7U.jpg", "http://pbs.twimg.com/media/C0wPv8sXcAA9O7U.jpg")</f>
        <v>http://pbs.twimg.com/media/C0wPv8sXcAA9O7U.jpg</v>
      </c>
      <c r="N2117">
        <v>0</v>
      </c>
      <c r="O2117">
        <v>0</v>
      </c>
      <c r="P2117">
        <v>1</v>
      </c>
      <c r="Q2117">
        <v>0</v>
      </c>
    </row>
    <row r="2118" spans="1:17" x14ac:dyDescent="0.2">
      <c r="A2118" s="1" t="str">
        <f>HYPERLINK("http://www.twitter.com/Ugo_Roux/status/812586056126230528", "812586056126230528")</f>
        <v>812586056126230528</v>
      </c>
      <c r="B2118" t="s">
        <v>414</v>
      </c>
      <c r="C2118" s="3">
        <v>42728.381793981483</v>
      </c>
      <c r="D2118" s="5" t="s">
        <v>41</v>
      </c>
      <c r="E2118">
        <v>0</v>
      </c>
      <c r="F2118">
        <v>0</v>
      </c>
      <c r="G2118">
        <v>0</v>
      </c>
      <c r="I2118" t="s">
        <v>2155</v>
      </c>
      <c r="J2118" t="str">
        <f>HYPERLINK("http://pbs.twimg.com/media/C0bitGnW8AAJofD.jpg", "http://pbs.twimg.com/media/C0bitGnW8AAJofD.jpg")</f>
        <v>http://pbs.twimg.com/media/C0bitGnW8AAJofD.jpg</v>
      </c>
      <c r="N2118">
        <v>0</v>
      </c>
      <c r="O2118">
        <v>0</v>
      </c>
      <c r="P2118">
        <v>1</v>
      </c>
      <c r="Q2118">
        <v>0</v>
      </c>
    </row>
    <row r="2119" spans="1:17" x14ac:dyDescent="0.2">
      <c r="A2119" s="1" t="str">
        <f>HYPERLINK("http://www.twitter.com/Ugo_Roux/status/812323621406392321", "812323621406392321")</f>
        <v>812323621406392321</v>
      </c>
      <c r="B2119" t="s">
        <v>16</v>
      </c>
      <c r="C2119" s="3">
        <v>42727.65761574074</v>
      </c>
      <c r="D2119" s="3" t="s">
        <v>17</v>
      </c>
      <c r="E2119">
        <v>2</v>
      </c>
      <c r="F2119">
        <v>0</v>
      </c>
      <c r="G2119">
        <v>0</v>
      </c>
      <c r="I2119" t="s">
        <v>2156</v>
      </c>
      <c r="N2119">
        <v>0</v>
      </c>
      <c r="O2119">
        <v>0</v>
      </c>
      <c r="P2119">
        <v>1</v>
      </c>
      <c r="Q2119">
        <v>0</v>
      </c>
    </row>
    <row r="2120" spans="1:17" x14ac:dyDescent="0.2">
      <c r="A2120" s="1" t="str">
        <f>HYPERLINK("http://www.twitter.com/Ugo_Roux/status/812248100907679744", "812248100907679744")</f>
        <v>812248100907679744</v>
      </c>
      <c r="B2120" t="s">
        <v>285</v>
      </c>
      <c r="C2120" s="3">
        <v>42727.449212962973</v>
      </c>
      <c r="D2120" s="5" t="s">
        <v>17</v>
      </c>
      <c r="E2120">
        <v>2</v>
      </c>
      <c r="F2120">
        <v>0</v>
      </c>
      <c r="G2120">
        <v>1</v>
      </c>
      <c r="I2120" t="s">
        <v>2157</v>
      </c>
      <c r="N2120">
        <v>0</v>
      </c>
      <c r="O2120">
        <v>0</v>
      </c>
      <c r="P2120">
        <v>1</v>
      </c>
      <c r="Q2120">
        <v>0</v>
      </c>
    </row>
    <row r="2121" spans="1:17" x14ac:dyDescent="0.2">
      <c r="A2121" s="1" t="str">
        <f>HYPERLINK("http://www.twitter.com/Ugo_Roux/status/811844069433425920", "811844069433425920")</f>
        <v>811844069433425920</v>
      </c>
      <c r="B2121" t="s">
        <v>97</v>
      </c>
      <c r="C2121" s="3">
        <v>42726.334305555552</v>
      </c>
      <c r="D2121" s="5" t="s">
        <v>17</v>
      </c>
      <c r="E2121">
        <v>0</v>
      </c>
      <c r="F2121">
        <v>0</v>
      </c>
      <c r="G2121">
        <v>0</v>
      </c>
      <c r="I2121" t="s">
        <v>2158</v>
      </c>
      <c r="J2121" t="str">
        <f>HYPERLINK("http://pbs.twimg.com/media/C0Q_4KMUQAASgMM.jpg", "http://pbs.twimg.com/media/C0Q_4KMUQAASgMM.jpg")</f>
        <v>http://pbs.twimg.com/media/C0Q_4KMUQAASgMM.jpg</v>
      </c>
      <c r="N2121">
        <v>0</v>
      </c>
      <c r="O2121">
        <v>0</v>
      </c>
      <c r="P2121">
        <v>1</v>
      </c>
      <c r="Q2121">
        <v>0</v>
      </c>
    </row>
    <row r="2122" spans="1:17" x14ac:dyDescent="0.2">
      <c r="A2122" s="1" t="str">
        <f>HYPERLINK("http://www.twitter.com/Ugo_Roux/status/811521148311760896", "811521148311760896")</f>
        <v>811521148311760896</v>
      </c>
      <c r="B2122" t="s">
        <v>16</v>
      </c>
      <c r="C2122" s="3">
        <v>42725.443206018521</v>
      </c>
      <c r="D2122" s="3" t="s">
        <v>17</v>
      </c>
      <c r="E2122">
        <v>1</v>
      </c>
      <c r="F2122">
        <v>1</v>
      </c>
      <c r="G2122">
        <v>0</v>
      </c>
      <c r="I2122" t="s">
        <v>2159</v>
      </c>
      <c r="J2122" t="str">
        <f>HYPERLINK("http://pbs.twimg.com/media/C0MaJX7WQAAiiQq.jpg", "http://pbs.twimg.com/media/C0MaJX7WQAAiiQq.jpg")</f>
        <v>http://pbs.twimg.com/media/C0MaJX7WQAAiiQq.jpg</v>
      </c>
      <c r="N2122">
        <v>0</v>
      </c>
      <c r="O2122">
        <v>0</v>
      </c>
      <c r="P2122">
        <v>1</v>
      </c>
      <c r="Q2122">
        <v>0</v>
      </c>
    </row>
    <row r="2123" spans="1:17" x14ac:dyDescent="0.2">
      <c r="A2123" s="1" t="str">
        <f>HYPERLINK("http://www.twitter.com/Ugo_Roux/status/809659728515235841", "809659728515235841")</f>
        <v>809659728515235841</v>
      </c>
      <c r="B2123" t="s">
        <v>285</v>
      </c>
      <c r="C2123" s="3">
        <v>42720.306666666656</v>
      </c>
      <c r="D2123" s="5" t="s">
        <v>28</v>
      </c>
      <c r="E2123">
        <v>2</v>
      </c>
      <c r="F2123">
        <v>0</v>
      </c>
      <c r="G2123">
        <v>0</v>
      </c>
      <c r="I2123" t="s">
        <v>2160</v>
      </c>
      <c r="N2123">
        <v>0</v>
      </c>
      <c r="O2123">
        <v>0</v>
      </c>
      <c r="P2123">
        <v>1</v>
      </c>
      <c r="Q2123">
        <v>0</v>
      </c>
    </row>
    <row r="2124" spans="1:17" x14ac:dyDescent="0.2">
      <c r="A2124" s="1" t="str">
        <f>HYPERLINK("http://www.twitter.com/Ugo_Roux/status/809339787190665216", "809339787190665216")</f>
        <v>809339787190665216</v>
      </c>
      <c r="B2124" t="s">
        <v>476</v>
      </c>
      <c r="C2124" s="3">
        <v>42719.423796296287</v>
      </c>
      <c r="D2124" s="5" t="s">
        <v>28</v>
      </c>
      <c r="E2124">
        <v>0</v>
      </c>
      <c r="F2124">
        <v>0</v>
      </c>
      <c r="G2124">
        <v>0</v>
      </c>
      <c r="I2124" t="s">
        <v>2161</v>
      </c>
      <c r="N2124">
        <v>0</v>
      </c>
      <c r="O2124">
        <v>0</v>
      </c>
      <c r="P2124">
        <v>1</v>
      </c>
      <c r="Q2124">
        <v>0</v>
      </c>
    </row>
    <row r="2125" spans="1:17" x14ac:dyDescent="0.2">
      <c r="A2125" s="1" t="str">
        <f>HYPERLINK("http://www.twitter.com/Ugo_Roux/status/808647435371315201", "808647435371315201")</f>
        <v>808647435371315201</v>
      </c>
      <c r="B2125" t="s">
        <v>97</v>
      </c>
      <c r="C2125" s="3">
        <v>42717.513275462959</v>
      </c>
      <c r="D2125" s="5" t="s">
        <v>28</v>
      </c>
      <c r="E2125">
        <v>0</v>
      </c>
      <c r="F2125">
        <v>0</v>
      </c>
      <c r="G2125">
        <v>0</v>
      </c>
      <c r="I2125" t="s">
        <v>2162</v>
      </c>
      <c r="J2125" t="str">
        <f>HYPERLINK("http://pbs.twimg.com/media/CzjkjiXUsAAV-Hn.jpg", "http://pbs.twimg.com/media/CzjkjiXUsAAV-Hn.jpg")</f>
        <v>http://pbs.twimg.com/media/CzjkjiXUsAAV-Hn.jpg</v>
      </c>
      <c r="N2125">
        <v>0</v>
      </c>
      <c r="O2125">
        <v>0</v>
      </c>
      <c r="P2125">
        <v>1</v>
      </c>
      <c r="Q2125">
        <v>0</v>
      </c>
    </row>
    <row r="2126" spans="1:17" x14ac:dyDescent="0.2">
      <c r="A2126" s="1" t="str">
        <f>HYPERLINK("http://www.twitter.com/Ugo_Roux/status/808571183360802817", "808571183360802817")</f>
        <v>808571183360802817</v>
      </c>
      <c r="B2126" t="s">
        <v>285</v>
      </c>
      <c r="C2126" s="3">
        <v>42717.302858796298</v>
      </c>
      <c r="D2126" s="5" t="s">
        <v>17</v>
      </c>
      <c r="E2126">
        <v>0</v>
      </c>
      <c r="F2126">
        <v>0</v>
      </c>
      <c r="G2126">
        <v>0</v>
      </c>
      <c r="I2126" t="s">
        <v>2163</v>
      </c>
      <c r="J2126" t="str">
        <f>HYPERLINK("http://pbs.twimg.com/media/CzifMFmXcAEpXAc.jpg", "http://pbs.twimg.com/media/CzifMFmXcAEpXAc.jpg")</f>
        <v>http://pbs.twimg.com/media/CzifMFmXcAEpXAc.jpg</v>
      </c>
      <c r="N2126">
        <v>0</v>
      </c>
      <c r="O2126">
        <v>0</v>
      </c>
      <c r="P2126">
        <v>1</v>
      </c>
      <c r="Q2126">
        <v>0</v>
      </c>
    </row>
    <row r="2127" spans="1:17" x14ac:dyDescent="0.2">
      <c r="A2127" s="1" t="str">
        <f>HYPERLINK("http://www.twitter.com/Ugo_Roux/status/807660948437823489", "807660948437823489")</f>
        <v>807660948437823489</v>
      </c>
      <c r="B2127" t="s">
        <v>130</v>
      </c>
      <c r="C2127" s="3">
        <v>42714.791087962964</v>
      </c>
      <c r="D2127" s="5" t="s">
        <v>41</v>
      </c>
      <c r="E2127">
        <v>0</v>
      </c>
      <c r="F2127">
        <v>0</v>
      </c>
      <c r="G2127">
        <v>0</v>
      </c>
      <c r="I2127" t="s">
        <v>2164</v>
      </c>
      <c r="N2127">
        <v>0</v>
      </c>
      <c r="O2127">
        <v>0</v>
      </c>
      <c r="P2127">
        <v>1</v>
      </c>
      <c r="Q2127">
        <v>0</v>
      </c>
    </row>
    <row r="2128" spans="1:17" x14ac:dyDescent="0.2">
      <c r="A2128" s="1" t="str">
        <f>HYPERLINK("http://www.twitter.com/Ugo_Roux/status/806795097631178752", "806795097631178752")</f>
        <v>806795097631178752</v>
      </c>
      <c r="B2128" t="s">
        <v>414</v>
      </c>
      <c r="C2128" s="3">
        <v>42712.40179398148</v>
      </c>
      <c r="D2128" s="5" t="s">
        <v>28</v>
      </c>
      <c r="E2128">
        <v>0</v>
      </c>
      <c r="F2128">
        <v>0</v>
      </c>
      <c r="G2128">
        <v>0</v>
      </c>
      <c r="I2128" t="s">
        <v>2165</v>
      </c>
      <c r="J2128" t="str">
        <f>HYPERLINK("http://pbs.twimg.com/media/CzJPut8UsAAnfa0.jpg", "http://pbs.twimg.com/media/CzJPut8UsAAnfa0.jpg")</f>
        <v>http://pbs.twimg.com/media/CzJPut8UsAAnfa0.jpg</v>
      </c>
      <c r="K2128" t="str">
        <f>HYPERLINK("http://pbs.twimg.com/media/CzJPvXCUkAE4HbQ.jpg", "http://pbs.twimg.com/media/CzJPvXCUkAE4HbQ.jpg")</f>
        <v>http://pbs.twimg.com/media/CzJPvXCUkAE4HbQ.jpg</v>
      </c>
      <c r="N2128">
        <v>0</v>
      </c>
      <c r="O2128">
        <v>0</v>
      </c>
      <c r="P2128">
        <v>1</v>
      </c>
      <c r="Q2128">
        <v>0</v>
      </c>
    </row>
    <row r="2129" spans="1:17" x14ac:dyDescent="0.2">
      <c r="A2129" s="1" t="str">
        <f>HYPERLINK("http://www.twitter.com/Ugo_Roux/status/806784251400073216", "806784251400073216")</f>
        <v>806784251400073216</v>
      </c>
      <c r="B2129" t="s">
        <v>476</v>
      </c>
      <c r="C2129" s="3">
        <v>42712.371863425928</v>
      </c>
      <c r="D2129" s="5" t="s">
        <v>28</v>
      </c>
      <c r="E2129">
        <v>0</v>
      </c>
      <c r="F2129">
        <v>0</v>
      </c>
      <c r="G2129">
        <v>0</v>
      </c>
      <c r="I2129" t="s">
        <v>2166</v>
      </c>
      <c r="J2129" t="str">
        <f>HYPERLINK("http://pbs.twimg.com/media/CzJF0s-UQAAtTUI.jpg", "http://pbs.twimg.com/media/CzJF0s-UQAAtTUI.jpg")</f>
        <v>http://pbs.twimg.com/media/CzJF0s-UQAAtTUI.jpg</v>
      </c>
      <c r="N2129">
        <v>0</v>
      </c>
      <c r="O2129">
        <v>0</v>
      </c>
      <c r="P2129">
        <v>1</v>
      </c>
      <c r="Q2129">
        <v>0</v>
      </c>
    </row>
    <row r="2130" spans="1:17" x14ac:dyDescent="0.2">
      <c r="A2130" s="1" t="str">
        <f>HYPERLINK("http://www.twitter.com/Ugo_Roux/status/806419748045148161", "806419748045148161")</f>
        <v>806419748045148161</v>
      </c>
      <c r="B2130" t="s">
        <v>476</v>
      </c>
      <c r="C2130" s="3">
        <v>42711.366030092591</v>
      </c>
      <c r="D2130" s="5" t="s">
        <v>28</v>
      </c>
      <c r="E2130">
        <v>0</v>
      </c>
      <c r="F2130">
        <v>0</v>
      </c>
      <c r="G2130">
        <v>0</v>
      </c>
      <c r="I2130" t="s">
        <v>2167</v>
      </c>
      <c r="J2130" t="str">
        <f>HYPERLINK("http://pbs.twimg.com/media/CzD6dsFXUAAD1sU.jpg", "http://pbs.twimg.com/media/CzD6dsFXUAAD1sU.jpg")</f>
        <v>http://pbs.twimg.com/media/CzD6dsFXUAAD1sU.jpg</v>
      </c>
      <c r="N2130">
        <v>0</v>
      </c>
      <c r="O2130">
        <v>0</v>
      </c>
      <c r="P2130">
        <v>1</v>
      </c>
      <c r="Q2130">
        <v>0</v>
      </c>
    </row>
    <row r="2131" spans="1:17" x14ac:dyDescent="0.2">
      <c r="A2131" s="1" t="str">
        <f>HYPERLINK("http://www.twitter.com/Ugo_Roux/status/806400023936241664", "806400023936241664")</f>
        <v>806400023936241664</v>
      </c>
      <c r="B2131" t="s">
        <v>285</v>
      </c>
      <c r="C2131" s="3">
        <v>42711.311597222222</v>
      </c>
      <c r="D2131" s="5" t="s">
        <v>17</v>
      </c>
      <c r="E2131">
        <v>0</v>
      </c>
      <c r="F2131">
        <v>0</v>
      </c>
      <c r="G2131">
        <v>0</v>
      </c>
      <c r="I2131" t="s">
        <v>2168</v>
      </c>
      <c r="N2131">
        <v>0</v>
      </c>
      <c r="O2131">
        <v>0</v>
      </c>
      <c r="P2131">
        <v>1</v>
      </c>
      <c r="Q2131">
        <v>0</v>
      </c>
    </row>
    <row r="2132" spans="1:17" x14ac:dyDescent="0.2">
      <c r="A2132" s="1" t="str">
        <f>HYPERLINK("http://www.twitter.com/Ugo_Roux/status/806054304448704512", "806054304448704512")</f>
        <v>806054304448704512</v>
      </c>
      <c r="B2132" t="s">
        <v>370</v>
      </c>
      <c r="C2132" s="3">
        <v>42710.357592592591</v>
      </c>
      <c r="D2132" s="3" t="s">
        <v>41</v>
      </c>
      <c r="E2132">
        <v>0</v>
      </c>
      <c r="F2132">
        <v>0</v>
      </c>
      <c r="G2132">
        <v>0</v>
      </c>
      <c r="I2132" t="s">
        <v>2169</v>
      </c>
      <c r="J2132" t="str">
        <f>HYPERLINK("http://pbs.twimg.com/media/Cy-uHgNUcAAOWNI.jpg", "http://pbs.twimg.com/media/Cy-uHgNUcAAOWNI.jpg")</f>
        <v>http://pbs.twimg.com/media/Cy-uHgNUcAAOWNI.jpg</v>
      </c>
      <c r="N2132">
        <v>0</v>
      </c>
      <c r="O2132">
        <v>0</v>
      </c>
      <c r="P2132">
        <v>1</v>
      </c>
      <c r="Q2132">
        <v>0</v>
      </c>
    </row>
    <row r="2133" spans="1:17" x14ac:dyDescent="0.2">
      <c r="A2133" s="1" t="str">
        <f>HYPERLINK("http://www.twitter.com/Ugo_Roux/status/804324041364533248", "804324041364533248")</f>
        <v>804324041364533248</v>
      </c>
      <c r="B2133" t="s">
        <v>370</v>
      </c>
      <c r="C2133" s="3">
        <v>42705.582974537043</v>
      </c>
      <c r="D2133" s="3" t="s">
        <v>17</v>
      </c>
      <c r="E2133">
        <v>0</v>
      </c>
      <c r="F2133">
        <v>0</v>
      </c>
      <c r="G2133">
        <v>0</v>
      </c>
      <c r="I2133" t="s">
        <v>2170</v>
      </c>
      <c r="J2133" t="str">
        <f>HYPERLINK("http://pbs.twimg.com/media/CymIc5CVEAAUjYE.jpg", "http://pbs.twimg.com/media/CymIc5CVEAAUjYE.jpg")</f>
        <v>http://pbs.twimg.com/media/CymIc5CVEAAUjYE.jpg</v>
      </c>
      <c r="N2133">
        <v>0</v>
      </c>
      <c r="O2133">
        <v>0</v>
      </c>
      <c r="P2133">
        <v>1</v>
      </c>
      <c r="Q2133">
        <v>0</v>
      </c>
    </row>
    <row r="2134" spans="1:17" x14ac:dyDescent="0.2">
      <c r="A2134" s="1" t="str">
        <f>HYPERLINK("http://www.twitter.com/Ugo_Roux/status/803884390296285184", "803884390296285184")</f>
        <v>803884390296285184</v>
      </c>
      <c r="B2134" t="s">
        <v>414</v>
      </c>
      <c r="C2134" s="3">
        <v>42704.369768518518</v>
      </c>
      <c r="D2134" s="5" t="s">
        <v>28</v>
      </c>
      <c r="E2134">
        <v>0</v>
      </c>
      <c r="F2134">
        <v>0</v>
      </c>
      <c r="G2134">
        <v>0</v>
      </c>
      <c r="I2134" t="s">
        <v>2171</v>
      </c>
      <c r="J2134" t="str">
        <f>HYPERLINK("http://pbs.twimg.com/media/Cyf4lPsXcAAe8hB.jpg", "http://pbs.twimg.com/media/Cyf4lPsXcAAe8hB.jpg")</f>
        <v>http://pbs.twimg.com/media/Cyf4lPsXcAAe8hB.jpg</v>
      </c>
      <c r="N2134">
        <v>0</v>
      </c>
      <c r="O2134">
        <v>0</v>
      </c>
      <c r="P2134">
        <v>1</v>
      </c>
      <c r="Q2134">
        <v>0</v>
      </c>
    </row>
    <row r="2135" spans="1:17" x14ac:dyDescent="0.2">
      <c r="A2135" s="1" t="str">
        <f>HYPERLINK("http://www.twitter.com/Ugo_Roux/status/803881468468592640", "803881468468592640")</f>
        <v>803881468468592640</v>
      </c>
      <c r="B2135" t="s">
        <v>476</v>
      </c>
      <c r="C2135" s="3">
        <v>42704.361712962957</v>
      </c>
      <c r="D2135" s="5" t="s">
        <v>17</v>
      </c>
      <c r="E2135">
        <v>0</v>
      </c>
      <c r="F2135">
        <v>0</v>
      </c>
      <c r="G2135">
        <v>0</v>
      </c>
      <c r="I2135" t="s">
        <v>2172</v>
      </c>
      <c r="N2135">
        <v>0</v>
      </c>
      <c r="O2135">
        <v>0</v>
      </c>
      <c r="P2135">
        <v>1</v>
      </c>
      <c r="Q2135">
        <v>0</v>
      </c>
    </row>
    <row r="2136" spans="1:17" x14ac:dyDescent="0.2">
      <c r="A2136" s="1" t="str">
        <f>HYPERLINK("http://www.twitter.com/Ugo_Roux/status/803877225502220288", "803877225502220288")</f>
        <v>803877225502220288</v>
      </c>
      <c r="B2136" t="s">
        <v>414</v>
      </c>
      <c r="C2136" s="3">
        <v>42704.35</v>
      </c>
      <c r="D2136" s="5" t="s">
        <v>28</v>
      </c>
      <c r="E2136">
        <v>0</v>
      </c>
      <c r="F2136">
        <v>0</v>
      </c>
      <c r="G2136">
        <v>0</v>
      </c>
      <c r="I2136" t="s">
        <v>2173</v>
      </c>
      <c r="J2136" t="str">
        <f>HYPERLINK("http://pbs.twimg.com/media/CyfwnBzXUAQGu7P.jpg", "http://pbs.twimg.com/media/CyfwnBzXUAQGu7P.jpg")</f>
        <v>http://pbs.twimg.com/media/CyfwnBzXUAQGu7P.jpg</v>
      </c>
      <c r="N2136">
        <v>-0.128</v>
      </c>
      <c r="O2136">
        <v>9.7000000000000003E-2</v>
      </c>
      <c r="P2136">
        <v>0.90300000000000002</v>
      </c>
      <c r="Q2136">
        <v>0</v>
      </c>
    </row>
    <row r="2137" spans="1:17" x14ac:dyDescent="0.2">
      <c r="A2137" s="1" t="str">
        <f>HYPERLINK("http://www.twitter.com/Ugo_Roux/status/803864659187159040", "803864659187159040")</f>
        <v>803864659187159040</v>
      </c>
      <c r="B2137" t="s">
        <v>285</v>
      </c>
      <c r="C2137" s="3">
        <v>42704.315324074072</v>
      </c>
      <c r="D2137" s="5" t="s">
        <v>17</v>
      </c>
      <c r="E2137">
        <v>1</v>
      </c>
      <c r="F2137">
        <v>1</v>
      </c>
      <c r="G2137">
        <v>0</v>
      </c>
      <c r="I2137" t="s">
        <v>2174</v>
      </c>
      <c r="J2137" t="str">
        <f>HYPERLINK("http://pbs.twimg.com/media/CyfmkAbWIAAoMiT.jpg", "http://pbs.twimg.com/media/CyfmkAbWIAAoMiT.jpg")</f>
        <v>http://pbs.twimg.com/media/CyfmkAbWIAAoMiT.jpg</v>
      </c>
      <c r="N2137">
        <v>0</v>
      </c>
      <c r="O2137">
        <v>0</v>
      </c>
      <c r="P2137">
        <v>1</v>
      </c>
      <c r="Q2137">
        <v>0</v>
      </c>
    </row>
    <row r="2138" spans="1:17" x14ac:dyDescent="0.2">
      <c r="A2138" s="1" t="str">
        <f>HYPERLINK("http://www.twitter.com/Ugo_Roux/status/803613287049031681", "803613287049031681")</f>
        <v>803613287049031681</v>
      </c>
      <c r="B2138" t="s">
        <v>471</v>
      </c>
      <c r="C2138" s="3">
        <v>42703.621666666673</v>
      </c>
      <c r="D2138" s="3" t="s">
        <v>28</v>
      </c>
      <c r="E2138">
        <v>0</v>
      </c>
      <c r="F2138">
        <v>0</v>
      </c>
      <c r="G2138">
        <v>0</v>
      </c>
      <c r="I2138" t="s">
        <v>2175</v>
      </c>
      <c r="J2138" t="str">
        <f>HYPERLINK("http://pbs.twimg.com/media/CycB2qsXgAA7H7u.jpg", "http://pbs.twimg.com/media/CycB2qsXgAA7H7u.jpg")</f>
        <v>http://pbs.twimg.com/media/CycB2qsXgAA7H7u.jpg</v>
      </c>
      <c r="K2138" t="str">
        <f>HYPERLINK("http://pbs.twimg.com/media/CycB6LWWgAAir_q.jpg", "http://pbs.twimg.com/media/CycB6LWWgAAir_q.jpg")</f>
        <v>http://pbs.twimg.com/media/CycB6LWWgAAir_q.jpg</v>
      </c>
      <c r="N2138">
        <v>0</v>
      </c>
      <c r="O2138">
        <v>0</v>
      </c>
      <c r="P2138">
        <v>1</v>
      </c>
      <c r="Q2138">
        <v>0</v>
      </c>
    </row>
    <row r="2139" spans="1:17" x14ac:dyDescent="0.2">
      <c r="A2139" s="1" t="str">
        <f>HYPERLINK("http://www.twitter.com/Ugo_Roux/status/803585282507350016", "803585282507350016")</f>
        <v>803585282507350016</v>
      </c>
      <c r="B2139" t="s">
        <v>370</v>
      </c>
      <c r="C2139" s="3">
        <v>42703.544386574067</v>
      </c>
      <c r="D2139" s="5" t="s">
        <v>28</v>
      </c>
      <c r="E2139">
        <v>0</v>
      </c>
      <c r="F2139">
        <v>0</v>
      </c>
      <c r="G2139">
        <v>0</v>
      </c>
      <c r="I2139" t="s">
        <v>2176</v>
      </c>
      <c r="J2139" t="str">
        <f>HYPERLINK("http://pbs.twimg.com/media/CybojeAVEAAlp0q.jpg", "http://pbs.twimg.com/media/CybojeAVEAAlp0q.jpg")</f>
        <v>http://pbs.twimg.com/media/CybojeAVEAAlp0q.jpg</v>
      </c>
      <c r="N2139">
        <v>0</v>
      </c>
      <c r="O2139">
        <v>0</v>
      </c>
      <c r="P2139">
        <v>1</v>
      </c>
      <c r="Q2139">
        <v>0</v>
      </c>
    </row>
    <row r="2140" spans="1:17" x14ac:dyDescent="0.2">
      <c r="A2140" s="1" t="str">
        <f>HYPERLINK("http://www.twitter.com/Ugo_Roux/status/803563907252162560", "803563907252162560")</f>
        <v>803563907252162560</v>
      </c>
      <c r="B2140" t="s">
        <v>370</v>
      </c>
      <c r="C2140" s="3">
        <v>42703.485405092593</v>
      </c>
      <c r="D2140" s="5" t="s">
        <v>28</v>
      </c>
      <c r="E2140">
        <v>0</v>
      </c>
      <c r="F2140">
        <v>0</v>
      </c>
      <c r="G2140">
        <v>0</v>
      </c>
      <c r="I2140" t="s">
        <v>2177</v>
      </c>
      <c r="J2140" t="str">
        <f>HYPERLINK("http://pbs.twimg.com/media/CybVHRzVQAAA1fn.jpg", "http://pbs.twimg.com/media/CybVHRzVQAAA1fn.jpg")</f>
        <v>http://pbs.twimg.com/media/CybVHRzVQAAA1fn.jpg</v>
      </c>
      <c r="N2140">
        <v>0</v>
      </c>
      <c r="O2140">
        <v>0</v>
      </c>
      <c r="P2140">
        <v>1</v>
      </c>
      <c r="Q2140">
        <v>0</v>
      </c>
    </row>
    <row r="2141" spans="1:17" x14ac:dyDescent="0.2">
      <c r="A2141" s="1" t="str">
        <f>HYPERLINK("http://www.twitter.com/Ugo_Roux/status/803555151764193280", "803555151764193280")</f>
        <v>803555151764193280</v>
      </c>
      <c r="B2141" t="s">
        <v>370</v>
      </c>
      <c r="C2141" s="3">
        <v>42703.46125</v>
      </c>
      <c r="D2141" s="5" t="s">
        <v>41</v>
      </c>
      <c r="E2141">
        <v>0</v>
      </c>
      <c r="F2141">
        <v>0</v>
      </c>
      <c r="G2141">
        <v>0</v>
      </c>
      <c r="I2141" t="s">
        <v>2178</v>
      </c>
      <c r="J2141" t="str">
        <f>HYPERLINK("http://pbs.twimg.com/media/CybNJpwVQAU2U1K.jpg", "http://pbs.twimg.com/media/CybNJpwVQAU2U1K.jpg")</f>
        <v>http://pbs.twimg.com/media/CybNJpwVQAU2U1K.jpg</v>
      </c>
      <c r="N2141">
        <v>0</v>
      </c>
      <c r="O2141">
        <v>0</v>
      </c>
      <c r="P2141">
        <v>1</v>
      </c>
      <c r="Q2141">
        <v>0</v>
      </c>
    </row>
    <row r="2142" spans="1:17" x14ac:dyDescent="0.2">
      <c r="A2142" s="1" t="str">
        <f>HYPERLINK("http://www.twitter.com/Ugo_Roux/status/801692385310867456", "801692385310867456")</f>
        <v>801692385310867456</v>
      </c>
      <c r="B2142" t="s">
        <v>285</v>
      </c>
      <c r="C2142" s="3">
        <v>42698.32099537037</v>
      </c>
      <c r="D2142" s="5" t="s">
        <v>17</v>
      </c>
      <c r="E2142">
        <v>1</v>
      </c>
      <c r="F2142">
        <v>0</v>
      </c>
      <c r="G2142">
        <v>0</v>
      </c>
      <c r="I2142" t="s">
        <v>2179</v>
      </c>
      <c r="J2142" t="str">
        <f>HYPERLINK("http://pbs.twimg.com/media/CyAu9cGXgAAvr9w.jpg", "http://pbs.twimg.com/media/CyAu9cGXgAAvr9w.jpg")</f>
        <v>http://pbs.twimg.com/media/CyAu9cGXgAAvr9w.jpg</v>
      </c>
      <c r="N2142">
        <v>0.45879999999999999</v>
      </c>
      <c r="O2142">
        <v>0</v>
      </c>
      <c r="P2142">
        <v>0.82399999999999995</v>
      </c>
      <c r="Q2142">
        <v>0.17599999999999999</v>
      </c>
    </row>
    <row r="2143" spans="1:17" x14ac:dyDescent="0.2">
      <c r="A2143" s="1" t="str">
        <f>HYPERLINK("http://www.twitter.com/Ugo_Roux/status/801416070674448384", "801416070674448384")</f>
        <v>801416070674448384</v>
      </c>
      <c r="B2143" t="s">
        <v>471</v>
      </c>
      <c r="C2143" s="3">
        <v>42697.558506944442</v>
      </c>
      <c r="D2143" s="3" t="s">
        <v>41</v>
      </c>
      <c r="E2143">
        <v>0</v>
      </c>
      <c r="F2143">
        <v>0</v>
      </c>
      <c r="G2143">
        <v>0</v>
      </c>
      <c r="I2143" t="s">
        <v>2180</v>
      </c>
      <c r="J2143" t="str">
        <f>HYPERLINK("http://pbs.twimg.com/media/Cx8ziXOXgAA6Fc2.jpg", "http://pbs.twimg.com/media/Cx8ziXOXgAA6Fc2.jpg")</f>
        <v>http://pbs.twimg.com/media/Cx8ziXOXgAA6Fc2.jpg</v>
      </c>
      <c r="N2143">
        <v>0</v>
      </c>
      <c r="O2143">
        <v>0</v>
      </c>
      <c r="P2143">
        <v>1</v>
      </c>
      <c r="Q2143">
        <v>0</v>
      </c>
    </row>
    <row r="2144" spans="1:17" x14ac:dyDescent="0.2">
      <c r="A2144" s="1" t="str">
        <f>HYPERLINK("http://www.twitter.com/Ugo_Roux/status/801361390669885440", "801361390669885440")</f>
        <v>801361390669885440</v>
      </c>
      <c r="B2144" t="s">
        <v>97</v>
      </c>
      <c r="C2144" s="3">
        <v>42697.40761574074</v>
      </c>
      <c r="D2144" s="5" t="s">
        <v>28</v>
      </c>
      <c r="E2144">
        <v>0</v>
      </c>
      <c r="F2144">
        <v>0</v>
      </c>
      <c r="G2144">
        <v>0</v>
      </c>
      <c r="I2144" t="s">
        <v>2181</v>
      </c>
      <c r="J2144" t="str">
        <f>HYPERLINK("http://pbs.twimg.com/media/Cx8B786W8AA8AMr.jpg", "http://pbs.twimg.com/media/Cx8B786W8AA8AMr.jpg")</f>
        <v>http://pbs.twimg.com/media/Cx8B786W8AA8AMr.jpg</v>
      </c>
      <c r="N2144">
        <v>0</v>
      </c>
      <c r="O2144">
        <v>0</v>
      </c>
      <c r="P2144">
        <v>1</v>
      </c>
      <c r="Q2144">
        <v>0</v>
      </c>
    </row>
    <row r="2145" spans="1:17" x14ac:dyDescent="0.2">
      <c r="A2145" s="1" t="str">
        <f>HYPERLINK("http://www.twitter.com/Ugo_Roux/status/801060926656901122", "801060926656901122")</f>
        <v>801060926656901122</v>
      </c>
      <c r="B2145" t="s">
        <v>370</v>
      </c>
      <c r="C2145" s="3">
        <v>42696.57849537037</v>
      </c>
      <c r="D2145" s="5" t="s">
        <v>41</v>
      </c>
      <c r="E2145">
        <v>0</v>
      </c>
      <c r="F2145">
        <v>0</v>
      </c>
      <c r="G2145">
        <v>0</v>
      </c>
      <c r="I2145" t="s">
        <v>2182</v>
      </c>
      <c r="N2145">
        <v>0</v>
      </c>
      <c r="O2145">
        <v>0</v>
      </c>
      <c r="P2145">
        <v>1</v>
      </c>
      <c r="Q2145">
        <v>0</v>
      </c>
    </row>
    <row r="2146" spans="1:17" x14ac:dyDescent="0.2">
      <c r="A2146" s="1" t="str">
        <f>HYPERLINK("http://www.twitter.com/Ugo_Roux/status/801057618940874752", "801057618940874752")</f>
        <v>801057618940874752</v>
      </c>
      <c r="B2146" t="s">
        <v>370</v>
      </c>
      <c r="C2146" s="3">
        <v>42696.569363425922</v>
      </c>
      <c r="D2146" s="5" t="s">
        <v>28</v>
      </c>
      <c r="E2146">
        <v>0</v>
      </c>
      <c r="F2146">
        <v>0</v>
      </c>
      <c r="G2146">
        <v>0</v>
      </c>
      <c r="I2146" t="s">
        <v>2183</v>
      </c>
      <c r="N2146">
        <v>0</v>
      </c>
      <c r="O2146">
        <v>0</v>
      </c>
      <c r="P2146">
        <v>1</v>
      </c>
      <c r="Q2146">
        <v>0</v>
      </c>
    </row>
    <row r="2147" spans="1:17" x14ac:dyDescent="0.2">
      <c r="A2147" s="1" t="str">
        <f>HYPERLINK("http://www.twitter.com/Ugo_Roux/status/801048827285344260", "801048827285344260")</f>
        <v>801048827285344260</v>
      </c>
      <c r="B2147" t="s">
        <v>414</v>
      </c>
      <c r="C2147" s="3">
        <v>42696.545104166667</v>
      </c>
      <c r="D2147" s="5" t="s">
        <v>28</v>
      </c>
      <c r="E2147">
        <v>0</v>
      </c>
      <c r="F2147">
        <v>0</v>
      </c>
      <c r="G2147">
        <v>0</v>
      </c>
      <c r="I2147" t="s">
        <v>2184</v>
      </c>
      <c r="J2147" t="str">
        <f>HYPERLINK("http://pbs.twimg.com/media/Cx3lhjDXUAEKwv0.jpg", "http://pbs.twimg.com/media/Cx3lhjDXUAEKwv0.jpg")</f>
        <v>http://pbs.twimg.com/media/Cx3lhjDXUAEKwv0.jpg</v>
      </c>
      <c r="N2147">
        <v>0</v>
      </c>
      <c r="O2147">
        <v>0</v>
      </c>
      <c r="P2147">
        <v>1</v>
      </c>
      <c r="Q2147">
        <v>0</v>
      </c>
    </row>
    <row r="2148" spans="1:17" x14ac:dyDescent="0.2">
      <c r="A2148" s="1" t="str">
        <f>HYPERLINK("http://www.twitter.com/Ugo_Roux/status/801044515775770624", "801044515775770624")</f>
        <v>801044515775770624</v>
      </c>
      <c r="B2148" t="s">
        <v>285</v>
      </c>
      <c r="C2148" s="3">
        <v>42696.533206018517</v>
      </c>
      <c r="D2148" s="5" t="s">
        <v>17</v>
      </c>
      <c r="E2148">
        <v>0</v>
      </c>
      <c r="F2148">
        <v>0</v>
      </c>
      <c r="G2148">
        <v>0</v>
      </c>
      <c r="I2148" t="s">
        <v>2185</v>
      </c>
      <c r="N2148">
        <v>0</v>
      </c>
      <c r="O2148">
        <v>0</v>
      </c>
      <c r="P2148">
        <v>1</v>
      </c>
      <c r="Q2148">
        <v>0</v>
      </c>
    </row>
    <row r="2149" spans="1:17" x14ac:dyDescent="0.2">
      <c r="A2149" s="1" t="str">
        <f>HYPERLINK("http://www.twitter.com/Ugo_Roux/status/800967995405336576", "800967995405336576")</f>
        <v>800967995405336576</v>
      </c>
      <c r="B2149" t="s">
        <v>285</v>
      </c>
      <c r="C2149" s="3">
        <v>42696.322060185194</v>
      </c>
      <c r="D2149" s="5" t="s">
        <v>28</v>
      </c>
      <c r="E2149">
        <v>1</v>
      </c>
      <c r="F2149">
        <v>0</v>
      </c>
      <c r="G2149">
        <v>0</v>
      </c>
      <c r="I2149" t="s">
        <v>2186</v>
      </c>
      <c r="J2149" t="str">
        <f>HYPERLINK("http://pbs.twimg.com/media/Cx2cHZKXUAAa1Am.jpg", "http://pbs.twimg.com/media/Cx2cHZKXUAAa1Am.jpg")</f>
        <v>http://pbs.twimg.com/media/Cx2cHZKXUAAa1Am.jpg</v>
      </c>
      <c r="N2149">
        <v>0</v>
      </c>
      <c r="O2149">
        <v>0</v>
      </c>
      <c r="P2149">
        <v>1</v>
      </c>
      <c r="Q2149">
        <v>0</v>
      </c>
    </row>
    <row r="2150" spans="1:17" x14ac:dyDescent="0.2">
      <c r="A2150" s="1" t="str">
        <f>HYPERLINK("http://www.twitter.com/Ugo_Roux/status/799593231210188800", "799593231210188800")</f>
        <v>799593231210188800</v>
      </c>
      <c r="B2150" t="s">
        <v>476</v>
      </c>
      <c r="C2150" s="3">
        <v>42692.528425925928</v>
      </c>
      <c r="D2150" s="5" t="s">
        <v>41</v>
      </c>
      <c r="E2150">
        <v>0</v>
      </c>
      <c r="F2150">
        <v>0</v>
      </c>
      <c r="G2150">
        <v>0</v>
      </c>
      <c r="I2150" t="s">
        <v>2187</v>
      </c>
      <c r="J2150" t="str">
        <f>HYPERLINK("http://pbs.twimg.com/media/Cxi5m3CWIAEJiES.jpg", "http://pbs.twimg.com/media/Cxi5m3CWIAEJiES.jpg")</f>
        <v>http://pbs.twimg.com/media/Cxi5m3CWIAEJiES.jpg</v>
      </c>
      <c r="N2150">
        <v>0</v>
      </c>
      <c r="O2150">
        <v>0</v>
      </c>
      <c r="P2150">
        <v>1</v>
      </c>
      <c r="Q2150">
        <v>0</v>
      </c>
    </row>
    <row r="2151" spans="1:17" x14ac:dyDescent="0.2">
      <c r="A2151" s="1" t="str">
        <f>HYPERLINK("http://www.twitter.com/Ugo_Roux/status/799282710460043264", "799282710460043264")</f>
        <v>799282710460043264</v>
      </c>
      <c r="B2151" t="s">
        <v>47</v>
      </c>
      <c r="C2151" s="3">
        <v>42691.671550925923</v>
      </c>
      <c r="D2151" s="5" t="s">
        <v>28</v>
      </c>
      <c r="E2151">
        <v>0</v>
      </c>
      <c r="F2151">
        <v>0</v>
      </c>
      <c r="G2151">
        <v>0</v>
      </c>
      <c r="I2151" t="s">
        <v>2188</v>
      </c>
      <c r="N2151">
        <v>0</v>
      </c>
      <c r="O2151">
        <v>0</v>
      </c>
      <c r="P2151">
        <v>1</v>
      </c>
      <c r="Q2151">
        <v>0</v>
      </c>
    </row>
    <row r="2152" spans="1:17" x14ac:dyDescent="0.2">
      <c r="A2152" s="1" t="str">
        <f>HYPERLINK("http://www.twitter.com/Ugo_Roux/status/799174357415264256", "799174357415264256")</f>
        <v>799174357415264256</v>
      </c>
      <c r="B2152" t="s">
        <v>476</v>
      </c>
      <c r="C2152" s="3">
        <v>42691.372557870367</v>
      </c>
      <c r="D2152" s="5" t="s">
        <v>41</v>
      </c>
      <c r="E2152">
        <v>1</v>
      </c>
      <c r="F2152">
        <v>0</v>
      </c>
      <c r="G2152">
        <v>0</v>
      </c>
      <c r="I2152" t="s">
        <v>2189</v>
      </c>
      <c r="J2152" t="str">
        <f>HYPERLINK("http://pbs.twimg.com/media/Cxc80VGWIAAcmOG.jpg", "http://pbs.twimg.com/media/Cxc80VGWIAAcmOG.jpg")</f>
        <v>http://pbs.twimg.com/media/Cxc80VGWIAAcmOG.jpg</v>
      </c>
      <c r="N2152">
        <v>0</v>
      </c>
      <c r="O2152">
        <v>0</v>
      </c>
      <c r="P2152">
        <v>1</v>
      </c>
      <c r="Q2152">
        <v>0</v>
      </c>
    </row>
    <row r="2153" spans="1:17" x14ac:dyDescent="0.2">
      <c r="A2153" s="1" t="str">
        <f>HYPERLINK("http://www.twitter.com/Ugo_Roux/status/799152455602896896", "799152455602896896")</f>
        <v>799152455602896896</v>
      </c>
      <c r="B2153" t="s">
        <v>285</v>
      </c>
      <c r="C2153" s="3">
        <v>42691.312118055554</v>
      </c>
      <c r="D2153" s="5" t="s">
        <v>17</v>
      </c>
      <c r="E2153">
        <v>2</v>
      </c>
      <c r="F2153">
        <v>0</v>
      </c>
      <c r="G2153">
        <v>0</v>
      </c>
      <c r="I2153" t="s">
        <v>2190</v>
      </c>
      <c r="J2153" t="str">
        <f>HYPERLINK("http://pbs.twimg.com/media/Cxco4y6XgAEbB7G.jpg", "http://pbs.twimg.com/media/Cxco4y6XgAEbB7G.jpg")</f>
        <v>http://pbs.twimg.com/media/Cxco4y6XgAEbB7G.jpg</v>
      </c>
      <c r="N2153">
        <v>0.45879999999999999</v>
      </c>
      <c r="O2153">
        <v>0</v>
      </c>
      <c r="P2153">
        <v>0.81200000000000006</v>
      </c>
      <c r="Q2153">
        <v>0.188</v>
      </c>
    </row>
    <row r="2154" spans="1:17" x14ac:dyDescent="0.2">
      <c r="A2154" s="1" t="str">
        <f>HYPERLINK("http://www.twitter.com/Ugo_Roux/status/798900510287872000", "798900510287872000")</f>
        <v>798900510287872000</v>
      </c>
      <c r="B2154" t="s">
        <v>471</v>
      </c>
      <c r="C2154" s="3">
        <v>42690.616886574076</v>
      </c>
      <c r="D2154" s="3" t="s">
        <v>28</v>
      </c>
      <c r="E2154">
        <v>0</v>
      </c>
      <c r="F2154">
        <v>0</v>
      </c>
      <c r="G2154">
        <v>0</v>
      </c>
      <c r="I2154" t="s">
        <v>2191</v>
      </c>
      <c r="J2154" t="str">
        <f>HYPERLINK("http://pbs.twimg.com/media/CxZDw1RWIAAlDOo.jpg", "http://pbs.twimg.com/media/CxZDw1RWIAAlDOo.jpg")</f>
        <v>http://pbs.twimg.com/media/CxZDw1RWIAAlDOo.jpg</v>
      </c>
      <c r="N2154">
        <v>0</v>
      </c>
      <c r="O2154">
        <v>0</v>
      </c>
      <c r="P2154">
        <v>1</v>
      </c>
      <c r="Q2154">
        <v>0</v>
      </c>
    </row>
    <row r="2155" spans="1:17" x14ac:dyDescent="0.2">
      <c r="A2155" s="1" t="str">
        <f>HYPERLINK("http://www.twitter.com/Ugo_Roux/status/798559366333034497", "798559366333034497")</f>
        <v>798559366333034497</v>
      </c>
      <c r="B2155" t="s">
        <v>414</v>
      </c>
      <c r="C2155" s="3">
        <v>42689.675509259258</v>
      </c>
      <c r="D2155" s="5" t="s">
        <v>28</v>
      </c>
      <c r="E2155">
        <v>0</v>
      </c>
      <c r="F2155">
        <v>0</v>
      </c>
      <c r="G2155">
        <v>0</v>
      </c>
      <c r="I2155" t="s">
        <v>2192</v>
      </c>
      <c r="J2155" t="str">
        <f>HYPERLINK("http://pbs.twimg.com/media/CxUNak9XUAADgxE.jpg", "http://pbs.twimg.com/media/CxUNak9XUAADgxE.jpg")</f>
        <v>http://pbs.twimg.com/media/CxUNak9XUAADgxE.jpg</v>
      </c>
      <c r="N2155">
        <v>0.53190000000000004</v>
      </c>
      <c r="O2155">
        <v>0</v>
      </c>
      <c r="P2155">
        <v>0.77800000000000002</v>
      </c>
      <c r="Q2155">
        <v>0.222</v>
      </c>
    </row>
    <row r="2156" spans="1:17" x14ac:dyDescent="0.2">
      <c r="A2156" s="1" t="str">
        <f>HYPERLINK("http://www.twitter.com/Ugo_Roux/status/797388159839588352", "797388159839588352")</f>
        <v>797388159839588352</v>
      </c>
      <c r="B2156" t="s">
        <v>476</v>
      </c>
      <c r="C2156" s="3">
        <v>42686.44358796296</v>
      </c>
      <c r="D2156" s="5" t="s">
        <v>17</v>
      </c>
      <c r="E2156">
        <v>0</v>
      </c>
      <c r="F2156">
        <v>0</v>
      </c>
      <c r="G2156">
        <v>0</v>
      </c>
      <c r="I2156" t="s">
        <v>2193</v>
      </c>
      <c r="J2156" t="str">
        <f>HYPERLINK("http://pbs.twimg.com/media/CxDkSpbWIAAP_FI.jpg", "http://pbs.twimg.com/media/CxDkSpbWIAAP_FI.jpg")</f>
        <v>http://pbs.twimg.com/media/CxDkSpbWIAAP_FI.jpg</v>
      </c>
      <c r="N2156">
        <v>0</v>
      </c>
      <c r="O2156">
        <v>0</v>
      </c>
      <c r="P2156">
        <v>1</v>
      </c>
      <c r="Q2156">
        <v>0</v>
      </c>
    </row>
    <row r="2157" spans="1:17" x14ac:dyDescent="0.2">
      <c r="A2157" s="1" t="str">
        <f>HYPERLINK("http://www.twitter.com/Ugo_Roux/status/796618766348156929", "796618766348156929")</f>
        <v>796618766348156929</v>
      </c>
      <c r="B2157" t="s">
        <v>285</v>
      </c>
      <c r="C2157" s="3">
        <v>42684.320474537039</v>
      </c>
      <c r="D2157" s="5" t="s">
        <v>17</v>
      </c>
      <c r="E2157">
        <v>0</v>
      </c>
      <c r="F2157">
        <v>0</v>
      </c>
      <c r="G2157">
        <v>0</v>
      </c>
      <c r="I2157" t="s">
        <v>2194</v>
      </c>
      <c r="J2157" t="str">
        <f>HYPERLINK("http://pbs.twimg.com/media/Cw4oiTUWQAAu74K.jpg", "http://pbs.twimg.com/media/Cw4oiTUWQAAu74K.jpg")</f>
        <v>http://pbs.twimg.com/media/Cw4oiTUWQAAu74K.jpg</v>
      </c>
      <c r="N2157">
        <v>0.45879999999999999</v>
      </c>
      <c r="O2157">
        <v>0</v>
      </c>
      <c r="P2157">
        <v>0.81200000000000006</v>
      </c>
      <c r="Q2157">
        <v>0.188</v>
      </c>
    </row>
    <row r="2158" spans="1:17" x14ac:dyDescent="0.2">
      <c r="A2158" s="1" t="str">
        <f>HYPERLINK("http://www.twitter.com/Ugo_Roux/status/796276877912637440", "796276877912637440")</f>
        <v>796276877912637440</v>
      </c>
      <c r="B2158" t="s">
        <v>370</v>
      </c>
      <c r="C2158" s="3">
        <v>42683.37703703704</v>
      </c>
      <c r="D2158" s="5" t="s">
        <v>24</v>
      </c>
      <c r="E2158">
        <v>0</v>
      </c>
      <c r="F2158">
        <v>0</v>
      </c>
      <c r="G2158">
        <v>0</v>
      </c>
      <c r="I2158" t="s">
        <v>2195</v>
      </c>
      <c r="N2158">
        <v>0</v>
      </c>
      <c r="O2158">
        <v>0</v>
      </c>
      <c r="P2158">
        <v>1</v>
      </c>
      <c r="Q2158">
        <v>0</v>
      </c>
    </row>
    <row r="2159" spans="1:17" x14ac:dyDescent="0.2">
      <c r="A2159" s="1" t="str">
        <f>HYPERLINK("http://www.twitter.com/Ugo_Roux/status/796256608271466496", "796256608271466496")</f>
        <v>796256608271466496</v>
      </c>
      <c r="B2159" t="s">
        <v>285</v>
      </c>
      <c r="C2159" s="3">
        <v>42683.321099537039</v>
      </c>
      <c r="D2159" s="5" t="s">
        <v>28</v>
      </c>
      <c r="E2159">
        <v>2</v>
      </c>
      <c r="F2159">
        <v>2</v>
      </c>
      <c r="G2159">
        <v>0</v>
      </c>
      <c r="I2159" t="s">
        <v>2196</v>
      </c>
      <c r="J2159" t="str">
        <f>HYPERLINK("http://pbs.twimg.com/media/CwzfEfOXAAE-XvT.jpg", "http://pbs.twimg.com/media/CwzfEfOXAAE-XvT.jpg")</f>
        <v>http://pbs.twimg.com/media/CwzfEfOXAAE-XvT.jpg</v>
      </c>
      <c r="N2159">
        <v>0</v>
      </c>
      <c r="O2159">
        <v>0</v>
      </c>
      <c r="P2159">
        <v>1</v>
      </c>
      <c r="Q2159">
        <v>0</v>
      </c>
    </row>
    <row r="2160" spans="1:17" x14ac:dyDescent="0.2">
      <c r="A2160" s="1" t="str">
        <f>HYPERLINK("http://www.twitter.com/Ugo_Roux/status/796023270793428994", "796023270793428994")</f>
        <v>796023270793428994</v>
      </c>
      <c r="B2160" t="s">
        <v>47</v>
      </c>
      <c r="C2160" s="3">
        <v>42682.677210648151</v>
      </c>
      <c r="D2160" s="5" t="s">
        <v>41</v>
      </c>
      <c r="E2160">
        <v>2</v>
      </c>
      <c r="F2160">
        <v>0</v>
      </c>
      <c r="G2160">
        <v>0</v>
      </c>
      <c r="I2160" t="s">
        <v>2197</v>
      </c>
      <c r="N2160">
        <v>0</v>
      </c>
      <c r="O2160">
        <v>0</v>
      </c>
      <c r="P2160">
        <v>1</v>
      </c>
      <c r="Q2160">
        <v>0</v>
      </c>
    </row>
    <row r="2161" spans="1:17" x14ac:dyDescent="0.2">
      <c r="A2161" s="1" t="str">
        <f>HYPERLINK("http://www.twitter.com/Ugo_Roux/status/795931430597591044", "795931430597591044")</f>
        <v>795931430597591044</v>
      </c>
      <c r="B2161" t="s">
        <v>285</v>
      </c>
      <c r="C2161" s="3">
        <v>42682.423784722218</v>
      </c>
      <c r="D2161" s="5" t="s">
        <v>17</v>
      </c>
      <c r="E2161">
        <v>0</v>
      </c>
      <c r="F2161">
        <v>0</v>
      </c>
      <c r="G2161">
        <v>0</v>
      </c>
      <c r="I2161" t="s">
        <v>2198</v>
      </c>
      <c r="J2161" t="str">
        <f>HYPERLINK("http://pbs.twimg.com/media/Cwu3Yg8XAAAaISF.jpg", "http://pbs.twimg.com/media/Cwu3Yg8XAAAaISF.jpg")</f>
        <v>http://pbs.twimg.com/media/Cwu3Yg8XAAAaISF.jpg</v>
      </c>
      <c r="N2161">
        <v>0</v>
      </c>
      <c r="O2161">
        <v>0</v>
      </c>
      <c r="P2161">
        <v>1</v>
      </c>
      <c r="Q2161">
        <v>0</v>
      </c>
    </row>
    <row r="2162" spans="1:17" x14ac:dyDescent="0.2">
      <c r="A2162" s="1" t="str">
        <f>HYPERLINK("http://www.twitter.com/Ugo_Roux/status/795930305706205184", "795930305706205184")</f>
        <v>795930305706205184</v>
      </c>
      <c r="B2162" t="s">
        <v>285</v>
      </c>
      <c r="C2162" s="3">
        <v>42682.420682870368</v>
      </c>
      <c r="D2162" s="5" t="s">
        <v>28</v>
      </c>
      <c r="E2162">
        <v>0</v>
      </c>
      <c r="F2162">
        <v>0</v>
      </c>
      <c r="G2162">
        <v>0</v>
      </c>
      <c r="I2162" t="s">
        <v>2199</v>
      </c>
      <c r="J2162" t="str">
        <f>HYPERLINK("http://pbs.twimg.com/media/Cwu2XCZWIAA618T.jpg", "http://pbs.twimg.com/media/Cwu2XCZWIAA618T.jpg")</f>
        <v>http://pbs.twimg.com/media/Cwu2XCZWIAA618T.jpg</v>
      </c>
      <c r="N2162">
        <v>0</v>
      </c>
      <c r="O2162">
        <v>0</v>
      </c>
      <c r="P2162">
        <v>1</v>
      </c>
      <c r="Q2162">
        <v>0</v>
      </c>
    </row>
    <row r="2163" spans="1:17" x14ac:dyDescent="0.2">
      <c r="A2163" s="1" t="str">
        <f>HYPERLINK("http://www.twitter.com/Ugo_Roux/status/794894937829601280", "794894937829601280")</f>
        <v>794894937829601280</v>
      </c>
      <c r="B2163" t="s">
        <v>47</v>
      </c>
      <c r="C2163" s="3">
        <v>42679.563611111109</v>
      </c>
      <c r="D2163" s="5" t="s">
        <v>41</v>
      </c>
      <c r="E2163">
        <v>1</v>
      </c>
      <c r="F2163">
        <v>0</v>
      </c>
      <c r="G2163">
        <v>0</v>
      </c>
      <c r="I2163" t="s">
        <v>2200</v>
      </c>
      <c r="J2163" t="str">
        <f>HYPERLINK("http://pbs.twimg.com/media/CwgIs1uXEAADT8b.jpg", "http://pbs.twimg.com/media/CwgIs1uXEAADT8b.jpg")</f>
        <v>http://pbs.twimg.com/media/CwgIs1uXEAADT8b.jpg</v>
      </c>
      <c r="N2163">
        <v>0</v>
      </c>
      <c r="O2163">
        <v>0</v>
      </c>
      <c r="P2163">
        <v>1</v>
      </c>
      <c r="Q2163">
        <v>0</v>
      </c>
    </row>
    <row r="2164" spans="1:17" x14ac:dyDescent="0.2">
      <c r="A2164" s="1" t="str">
        <f>HYPERLINK("http://www.twitter.com/Ugo_Roux/status/794827722430283776", "794827722430283776")</f>
        <v>794827722430283776</v>
      </c>
      <c r="B2164" t="s">
        <v>471</v>
      </c>
      <c r="C2164" s="3">
        <v>42679.378125000003</v>
      </c>
      <c r="D2164" s="3" t="s">
        <v>28</v>
      </c>
      <c r="E2164">
        <v>0</v>
      </c>
      <c r="F2164">
        <v>0</v>
      </c>
      <c r="G2164">
        <v>0</v>
      </c>
      <c r="I2164" t="s">
        <v>2201</v>
      </c>
      <c r="J2164" t="str">
        <f>HYPERLINK("http://pbs.twimg.com/media/CwfLkS2WgAAVI0d.jpg", "http://pbs.twimg.com/media/CwfLkS2WgAAVI0d.jpg")</f>
        <v>http://pbs.twimg.com/media/CwfLkS2WgAAVI0d.jpg</v>
      </c>
      <c r="N2164">
        <v>0</v>
      </c>
      <c r="O2164">
        <v>0</v>
      </c>
      <c r="P2164">
        <v>1</v>
      </c>
      <c r="Q2164">
        <v>0</v>
      </c>
    </row>
    <row r="2165" spans="1:17" x14ac:dyDescent="0.2">
      <c r="A2165" s="1" t="str">
        <f>HYPERLINK("http://www.twitter.com/Ugo_Roux/status/794229752336941056", "794229752336941056")</f>
        <v>794229752336941056</v>
      </c>
      <c r="B2165" t="s">
        <v>285</v>
      </c>
      <c r="C2165" s="3">
        <v>42677.728043981479</v>
      </c>
      <c r="D2165" s="5" t="s">
        <v>17</v>
      </c>
      <c r="E2165">
        <v>0</v>
      </c>
      <c r="F2165">
        <v>0</v>
      </c>
      <c r="G2165">
        <v>0</v>
      </c>
      <c r="I2165" t="s">
        <v>2202</v>
      </c>
      <c r="N2165">
        <v>0</v>
      </c>
      <c r="O2165">
        <v>0</v>
      </c>
      <c r="P2165">
        <v>1</v>
      </c>
      <c r="Q2165">
        <v>0</v>
      </c>
    </row>
    <row r="2166" spans="1:17" x14ac:dyDescent="0.2">
      <c r="A2166" s="1" t="str">
        <f>HYPERLINK("http://www.twitter.com/Ugo_Roux/status/794083350856273920", "794083350856273920")</f>
        <v>794083350856273920</v>
      </c>
      <c r="B2166" t="s">
        <v>285</v>
      </c>
      <c r="C2166" s="3">
        <v>42677.324050925927</v>
      </c>
      <c r="D2166" s="5" t="s">
        <v>17</v>
      </c>
      <c r="E2166">
        <v>1</v>
      </c>
      <c r="F2166">
        <v>0</v>
      </c>
      <c r="G2166">
        <v>0</v>
      </c>
      <c r="I2166" t="s">
        <v>2203</v>
      </c>
      <c r="J2166" t="str">
        <f>HYPERLINK("http://pbs.twimg.com/media/CwUmQErXEAAWcKy.jpg", "http://pbs.twimg.com/media/CwUmQErXEAAWcKy.jpg")</f>
        <v>http://pbs.twimg.com/media/CwUmQErXEAAWcKy.jpg</v>
      </c>
      <c r="N2166">
        <v>-0.15310000000000001</v>
      </c>
      <c r="O2166">
        <v>0.20499999999999999</v>
      </c>
      <c r="P2166">
        <v>0.625</v>
      </c>
      <c r="Q2166">
        <v>0.17</v>
      </c>
    </row>
    <row r="2167" spans="1:17" x14ac:dyDescent="0.2">
      <c r="A2167" s="1" t="str">
        <f>HYPERLINK("http://www.twitter.com/Ugo_Roux/status/793718092073431040", "793718092073431040")</f>
        <v>793718092073431040</v>
      </c>
      <c r="B2167" t="s">
        <v>285</v>
      </c>
      <c r="C2167" s="3">
        <v>42676.316134259258</v>
      </c>
      <c r="D2167" s="5" t="s">
        <v>28</v>
      </c>
      <c r="E2167">
        <v>0</v>
      </c>
      <c r="F2167">
        <v>1</v>
      </c>
      <c r="G2167">
        <v>0</v>
      </c>
      <c r="I2167" t="s">
        <v>2204</v>
      </c>
      <c r="N2167">
        <v>0</v>
      </c>
      <c r="O2167">
        <v>0</v>
      </c>
      <c r="P2167">
        <v>1</v>
      </c>
      <c r="Q2167">
        <v>0</v>
      </c>
    </row>
    <row r="2168" spans="1:17" x14ac:dyDescent="0.2">
      <c r="A2168" s="1" t="str">
        <f>HYPERLINK("http://www.twitter.com/Ugo_Roux/status/792339279632601088", "792339279632601088")</f>
        <v>792339279632601088</v>
      </c>
      <c r="B2168" t="s">
        <v>47</v>
      </c>
      <c r="C2168" s="3">
        <v>42672.511331018519</v>
      </c>
      <c r="D2168" s="5" t="s">
        <v>28</v>
      </c>
      <c r="E2168">
        <v>2</v>
      </c>
      <c r="F2168">
        <v>0</v>
      </c>
      <c r="G2168">
        <v>0</v>
      </c>
      <c r="I2168" t="s">
        <v>2205</v>
      </c>
      <c r="J2168" t="str">
        <f>HYPERLINK("http://pbs.twimg.com/media/Cv70VztXEAA0-Qg.jpg", "http://pbs.twimg.com/media/Cv70VztXEAA0-Qg.jpg")</f>
        <v>http://pbs.twimg.com/media/Cv70VztXEAA0-Qg.jpg</v>
      </c>
      <c r="K2168" t="str">
        <f>HYPERLINK("http://pbs.twimg.com/media/Cv70V0AW8AE0XWE.jpg", "http://pbs.twimg.com/media/Cv70V0AW8AE0XWE.jpg")</f>
        <v>http://pbs.twimg.com/media/Cv70V0AW8AE0XWE.jpg</v>
      </c>
      <c r="N2168">
        <v>0</v>
      </c>
      <c r="O2168">
        <v>0</v>
      </c>
      <c r="P2168">
        <v>1</v>
      </c>
      <c r="Q2168">
        <v>0</v>
      </c>
    </row>
    <row r="2169" spans="1:17" x14ac:dyDescent="0.2">
      <c r="A2169" s="1" t="str">
        <f>HYPERLINK("http://www.twitter.com/Ugo_Roux/status/792268895277215744", "792268895277215744")</f>
        <v>792268895277215744</v>
      </c>
      <c r="B2169" t="s">
        <v>285</v>
      </c>
      <c r="C2169" s="3">
        <v>42672.317106481481</v>
      </c>
      <c r="D2169" s="5" t="s">
        <v>28</v>
      </c>
      <c r="E2169">
        <v>0</v>
      </c>
      <c r="F2169">
        <v>0</v>
      </c>
      <c r="G2169">
        <v>0</v>
      </c>
      <c r="I2169" t="s">
        <v>2206</v>
      </c>
      <c r="J2169" t="str">
        <f>HYPERLINK("http://pbs.twimg.com/media/Cv60WKsW8AAiNTL.jpg", "http://pbs.twimg.com/media/Cv60WKsW8AAiNTL.jpg")</f>
        <v>http://pbs.twimg.com/media/Cv60WKsW8AAiNTL.jpg</v>
      </c>
      <c r="N2169">
        <v>0</v>
      </c>
      <c r="O2169">
        <v>0</v>
      </c>
      <c r="P2169">
        <v>1</v>
      </c>
      <c r="Q2169">
        <v>0</v>
      </c>
    </row>
    <row r="2170" spans="1:17" x14ac:dyDescent="0.2">
      <c r="A2170" s="1" t="str">
        <f>HYPERLINK("http://www.twitter.com/Ugo_Roux/status/792072314238210048", "792072314238210048")</f>
        <v>792072314238210048</v>
      </c>
      <c r="B2170" t="s">
        <v>16</v>
      </c>
      <c r="C2170" s="3">
        <v>42671.774652777778</v>
      </c>
      <c r="D2170" s="3" t="s">
        <v>28</v>
      </c>
      <c r="E2170">
        <v>0</v>
      </c>
      <c r="F2170">
        <v>0</v>
      </c>
      <c r="G2170">
        <v>0</v>
      </c>
      <c r="I2170" t="s">
        <v>2207</v>
      </c>
      <c r="J2170" t="str">
        <f>HYPERLINK("http://pbs.twimg.com/media/Cv4Biw6XYAAAGKD.jpg", "http://pbs.twimg.com/media/Cv4Biw6XYAAAGKD.jpg")</f>
        <v>http://pbs.twimg.com/media/Cv4Biw6XYAAAGKD.jpg</v>
      </c>
      <c r="N2170">
        <v>0</v>
      </c>
      <c r="O2170">
        <v>0</v>
      </c>
      <c r="P2170">
        <v>1</v>
      </c>
      <c r="Q2170">
        <v>0</v>
      </c>
    </row>
    <row r="2171" spans="1:17" x14ac:dyDescent="0.2">
      <c r="A2171" s="1" t="str">
        <f>HYPERLINK("http://www.twitter.com/Ugo_Roux/status/791895790000205824", "791895790000205824")</f>
        <v>791895790000205824</v>
      </c>
      <c r="B2171" t="s">
        <v>285</v>
      </c>
      <c r="C2171" s="3">
        <v>42671.287534722222</v>
      </c>
      <c r="D2171" s="5" t="s">
        <v>17</v>
      </c>
      <c r="E2171">
        <v>0</v>
      </c>
      <c r="F2171">
        <v>0</v>
      </c>
      <c r="G2171">
        <v>0</v>
      </c>
      <c r="I2171" t="s">
        <v>2208</v>
      </c>
      <c r="J2171" t="str">
        <f>HYPERLINK("http://pbs.twimg.com/media/Cv1g_m_W8AAxPHx.jpg", "http://pbs.twimg.com/media/Cv1g_m_W8AAxPHx.jpg")</f>
        <v>http://pbs.twimg.com/media/Cv1g_m_W8AAxPHx.jpg</v>
      </c>
      <c r="N2171">
        <v>0</v>
      </c>
      <c r="O2171">
        <v>0</v>
      </c>
      <c r="P2171">
        <v>1</v>
      </c>
      <c r="Q2171">
        <v>0</v>
      </c>
    </row>
    <row r="2172" spans="1:17" x14ac:dyDescent="0.2">
      <c r="A2172" s="1" t="str">
        <f>HYPERLINK("http://www.twitter.com/Ugo_Roux/status/791316429299716096", "791316429299716096")</f>
        <v>791316429299716096</v>
      </c>
      <c r="B2172" t="s">
        <v>47</v>
      </c>
      <c r="C2172" s="3">
        <v>42669.688807870371</v>
      </c>
      <c r="D2172" s="5" t="s">
        <v>28</v>
      </c>
      <c r="E2172">
        <v>2</v>
      </c>
      <c r="F2172">
        <v>1</v>
      </c>
      <c r="G2172">
        <v>0</v>
      </c>
      <c r="I2172" t="s">
        <v>2209</v>
      </c>
      <c r="J2172" t="str">
        <f>HYPERLINK("http://pbs.twimg.com/media/CvtSCSEWYAARhNJ.jpg", "http://pbs.twimg.com/media/CvtSCSEWYAARhNJ.jpg")</f>
        <v>http://pbs.twimg.com/media/CvtSCSEWYAARhNJ.jpg</v>
      </c>
      <c r="N2172">
        <v>-0.35780000000000001</v>
      </c>
      <c r="O2172">
        <v>0.13400000000000001</v>
      </c>
      <c r="P2172">
        <v>0.86599999999999999</v>
      </c>
      <c r="Q2172">
        <v>0</v>
      </c>
    </row>
    <row r="2173" spans="1:17" x14ac:dyDescent="0.2">
      <c r="A2173" s="1" t="str">
        <f>HYPERLINK("http://www.twitter.com/Ugo_Roux/status/790928053501321216", "790928053501321216")</f>
        <v>790928053501321216</v>
      </c>
      <c r="B2173" t="s">
        <v>476</v>
      </c>
      <c r="C2173" s="3">
        <v>42668.617094907408</v>
      </c>
      <c r="D2173" s="5" t="s">
        <v>24</v>
      </c>
      <c r="E2173">
        <v>2</v>
      </c>
      <c r="F2173">
        <v>0</v>
      </c>
      <c r="G2173">
        <v>0</v>
      </c>
      <c r="I2173" t="s">
        <v>2210</v>
      </c>
      <c r="N2173">
        <v>0</v>
      </c>
      <c r="O2173">
        <v>0</v>
      </c>
      <c r="P2173">
        <v>1</v>
      </c>
      <c r="Q2173">
        <v>0</v>
      </c>
    </row>
    <row r="2174" spans="1:17" x14ac:dyDescent="0.2">
      <c r="A2174" s="1" t="str">
        <f>HYPERLINK("http://www.twitter.com/Ugo_Roux/status/790875415049039872", "790875415049039872")</f>
        <v>790875415049039872</v>
      </c>
      <c r="B2174" t="s">
        <v>47</v>
      </c>
      <c r="C2174" s="3">
        <v>42668.47184027778</v>
      </c>
      <c r="D2174" s="5" t="s">
        <v>17</v>
      </c>
      <c r="E2174">
        <v>2</v>
      </c>
      <c r="F2174">
        <v>0</v>
      </c>
      <c r="G2174">
        <v>0</v>
      </c>
      <c r="I2174" t="s">
        <v>2211</v>
      </c>
      <c r="J2174" t="str">
        <f>HYPERLINK("http://pbs.twimg.com/media/CvnA-7TWgAArFr-.jpg", "http://pbs.twimg.com/media/CvnA-7TWgAArFr-.jpg")</f>
        <v>http://pbs.twimg.com/media/CvnA-7TWgAArFr-.jpg</v>
      </c>
      <c r="N2174">
        <v>0</v>
      </c>
      <c r="O2174">
        <v>0</v>
      </c>
      <c r="P2174">
        <v>1</v>
      </c>
      <c r="Q2174">
        <v>0</v>
      </c>
    </row>
    <row r="2175" spans="1:17" x14ac:dyDescent="0.2">
      <c r="A2175" s="1" t="str">
        <f>HYPERLINK("http://www.twitter.com/Ugo_Roux/status/790441036472549376", "790441036472549376")</f>
        <v>790441036472549376</v>
      </c>
      <c r="B2175" t="s">
        <v>285</v>
      </c>
      <c r="C2175" s="3">
        <v>42667.273182870369</v>
      </c>
      <c r="D2175" s="5" t="s">
        <v>28</v>
      </c>
      <c r="E2175">
        <v>2</v>
      </c>
      <c r="F2175">
        <v>0</v>
      </c>
      <c r="G2175">
        <v>0</v>
      </c>
      <c r="I2175" t="s">
        <v>2212</v>
      </c>
      <c r="J2175" t="str">
        <f>HYPERLINK("http://pbs.twimg.com/media/Cvg16I0XEAAfI5Z.jpg", "http://pbs.twimg.com/media/Cvg16I0XEAAfI5Z.jpg")</f>
        <v>http://pbs.twimg.com/media/Cvg16I0XEAAfI5Z.jpg</v>
      </c>
      <c r="N2175">
        <v>0</v>
      </c>
      <c r="O2175">
        <v>0</v>
      </c>
      <c r="P2175">
        <v>1</v>
      </c>
      <c r="Q2175">
        <v>0</v>
      </c>
    </row>
    <row r="2176" spans="1:17" x14ac:dyDescent="0.2">
      <c r="A2176" s="1" t="str">
        <f>HYPERLINK("http://www.twitter.com/Ugo_Roux/status/789764965519519744", "789764965519519744")</f>
        <v>789764965519519744</v>
      </c>
      <c r="B2176" t="s">
        <v>16</v>
      </c>
      <c r="C2176" s="3">
        <v>42665.407581018517</v>
      </c>
      <c r="D2176" s="3" t="s">
        <v>28</v>
      </c>
      <c r="E2176">
        <v>3</v>
      </c>
      <c r="F2176">
        <v>0</v>
      </c>
      <c r="G2176">
        <v>0</v>
      </c>
      <c r="I2176" t="s">
        <v>2213</v>
      </c>
      <c r="N2176">
        <v>0</v>
      </c>
      <c r="O2176">
        <v>0</v>
      </c>
      <c r="P2176">
        <v>1</v>
      </c>
      <c r="Q2176">
        <v>0</v>
      </c>
    </row>
    <row r="2177" spans="1:17" x14ac:dyDescent="0.2">
      <c r="A2177" s="1" t="str">
        <f>HYPERLINK("http://www.twitter.com/Ugo_Roux/status/789409763943559168", "789409763943559168")</f>
        <v>789409763943559168</v>
      </c>
      <c r="B2177" t="s">
        <v>370</v>
      </c>
      <c r="C2177" s="3">
        <v>42664.427407407413</v>
      </c>
      <c r="D2177" s="5" t="s">
        <v>28</v>
      </c>
      <c r="E2177">
        <v>0</v>
      </c>
      <c r="F2177">
        <v>0</v>
      </c>
      <c r="G2177">
        <v>0</v>
      </c>
      <c r="I2177" t="s">
        <v>2214</v>
      </c>
      <c r="J2177" t="str">
        <f>HYPERLINK("http://pbs.twimg.com/media/CvSL_upUkAE6hH-.jpg", "http://pbs.twimg.com/media/CvSL_upUkAE6hH-.jpg")</f>
        <v>http://pbs.twimg.com/media/CvSL_upUkAE6hH-.jpg</v>
      </c>
      <c r="N2177">
        <v>0</v>
      </c>
      <c r="O2177">
        <v>0</v>
      </c>
      <c r="P2177">
        <v>1</v>
      </c>
      <c r="Q2177">
        <v>0</v>
      </c>
    </row>
    <row r="2178" spans="1:17" x14ac:dyDescent="0.2">
      <c r="A2178" s="1" t="str">
        <f>HYPERLINK("http://www.twitter.com/Ugo_Roux/status/789406658103422977", "789406658103422977")</f>
        <v>789406658103422977</v>
      </c>
      <c r="B2178" t="s">
        <v>370</v>
      </c>
      <c r="C2178" s="3">
        <v>42664.418842592589</v>
      </c>
      <c r="D2178" s="5" t="s">
        <v>28</v>
      </c>
      <c r="E2178">
        <v>0</v>
      </c>
      <c r="F2178">
        <v>0</v>
      </c>
      <c r="G2178">
        <v>0</v>
      </c>
      <c r="I2178" t="s">
        <v>2215</v>
      </c>
      <c r="J2178" t="str">
        <f>HYPERLINK("http://pbs.twimg.com/media/CvSJK8BVIAAYdr_.jpg", "http://pbs.twimg.com/media/CvSJK8BVIAAYdr_.jpg")</f>
        <v>http://pbs.twimg.com/media/CvSJK8BVIAAYdr_.jpg</v>
      </c>
      <c r="N2178">
        <v>0</v>
      </c>
      <c r="O2178">
        <v>0</v>
      </c>
      <c r="P2178">
        <v>1</v>
      </c>
      <c r="Q2178">
        <v>0</v>
      </c>
    </row>
    <row r="2179" spans="1:17" x14ac:dyDescent="0.2">
      <c r="A2179" s="1" t="str">
        <f>HYPERLINK("http://www.twitter.com/Ugo_Roux/status/789383825688178688", "789383825688178688")</f>
        <v>789383825688178688</v>
      </c>
      <c r="B2179" t="s">
        <v>370</v>
      </c>
      <c r="C2179" s="3">
        <v>42664.355833333328</v>
      </c>
      <c r="D2179" s="5" t="s">
        <v>28</v>
      </c>
      <c r="E2179">
        <v>0</v>
      </c>
      <c r="F2179">
        <v>0</v>
      </c>
      <c r="G2179">
        <v>0</v>
      </c>
      <c r="I2179" t="s">
        <v>2216</v>
      </c>
      <c r="J2179" t="str">
        <f>HYPERLINK("http://pbs.twimg.com/media/CvR0Z8ZVIAA2PDV.jpg", "http://pbs.twimg.com/media/CvR0Z8ZVIAA2PDV.jpg")</f>
        <v>http://pbs.twimg.com/media/CvR0Z8ZVIAA2PDV.jpg</v>
      </c>
      <c r="N2179">
        <v>0</v>
      </c>
      <c r="O2179">
        <v>0</v>
      </c>
      <c r="P2179">
        <v>1</v>
      </c>
      <c r="Q2179">
        <v>0</v>
      </c>
    </row>
    <row r="2180" spans="1:17" x14ac:dyDescent="0.2">
      <c r="A2180" s="1" t="str">
        <f>HYPERLINK("http://www.twitter.com/Ugo_Roux/status/789355903615107072", "789355903615107072")</f>
        <v>789355903615107072</v>
      </c>
      <c r="B2180" t="s">
        <v>285</v>
      </c>
      <c r="C2180" s="3">
        <v>42664.278784722221</v>
      </c>
      <c r="D2180" s="5" t="s">
        <v>17</v>
      </c>
      <c r="E2180">
        <v>0</v>
      </c>
      <c r="F2180">
        <v>0</v>
      </c>
      <c r="G2180">
        <v>0</v>
      </c>
      <c r="I2180" t="s">
        <v>2217</v>
      </c>
      <c r="J2180" t="str">
        <f>HYPERLINK("http://pbs.twimg.com/media/CvRYOaTWAAAwxIF.jpg", "http://pbs.twimg.com/media/CvRYOaTWAAAwxIF.jpg")</f>
        <v>http://pbs.twimg.com/media/CvRYOaTWAAAwxIF.jpg</v>
      </c>
      <c r="N2180">
        <v>0</v>
      </c>
      <c r="O2180">
        <v>0</v>
      </c>
      <c r="P2180">
        <v>1</v>
      </c>
      <c r="Q2180">
        <v>0</v>
      </c>
    </row>
    <row r="2181" spans="1:17" x14ac:dyDescent="0.2">
      <c r="A2181" s="1" t="str">
        <f>HYPERLINK("http://www.twitter.com/Ugo_Roux/status/789044958602924032", "789044958602924032")</f>
        <v>789044958602924032</v>
      </c>
      <c r="B2181" t="s">
        <v>16</v>
      </c>
      <c r="C2181" s="3">
        <v>42663.420740740738</v>
      </c>
      <c r="D2181" s="3" t="s">
        <v>460</v>
      </c>
      <c r="E2181">
        <v>0</v>
      </c>
      <c r="F2181">
        <v>0</v>
      </c>
      <c r="G2181">
        <v>0</v>
      </c>
      <c r="I2181" t="s">
        <v>2218</v>
      </c>
      <c r="N2181">
        <v>0</v>
      </c>
      <c r="O2181">
        <v>0</v>
      </c>
      <c r="P2181">
        <v>1</v>
      </c>
      <c r="Q2181">
        <v>0</v>
      </c>
    </row>
    <row r="2182" spans="1:17" x14ac:dyDescent="0.2">
      <c r="A2182" s="1" t="str">
        <f>HYPERLINK("http://www.twitter.com/Ugo_Roux/status/789021395397251072", "789021395397251072")</f>
        <v>789021395397251072</v>
      </c>
      <c r="B2182" t="s">
        <v>285</v>
      </c>
      <c r="C2182" s="3">
        <v>42663.355717592603</v>
      </c>
      <c r="D2182" s="5" t="s">
        <v>17</v>
      </c>
      <c r="E2182">
        <v>0</v>
      </c>
      <c r="F2182">
        <v>0</v>
      </c>
      <c r="G2182">
        <v>0</v>
      </c>
      <c r="I2182" t="s">
        <v>2219</v>
      </c>
      <c r="N2182">
        <v>-0.15310000000000001</v>
      </c>
      <c r="O2182">
        <v>0.16700000000000001</v>
      </c>
      <c r="P2182">
        <v>0.83299999999999996</v>
      </c>
      <c r="Q2182">
        <v>0</v>
      </c>
    </row>
    <row r="2183" spans="1:17" x14ac:dyDescent="0.2">
      <c r="A2183" s="1" t="str">
        <f>HYPERLINK("http://www.twitter.com/Ugo_Roux/status/788721317449240576", "788721317449240576")</f>
        <v>788721317449240576</v>
      </c>
      <c r="B2183" t="s">
        <v>16</v>
      </c>
      <c r="C2183" s="3">
        <v>42662.527662037042</v>
      </c>
      <c r="D2183" s="3" t="s">
        <v>28</v>
      </c>
      <c r="E2183">
        <v>1</v>
      </c>
      <c r="F2183">
        <v>1</v>
      </c>
      <c r="G2183">
        <v>0</v>
      </c>
      <c r="I2183" t="s">
        <v>2220</v>
      </c>
      <c r="J2183" t="str">
        <f>HYPERLINK("http://pbs.twimg.com/media/CvIWz_iW8AA-YLA.jpg", "http://pbs.twimg.com/media/CvIWz_iW8AA-YLA.jpg")</f>
        <v>http://pbs.twimg.com/media/CvIWz_iW8AA-YLA.jpg</v>
      </c>
      <c r="N2183">
        <v>0</v>
      </c>
      <c r="O2183">
        <v>0</v>
      </c>
      <c r="P2183">
        <v>1</v>
      </c>
      <c r="Q2183">
        <v>0</v>
      </c>
    </row>
    <row r="2184" spans="1:17" x14ac:dyDescent="0.2">
      <c r="A2184" s="1" t="str">
        <f>HYPERLINK("http://www.twitter.com/Ugo_Roux/status/788628910846177280", "788628910846177280")</f>
        <v>788628910846177280</v>
      </c>
      <c r="B2184" t="s">
        <v>285</v>
      </c>
      <c r="C2184" s="3">
        <v>42662.272673611107</v>
      </c>
      <c r="D2184" s="5" t="s">
        <v>41</v>
      </c>
      <c r="E2184">
        <v>0</v>
      </c>
      <c r="F2184">
        <v>0</v>
      </c>
      <c r="G2184">
        <v>0</v>
      </c>
      <c r="I2184" t="s">
        <v>2221</v>
      </c>
      <c r="J2184" t="str">
        <f>HYPERLINK("http://pbs.twimg.com/media/CvHFtyaWgAAmm3q.jpg", "http://pbs.twimg.com/media/CvHFtyaWgAAmm3q.jpg")</f>
        <v>http://pbs.twimg.com/media/CvHFtyaWgAAmm3q.jpg</v>
      </c>
      <c r="N2184">
        <v>0</v>
      </c>
      <c r="O2184">
        <v>0</v>
      </c>
      <c r="P2184">
        <v>1</v>
      </c>
      <c r="Q2184">
        <v>0</v>
      </c>
    </row>
    <row r="2185" spans="1:17" x14ac:dyDescent="0.2">
      <c r="A2185" s="1" t="str">
        <f>HYPERLINK("http://www.twitter.com/Ugo_Roux/status/787318119266185217", "787318119266185217")</f>
        <v>787318119266185217</v>
      </c>
      <c r="B2185" t="s">
        <v>47</v>
      </c>
      <c r="C2185" s="3">
        <v>42658.65556712963</v>
      </c>
      <c r="D2185" s="5" t="s">
        <v>41</v>
      </c>
      <c r="E2185">
        <v>0</v>
      </c>
      <c r="F2185">
        <v>0</v>
      </c>
      <c r="G2185">
        <v>0</v>
      </c>
      <c r="I2185" t="s">
        <v>2222</v>
      </c>
      <c r="J2185" t="str">
        <f>HYPERLINK("http://pbs.twimg.com/media/Cu0dVGGWcAALegJ.jpg", "http://pbs.twimg.com/media/Cu0dVGGWcAALegJ.jpg")</f>
        <v>http://pbs.twimg.com/media/Cu0dVGGWcAALegJ.jpg</v>
      </c>
      <c r="N2185">
        <v>0.50929999999999997</v>
      </c>
      <c r="O2185">
        <v>0</v>
      </c>
      <c r="P2185">
        <v>0.84499999999999997</v>
      </c>
      <c r="Q2185">
        <v>0.155</v>
      </c>
    </row>
    <row r="2186" spans="1:17" x14ac:dyDescent="0.2">
      <c r="A2186" s="1" t="str">
        <f>HYPERLINK("http://www.twitter.com/Ugo_Roux/status/787220440267694080", "787220440267694080")</f>
        <v>787220440267694080</v>
      </c>
      <c r="B2186" t="s">
        <v>130</v>
      </c>
      <c r="C2186" s="3">
        <v>42658.386030092603</v>
      </c>
      <c r="D2186" s="5" t="s">
        <v>28</v>
      </c>
      <c r="E2186">
        <v>0</v>
      </c>
      <c r="F2186">
        <v>0</v>
      </c>
      <c r="G2186">
        <v>0</v>
      </c>
      <c r="I2186" t="s">
        <v>2223</v>
      </c>
      <c r="N2186">
        <v>0</v>
      </c>
      <c r="O2186">
        <v>0</v>
      </c>
      <c r="P2186">
        <v>1</v>
      </c>
      <c r="Q2186">
        <v>0</v>
      </c>
    </row>
    <row r="2187" spans="1:17" x14ac:dyDescent="0.2">
      <c r="A2187" s="1" t="str">
        <f>HYPERLINK("http://www.twitter.com/Ugo_Roux/status/787200879380267008", "787200879380267008")</f>
        <v>787200879380267008</v>
      </c>
      <c r="B2187" t="s">
        <v>16</v>
      </c>
      <c r="C2187" s="3">
        <v>42658.332048611112</v>
      </c>
      <c r="D2187" s="3" t="s">
        <v>41</v>
      </c>
      <c r="E2187">
        <v>1</v>
      </c>
      <c r="F2187">
        <v>2</v>
      </c>
      <c r="G2187">
        <v>0</v>
      </c>
      <c r="I2187" t="s">
        <v>2224</v>
      </c>
      <c r="J2187" t="str">
        <f>HYPERLINK("http://pbs.twimg.com/media/CuyzBTHWgAAD88W.jpg", "http://pbs.twimg.com/media/CuyzBTHWgAAD88W.jpg")</f>
        <v>http://pbs.twimg.com/media/CuyzBTHWgAAD88W.jpg</v>
      </c>
      <c r="K2187" t="str">
        <f>HYPERLINK("http://pbs.twimg.com/media/CuyzBTHWYAA4NLG.jpg", "http://pbs.twimg.com/media/CuyzBTHWYAA4NLG.jpg")</f>
        <v>http://pbs.twimg.com/media/CuyzBTHWYAA4NLG.jpg</v>
      </c>
      <c r="N2187">
        <v>0.1759</v>
      </c>
      <c r="O2187">
        <v>7.5999999999999998E-2</v>
      </c>
      <c r="P2187">
        <v>0.81299999999999994</v>
      </c>
      <c r="Q2187">
        <v>0.111</v>
      </c>
    </row>
    <row r="2188" spans="1:17" x14ac:dyDescent="0.2">
      <c r="A2188" s="1" t="str">
        <f>HYPERLINK("http://www.twitter.com/Ugo_Roux/status/786542598445858817", "786542598445858817")</f>
        <v>786542598445858817</v>
      </c>
      <c r="B2188" t="s">
        <v>471</v>
      </c>
      <c r="C2188" s="3">
        <v>42656.515543981477</v>
      </c>
      <c r="D2188" s="3" t="s">
        <v>41</v>
      </c>
      <c r="E2188">
        <v>0</v>
      </c>
      <c r="F2188">
        <v>0</v>
      </c>
      <c r="G2188">
        <v>0</v>
      </c>
      <c r="I2188" t="s">
        <v>2225</v>
      </c>
      <c r="J2188" t="str">
        <f>HYPERLINK("http://pbs.twimg.com/media/CupcOgMWIAAtdwy.jpg", "http://pbs.twimg.com/media/CupcOgMWIAAtdwy.jpg")</f>
        <v>http://pbs.twimg.com/media/CupcOgMWIAAtdwy.jpg</v>
      </c>
      <c r="K2188" t="str">
        <f>HYPERLINK("http://pbs.twimg.com/media/CupcOf9XgAAuP99.jpg", "http://pbs.twimg.com/media/CupcOf9XgAAuP99.jpg")</f>
        <v>http://pbs.twimg.com/media/CupcOf9XgAAuP99.jpg</v>
      </c>
      <c r="L2188" t="str">
        <f>HYPERLINK("http://pbs.twimg.com/media/CupcOf5XEAAP-ok.jpg", "http://pbs.twimg.com/media/CupcOf5XEAAP-ok.jpg")</f>
        <v>http://pbs.twimg.com/media/CupcOf5XEAAP-ok.jpg</v>
      </c>
      <c r="M2188" t="str">
        <f>HYPERLINK("http://pbs.twimg.com/media/CupcOgGXYAEfMGk.jpg", "http://pbs.twimg.com/media/CupcOgGXYAEfMGk.jpg")</f>
        <v>http://pbs.twimg.com/media/CupcOgGXYAEfMGk.jpg</v>
      </c>
      <c r="N2188">
        <v>-0.26950000000000002</v>
      </c>
      <c r="O2188">
        <v>0.14799999999999999</v>
      </c>
      <c r="P2188">
        <v>0.85199999999999998</v>
      </c>
      <c r="Q2188">
        <v>0</v>
      </c>
    </row>
    <row r="2189" spans="1:17" x14ac:dyDescent="0.2">
      <c r="A2189" s="1" t="str">
        <f>HYPERLINK("http://www.twitter.com/Ugo_Roux/status/786234570236538881", "786234570236538881")</f>
        <v>786234570236538881</v>
      </c>
      <c r="B2189" t="s">
        <v>47</v>
      </c>
      <c r="C2189" s="3">
        <v>42655.665543981479</v>
      </c>
      <c r="D2189" s="5" t="s">
        <v>28</v>
      </c>
      <c r="E2189">
        <v>3</v>
      </c>
      <c r="F2189">
        <v>3</v>
      </c>
      <c r="G2189">
        <v>0</v>
      </c>
      <c r="I2189" t="s">
        <v>2226</v>
      </c>
      <c r="J2189" t="str">
        <f>HYPERLINK("http://pbs.twimg.com/media/CulDTw_WAAAxxLF.jpg", "http://pbs.twimg.com/media/CulDTw_WAAAxxLF.jpg")</f>
        <v>http://pbs.twimg.com/media/CulDTw_WAAAxxLF.jpg</v>
      </c>
      <c r="N2189">
        <v>0</v>
      </c>
      <c r="O2189">
        <v>0</v>
      </c>
      <c r="P2189">
        <v>1</v>
      </c>
      <c r="Q2189">
        <v>0</v>
      </c>
    </row>
    <row r="2190" spans="1:17" x14ac:dyDescent="0.2">
      <c r="A2190" s="1" t="str">
        <f>HYPERLINK("http://www.twitter.com/Ugo_Roux/status/786141432675381248", "786141432675381248")</f>
        <v>786141432675381248</v>
      </c>
      <c r="B2190" t="s">
        <v>471</v>
      </c>
      <c r="C2190" s="3">
        <v>42655.408541666657</v>
      </c>
      <c r="D2190" s="3" t="s">
        <v>41</v>
      </c>
      <c r="E2190">
        <v>0</v>
      </c>
      <c r="F2190">
        <v>3</v>
      </c>
      <c r="G2190">
        <v>0</v>
      </c>
      <c r="I2190" t="s">
        <v>2227</v>
      </c>
      <c r="J2190" t="str">
        <f>HYPERLINK("http://pbs.twimg.com/media/CujvSB8XEAAQMou.jpg", "http://pbs.twimg.com/media/CujvSB8XEAAQMou.jpg")</f>
        <v>http://pbs.twimg.com/media/CujvSB8XEAAQMou.jpg</v>
      </c>
      <c r="K2190" t="str">
        <f>HYPERLINK("http://pbs.twimg.com/media/CujvSCHXgAAV6q0.jpg", "http://pbs.twimg.com/media/CujvSCHXgAAV6q0.jpg")</f>
        <v>http://pbs.twimg.com/media/CujvSCHXgAAV6q0.jpg</v>
      </c>
      <c r="L2190" t="str">
        <f>HYPERLINK("http://pbs.twimg.com/media/CujvSCDXYAAtuP1.jpg", "http://pbs.twimg.com/media/CujvSCDXYAAtuP1.jpg")</f>
        <v>http://pbs.twimg.com/media/CujvSCDXYAAtuP1.jpg</v>
      </c>
      <c r="M2190" t="str">
        <f>HYPERLINK("http://pbs.twimg.com/media/CujvSCBWIAAu_Jy.jpg", "http://pbs.twimg.com/media/CujvSCBWIAAu_Jy.jpg")</f>
        <v>http://pbs.twimg.com/media/CujvSCBWIAAu_Jy.jpg</v>
      </c>
      <c r="N2190">
        <v>0</v>
      </c>
      <c r="O2190">
        <v>0</v>
      </c>
      <c r="P2190">
        <v>1</v>
      </c>
      <c r="Q2190">
        <v>0</v>
      </c>
    </row>
    <row r="2191" spans="1:17" x14ac:dyDescent="0.2">
      <c r="A2191" s="1" t="str">
        <f>HYPERLINK("http://www.twitter.com/Ugo_Roux/status/786140311470772224", "786140311470772224")</f>
        <v>786140311470772224</v>
      </c>
      <c r="B2191" t="s">
        <v>16</v>
      </c>
      <c r="C2191" s="3">
        <v>42655.405439814807</v>
      </c>
      <c r="D2191" s="3" t="s">
        <v>41</v>
      </c>
      <c r="E2191">
        <v>3</v>
      </c>
      <c r="F2191">
        <v>1</v>
      </c>
      <c r="G2191">
        <v>1</v>
      </c>
      <c r="I2191" t="s">
        <v>2228</v>
      </c>
      <c r="J2191" t="str">
        <f>HYPERLINK("https://video.twimg.com/ext_tw_video/786139421385129984/pu/vid/1280x720/LmFyaw2047AwrteK.mp4", "https://video.twimg.com/ext_tw_video/786139421385129984/pu/vid/1280x720/LmFyaw2047AwrteK.mp4")</f>
        <v>https://video.twimg.com/ext_tw_video/786139421385129984/pu/vid/1280x720/LmFyaw2047AwrteK.mp4</v>
      </c>
      <c r="N2191">
        <v>0.45879999999999999</v>
      </c>
      <c r="O2191">
        <v>0</v>
      </c>
      <c r="P2191">
        <v>0.875</v>
      </c>
      <c r="Q2191">
        <v>0.125</v>
      </c>
    </row>
    <row r="2192" spans="1:17" x14ac:dyDescent="0.2">
      <c r="A2192" s="1" t="str">
        <f>HYPERLINK("http://www.twitter.com/Ugo_Roux/status/785855615922995200", "785855615922995200")</f>
        <v>785855615922995200</v>
      </c>
      <c r="B2192" t="s">
        <v>471</v>
      </c>
      <c r="C2192" s="3">
        <v>42654.619826388887</v>
      </c>
      <c r="D2192" s="3" t="s">
        <v>28</v>
      </c>
      <c r="E2192">
        <v>1</v>
      </c>
      <c r="F2192">
        <v>2</v>
      </c>
      <c r="G2192">
        <v>0</v>
      </c>
      <c r="I2192" t="s">
        <v>2229</v>
      </c>
      <c r="J2192" t="str">
        <f>HYPERLINK("http://pbs.twimg.com/media/CufrfyfWIAAPIqL.jpg", "http://pbs.twimg.com/media/CufrfyfWIAAPIqL.jpg")</f>
        <v>http://pbs.twimg.com/media/CufrfyfWIAAPIqL.jpg</v>
      </c>
      <c r="N2192">
        <v>0</v>
      </c>
      <c r="O2192">
        <v>0</v>
      </c>
      <c r="P2192">
        <v>1</v>
      </c>
      <c r="Q2192">
        <v>0</v>
      </c>
    </row>
    <row r="2193" spans="1:17" x14ac:dyDescent="0.2">
      <c r="A2193" s="1" t="str">
        <f>HYPERLINK("http://www.twitter.com/Ugo_Roux/status/785772723809038336", "785772723809038336")</f>
        <v>785772723809038336</v>
      </c>
      <c r="B2193" t="s">
        <v>414</v>
      </c>
      <c r="C2193" s="3">
        <v>42654.391087962962</v>
      </c>
      <c r="D2193" s="5" t="s">
        <v>28</v>
      </c>
      <c r="E2193">
        <v>1</v>
      </c>
      <c r="F2193">
        <v>0</v>
      </c>
      <c r="G2193">
        <v>0</v>
      </c>
      <c r="I2193" t="s">
        <v>2230</v>
      </c>
      <c r="J2193" t="str">
        <f>HYPERLINK("http://pbs.twimg.com/media/CuegCREWEAAUDYQ.jpg", "http://pbs.twimg.com/media/CuegCREWEAAUDYQ.jpg")</f>
        <v>http://pbs.twimg.com/media/CuegCREWEAAUDYQ.jpg</v>
      </c>
      <c r="K2193" t="str">
        <f>HYPERLINK("http://pbs.twimg.com/media/CuegHUuWAAAKyUY.jpg", "http://pbs.twimg.com/media/CuegHUuWAAAKyUY.jpg")</f>
        <v>http://pbs.twimg.com/media/CuegHUuWAAAKyUY.jpg</v>
      </c>
      <c r="N2193">
        <v>0</v>
      </c>
      <c r="O2193">
        <v>0</v>
      </c>
      <c r="P2193">
        <v>1</v>
      </c>
      <c r="Q2193">
        <v>0</v>
      </c>
    </row>
    <row r="2194" spans="1:17" x14ac:dyDescent="0.2">
      <c r="A2194" s="1" t="str">
        <f>HYPERLINK("http://www.twitter.com/Ugo_Roux/status/784769864862830592", "784769864862830592")</f>
        <v>784769864862830592</v>
      </c>
      <c r="B2194" t="s">
        <v>97</v>
      </c>
      <c r="C2194" s="3">
        <v>42651.623726851853</v>
      </c>
      <c r="D2194" s="5" t="s">
        <v>17</v>
      </c>
      <c r="E2194">
        <v>0</v>
      </c>
      <c r="F2194">
        <v>0</v>
      </c>
      <c r="G2194">
        <v>0</v>
      </c>
      <c r="I2194" t="s">
        <v>2231</v>
      </c>
      <c r="J2194" t="str">
        <f>HYPERLINK("http://pbs.twimg.com/media/CuQQB_HVIAAoNGQ.jpg", "http://pbs.twimg.com/media/CuQQB_HVIAAoNGQ.jpg")</f>
        <v>http://pbs.twimg.com/media/CuQQB_HVIAAoNGQ.jpg</v>
      </c>
      <c r="N2194">
        <v>0</v>
      </c>
      <c r="O2194">
        <v>0</v>
      </c>
      <c r="P2194">
        <v>1</v>
      </c>
      <c r="Q2194">
        <v>0</v>
      </c>
    </row>
    <row r="2195" spans="1:17" x14ac:dyDescent="0.2">
      <c r="A2195" s="1" t="str">
        <f>HYPERLINK("http://www.twitter.com/Ugo_Roux/status/784672217338642432", "784672217338642432")</f>
        <v>784672217338642432</v>
      </c>
      <c r="B2195" t="s">
        <v>414</v>
      </c>
      <c r="C2195" s="3">
        <v>42651.354270833333</v>
      </c>
      <c r="D2195" s="5" t="s">
        <v>28</v>
      </c>
      <c r="E2195">
        <v>0</v>
      </c>
      <c r="F2195">
        <v>0</v>
      </c>
      <c r="G2195">
        <v>0</v>
      </c>
      <c r="I2195" t="s">
        <v>2232</v>
      </c>
      <c r="J2195" t="str">
        <f>HYPERLINK("http://pbs.twimg.com/media/CuO28ApWYAElB1f.jpg", "http://pbs.twimg.com/media/CuO28ApWYAElB1f.jpg")</f>
        <v>http://pbs.twimg.com/media/CuO28ApWYAElB1f.jpg</v>
      </c>
      <c r="N2195">
        <v>0.47670000000000001</v>
      </c>
      <c r="O2195">
        <v>0</v>
      </c>
      <c r="P2195">
        <v>0.83799999999999997</v>
      </c>
      <c r="Q2195">
        <v>0.16200000000000001</v>
      </c>
    </row>
    <row r="2196" spans="1:17" x14ac:dyDescent="0.2">
      <c r="A2196" s="1" t="str">
        <f>HYPERLINK("http://www.twitter.com/Ugo_Roux/status/784299391431561216", "784299391431561216")</f>
        <v>784299391431561216</v>
      </c>
      <c r="B2196" t="s">
        <v>285</v>
      </c>
      <c r="C2196" s="3">
        <v>42650.325474537043</v>
      </c>
      <c r="D2196" s="5" t="s">
        <v>17</v>
      </c>
      <c r="E2196">
        <v>1</v>
      </c>
      <c r="F2196">
        <v>1</v>
      </c>
      <c r="G2196">
        <v>0</v>
      </c>
      <c r="I2196" t="s">
        <v>2233</v>
      </c>
      <c r="N2196">
        <v>0</v>
      </c>
      <c r="O2196">
        <v>0</v>
      </c>
      <c r="P2196">
        <v>1</v>
      </c>
      <c r="Q2196">
        <v>0</v>
      </c>
    </row>
    <row r="2197" spans="1:17" x14ac:dyDescent="0.2">
      <c r="A2197" s="1" t="str">
        <f>HYPERLINK("http://www.twitter.com/Ugo_Roux/status/784037048504225792", "784037048504225792")</f>
        <v>784037048504225792</v>
      </c>
      <c r="B2197" t="s">
        <v>476</v>
      </c>
      <c r="C2197" s="3">
        <v>42649.601539351846</v>
      </c>
      <c r="D2197" s="5" t="s">
        <v>28</v>
      </c>
      <c r="E2197">
        <v>0</v>
      </c>
      <c r="F2197">
        <v>0</v>
      </c>
      <c r="G2197">
        <v>0</v>
      </c>
      <c r="I2197" t="s">
        <v>2234</v>
      </c>
      <c r="J2197" t="str">
        <f>HYPERLINK("http://pbs.twimg.com/media/CuF1bRnW8AAPGQO.jpg", "http://pbs.twimg.com/media/CuF1bRnW8AAPGQO.jpg")</f>
        <v>http://pbs.twimg.com/media/CuF1bRnW8AAPGQO.jpg</v>
      </c>
      <c r="N2197">
        <v>0</v>
      </c>
      <c r="O2197">
        <v>0</v>
      </c>
      <c r="P2197">
        <v>1</v>
      </c>
      <c r="Q2197">
        <v>0</v>
      </c>
    </row>
    <row r="2198" spans="1:17" x14ac:dyDescent="0.2">
      <c r="A2198" s="1" t="str">
        <f>HYPERLINK("http://www.twitter.com/Ugo_Roux/status/783996043381747712", "783996043381747712")</f>
        <v>783996043381747712</v>
      </c>
      <c r="B2198" t="s">
        <v>97</v>
      </c>
      <c r="C2198" s="3">
        <v>42649.488391203697</v>
      </c>
      <c r="D2198" s="5" t="s">
        <v>24</v>
      </c>
      <c r="E2198">
        <v>0</v>
      </c>
      <c r="F2198">
        <v>0</v>
      </c>
      <c r="G2198">
        <v>0</v>
      </c>
      <c r="I2198" t="s">
        <v>2235</v>
      </c>
      <c r="N2198">
        <v>-0.36120000000000002</v>
      </c>
      <c r="O2198">
        <v>0.23799999999999999</v>
      </c>
      <c r="P2198">
        <v>0.76200000000000001</v>
      </c>
      <c r="Q2198">
        <v>0</v>
      </c>
    </row>
    <row r="2199" spans="1:17" x14ac:dyDescent="0.2">
      <c r="A2199" s="1" t="str">
        <f>HYPERLINK("http://www.twitter.com/Ugo_Roux/status/783604139666407424", "783604139666407424")</f>
        <v>783604139666407424</v>
      </c>
      <c r="B2199" t="s">
        <v>414</v>
      </c>
      <c r="C2199" s="3">
        <v>42648.406944444447</v>
      </c>
      <c r="D2199" s="5" t="s">
        <v>28</v>
      </c>
      <c r="E2199">
        <v>0</v>
      </c>
      <c r="F2199">
        <v>0</v>
      </c>
      <c r="G2199">
        <v>0</v>
      </c>
      <c r="I2199" t="s">
        <v>2236</v>
      </c>
      <c r="J2199" t="str">
        <f>HYPERLINK("http://pbs.twimg.com/media/Ct_ryDlWIAAxCst.jpg", "http://pbs.twimg.com/media/Ct_ryDlWIAAxCst.jpg")</f>
        <v>http://pbs.twimg.com/media/Ct_ryDlWIAAxCst.jpg</v>
      </c>
      <c r="N2199">
        <v>0</v>
      </c>
      <c r="O2199">
        <v>0</v>
      </c>
      <c r="P2199">
        <v>1</v>
      </c>
      <c r="Q2199">
        <v>0</v>
      </c>
    </row>
    <row r="2200" spans="1:17" x14ac:dyDescent="0.2">
      <c r="A2200" s="1" t="str">
        <f>HYPERLINK("http://www.twitter.com/Ugo_Roux/status/782877159010349056", "782877159010349056")</f>
        <v>782877159010349056</v>
      </c>
      <c r="B2200" t="s">
        <v>97</v>
      </c>
      <c r="C2200" s="3">
        <v>42646.400856481479</v>
      </c>
      <c r="D2200" s="5" t="s">
        <v>24</v>
      </c>
      <c r="E2200">
        <v>0</v>
      </c>
      <c r="F2200">
        <v>0</v>
      </c>
      <c r="G2200">
        <v>0</v>
      </c>
      <c r="I2200" t="s">
        <v>2237</v>
      </c>
      <c r="J2200" t="str">
        <f>HYPERLINK("http://pbs.twimg.com/media/Ct1WoFAUMAA4Mta.jpg", "http://pbs.twimg.com/media/Ct1WoFAUMAA4Mta.jpg")</f>
        <v>http://pbs.twimg.com/media/Ct1WoFAUMAA4Mta.jpg</v>
      </c>
      <c r="N2200">
        <v>0</v>
      </c>
      <c r="O2200">
        <v>0</v>
      </c>
      <c r="P2200">
        <v>1</v>
      </c>
      <c r="Q2200">
        <v>0</v>
      </c>
    </row>
    <row r="2201" spans="1:17" x14ac:dyDescent="0.2">
      <c r="A2201" s="1" t="str">
        <f>HYPERLINK("http://www.twitter.com/Ugo_Roux/status/782871773633130496", "782871773633130496")</f>
        <v>782871773633130496</v>
      </c>
      <c r="B2201" t="s">
        <v>97</v>
      </c>
      <c r="C2201" s="3">
        <v>42646.385995370372</v>
      </c>
      <c r="D2201" s="5" t="s">
        <v>41</v>
      </c>
      <c r="E2201">
        <v>0</v>
      </c>
      <c r="F2201">
        <v>0</v>
      </c>
      <c r="G2201">
        <v>0</v>
      </c>
      <c r="I2201" t="s">
        <v>2238</v>
      </c>
      <c r="J2201" t="str">
        <f>HYPERLINK("http://pbs.twimg.com/media/Ct1RulzUMAAV7Uo.jpg", "http://pbs.twimg.com/media/Ct1RulzUMAAV7Uo.jpg")</f>
        <v>http://pbs.twimg.com/media/Ct1RulzUMAAV7Uo.jpg</v>
      </c>
      <c r="N2201">
        <v>0</v>
      </c>
      <c r="O2201">
        <v>0</v>
      </c>
      <c r="P2201">
        <v>1</v>
      </c>
      <c r="Q2201">
        <v>0</v>
      </c>
    </row>
    <row r="2202" spans="1:17" x14ac:dyDescent="0.2">
      <c r="A2202" s="1" t="str">
        <f>HYPERLINK("http://www.twitter.com/Ugo_Roux/status/782217376565649408", "782217376565649408")</f>
        <v>782217376565649408</v>
      </c>
      <c r="B2202" t="s">
        <v>130</v>
      </c>
      <c r="C2202" s="3">
        <v>42644.580208333333</v>
      </c>
      <c r="D2202" s="5" t="s">
        <v>28</v>
      </c>
      <c r="E2202">
        <v>1</v>
      </c>
      <c r="F2202">
        <v>0</v>
      </c>
      <c r="G2202">
        <v>0</v>
      </c>
      <c r="I2202" t="s">
        <v>2239</v>
      </c>
      <c r="N2202">
        <v>0</v>
      </c>
      <c r="O2202">
        <v>0</v>
      </c>
      <c r="P2202">
        <v>1</v>
      </c>
      <c r="Q2202">
        <v>0</v>
      </c>
    </row>
    <row r="2203" spans="1:17" x14ac:dyDescent="0.2">
      <c r="A2203" s="1" t="str">
        <f>HYPERLINK("http://www.twitter.com/Ugo_Roux/status/781877247829508096", "781877247829508096")</f>
        <v>781877247829508096</v>
      </c>
      <c r="B2203" t="s">
        <v>47</v>
      </c>
      <c r="C2203" s="3">
        <v>42643.641631944447</v>
      </c>
      <c r="D2203" s="5" t="s">
        <v>41</v>
      </c>
      <c r="E2203">
        <v>2</v>
      </c>
      <c r="F2203">
        <v>1</v>
      </c>
      <c r="G2203">
        <v>0</v>
      </c>
      <c r="I2203" t="s">
        <v>2240</v>
      </c>
      <c r="J2203" t="str">
        <f>HYPERLINK("http://pbs.twimg.com/media/CtnI09WWIAEGkBu.jpg", "http://pbs.twimg.com/media/CtnI09WWIAEGkBu.jpg")</f>
        <v>http://pbs.twimg.com/media/CtnI09WWIAEGkBu.jpg</v>
      </c>
      <c r="N2203">
        <v>0</v>
      </c>
      <c r="O2203">
        <v>0</v>
      </c>
      <c r="P2203">
        <v>1</v>
      </c>
      <c r="Q2203">
        <v>0</v>
      </c>
    </row>
    <row r="2204" spans="1:17" x14ac:dyDescent="0.2">
      <c r="A2204" s="1" t="str">
        <f>HYPERLINK("http://www.twitter.com/Ugo_Roux/status/781165487929589760", "781165487929589760")</f>
        <v>781165487929589760</v>
      </c>
      <c r="B2204" t="s">
        <v>47</v>
      </c>
      <c r="C2204" s="3">
        <v>42641.677546296298</v>
      </c>
      <c r="D2204" s="5" t="s">
        <v>41</v>
      </c>
      <c r="E2204">
        <v>1</v>
      </c>
      <c r="F2204">
        <v>0</v>
      </c>
      <c r="G2204">
        <v>0</v>
      </c>
      <c r="I2204" t="s">
        <v>2241</v>
      </c>
      <c r="J2204" t="str">
        <f>HYPERLINK("http://pbs.twimg.com/media/CtdB1X7WgAE9sTb.jpg", "http://pbs.twimg.com/media/CtdB1X7WgAE9sTb.jpg")</f>
        <v>http://pbs.twimg.com/media/CtdB1X7WgAE9sTb.jpg</v>
      </c>
      <c r="N2204">
        <v>0</v>
      </c>
      <c r="O2204">
        <v>0</v>
      </c>
      <c r="P2204">
        <v>1</v>
      </c>
      <c r="Q2204">
        <v>0</v>
      </c>
    </row>
    <row r="2205" spans="1:17" x14ac:dyDescent="0.2">
      <c r="A2205" s="1" t="str">
        <f>HYPERLINK("http://www.twitter.com/Ugo_Roux/status/781130779988463616", "781130779988463616")</f>
        <v>781130779988463616</v>
      </c>
      <c r="B2205" t="s">
        <v>471</v>
      </c>
      <c r="C2205" s="3">
        <v>42641.581770833327</v>
      </c>
      <c r="D2205" s="3" t="s">
        <v>41</v>
      </c>
      <c r="E2205">
        <v>1</v>
      </c>
      <c r="F2205">
        <v>1</v>
      </c>
      <c r="G2205">
        <v>0</v>
      </c>
      <c r="I2205" t="s">
        <v>2242</v>
      </c>
      <c r="J2205" t="str">
        <f>HYPERLINK("http://pbs.twimg.com/media/CtchvvrWcAAb-nZ.jpg", "http://pbs.twimg.com/media/CtchvvrWcAAb-nZ.jpg")</f>
        <v>http://pbs.twimg.com/media/CtchvvrWcAAb-nZ.jpg</v>
      </c>
      <c r="K2205" t="str">
        <f>HYPERLINK("http://pbs.twimg.com/media/CtciLfZWIAAWMh8.jpg", "http://pbs.twimg.com/media/CtciLfZWIAAWMh8.jpg")</f>
        <v>http://pbs.twimg.com/media/CtciLfZWIAAWMh8.jpg</v>
      </c>
      <c r="L2205" t="str">
        <f>HYPERLINK("http://pbs.twimg.com/media/CtciMn5WIAEfprZ.jpg", "http://pbs.twimg.com/media/CtciMn5WIAEfprZ.jpg")</f>
        <v>http://pbs.twimg.com/media/CtciMn5WIAEfprZ.jpg</v>
      </c>
      <c r="N2205">
        <v>0</v>
      </c>
      <c r="O2205">
        <v>0</v>
      </c>
      <c r="P2205">
        <v>1</v>
      </c>
      <c r="Q2205">
        <v>0</v>
      </c>
    </row>
    <row r="2206" spans="1:17" x14ac:dyDescent="0.2">
      <c r="A2206" s="1" t="str">
        <f>HYPERLINK("http://www.twitter.com/Ugo_Roux/status/781067942729580544", "781067942729580544")</f>
        <v>781067942729580544</v>
      </c>
      <c r="B2206" t="s">
        <v>414</v>
      </c>
      <c r="C2206" s="3">
        <v>42641.408368055563</v>
      </c>
      <c r="D2206" s="5" t="s">
        <v>28</v>
      </c>
      <c r="E2206">
        <v>0</v>
      </c>
      <c r="F2206">
        <v>0</v>
      </c>
      <c r="G2206">
        <v>0</v>
      </c>
      <c r="I2206" t="s">
        <v>2243</v>
      </c>
      <c r="N2206">
        <v>0</v>
      </c>
      <c r="O2206">
        <v>0</v>
      </c>
      <c r="P2206">
        <v>1</v>
      </c>
      <c r="Q2206">
        <v>0</v>
      </c>
    </row>
    <row r="2207" spans="1:17" x14ac:dyDescent="0.2">
      <c r="A2207" s="1" t="str">
        <f>HYPERLINK("http://www.twitter.com/Ugo_Roux/status/780790766880841728", "780790766880841728")</f>
        <v>780790766880841728</v>
      </c>
      <c r="B2207" t="s">
        <v>47</v>
      </c>
      <c r="C2207" s="3">
        <v>42640.643506944441</v>
      </c>
      <c r="D2207" s="5" t="s">
        <v>17</v>
      </c>
      <c r="E2207">
        <v>2</v>
      </c>
      <c r="F2207">
        <v>0</v>
      </c>
      <c r="G2207">
        <v>0</v>
      </c>
      <c r="I2207" t="s">
        <v>2244</v>
      </c>
      <c r="J2207" t="str">
        <f>HYPERLINK("http://pbs.twimg.com/media/CtXseX5XEAAtVXn.jpg", "http://pbs.twimg.com/media/CtXseX5XEAAtVXn.jpg")</f>
        <v>http://pbs.twimg.com/media/CtXseX5XEAAtVXn.jpg</v>
      </c>
      <c r="N2207">
        <v>0</v>
      </c>
      <c r="O2207">
        <v>0</v>
      </c>
      <c r="P2207">
        <v>1</v>
      </c>
      <c r="Q2207">
        <v>0</v>
      </c>
    </row>
    <row r="2208" spans="1:17" x14ac:dyDescent="0.2">
      <c r="A2208" s="1" t="str">
        <f>HYPERLINK("http://www.twitter.com/Ugo_Roux/status/780707800003538944", "780707800003538944")</f>
        <v>780707800003538944</v>
      </c>
      <c r="B2208" t="s">
        <v>16</v>
      </c>
      <c r="C2208" s="3">
        <v>42640.414571759262</v>
      </c>
      <c r="D2208" s="3" t="s">
        <v>17</v>
      </c>
      <c r="E2208">
        <v>1</v>
      </c>
      <c r="F2208">
        <v>2</v>
      </c>
      <c r="G2208">
        <v>1</v>
      </c>
      <c r="I2208" t="s">
        <v>2245</v>
      </c>
      <c r="J2208" t="str">
        <f>HYPERLINK("http://pbs.twimg.com/media/CtWhHm0WgAAASOn.jpg", "http://pbs.twimg.com/media/CtWhHm0WgAAASOn.jpg")</f>
        <v>http://pbs.twimg.com/media/CtWhHm0WgAAASOn.jpg</v>
      </c>
      <c r="N2208">
        <v>0</v>
      </c>
      <c r="O2208">
        <v>0</v>
      </c>
      <c r="P2208">
        <v>1</v>
      </c>
      <c r="Q2208">
        <v>0</v>
      </c>
    </row>
    <row r="2209" spans="1:17" x14ac:dyDescent="0.2">
      <c r="A2209" s="1" t="str">
        <f>HYPERLINK("http://www.twitter.com/Ugo_Roux/status/780662505194582016", "780662505194582016")</f>
        <v>780662505194582016</v>
      </c>
      <c r="B2209" t="s">
        <v>414</v>
      </c>
      <c r="C2209" s="3">
        <v>42640.289571759262</v>
      </c>
      <c r="D2209" s="5" t="s">
        <v>28</v>
      </c>
      <c r="E2209">
        <v>0</v>
      </c>
      <c r="F2209">
        <v>0</v>
      </c>
      <c r="G2209">
        <v>0</v>
      </c>
      <c r="I2209" t="s">
        <v>2246</v>
      </c>
      <c r="J2209" t="str">
        <f>HYPERLINK("http://pbs.twimg.com/media/CtV4ZXTW8AAS7tT.jpg", "http://pbs.twimg.com/media/CtV4ZXTW8AAS7tT.jpg")</f>
        <v>http://pbs.twimg.com/media/CtV4ZXTW8AAS7tT.jpg</v>
      </c>
      <c r="N2209">
        <v>0.5766</v>
      </c>
      <c r="O2209">
        <v>0</v>
      </c>
      <c r="P2209">
        <v>0.80100000000000005</v>
      </c>
      <c r="Q2209">
        <v>0.19900000000000001</v>
      </c>
    </row>
    <row r="2210" spans="1:17" x14ac:dyDescent="0.2">
      <c r="A2210" s="1" t="str">
        <f>HYPERLINK("http://www.twitter.com/Ugo_Roux/status/779613360052662272", "779613360052662272")</f>
        <v>779613360052662272</v>
      </c>
      <c r="B2210" t="s">
        <v>16</v>
      </c>
      <c r="C2210" s="3">
        <v>42637.394490740742</v>
      </c>
      <c r="D2210" s="3" t="s">
        <v>28</v>
      </c>
      <c r="E2210">
        <v>0</v>
      </c>
      <c r="F2210">
        <v>0</v>
      </c>
      <c r="G2210">
        <v>0</v>
      </c>
      <c r="I2210" t="s">
        <v>2247</v>
      </c>
      <c r="J2210" t="str">
        <f>HYPERLINK("http://pbs.twimg.com/media/CtG7jO6WYAAuSax.jpg", "http://pbs.twimg.com/media/CtG7jO6WYAAuSax.jpg")</f>
        <v>http://pbs.twimg.com/media/CtG7jO6WYAAuSax.jpg</v>
      </c>
      <c r="N2210">
        <v>0</v>
      </c>
      <c r="O2210">
        <v>0</v>
      </c>
      <c r="P2210">
        <v>1</v>
      </c>
      <c r="Q2210">
        <v>0</v>
      </c>
    </row>
    <row r="2211" spans="1:17" x14ac:dyDescent="0.2">
      <c r="A2211" s="1" t="str">
        <f>HYPERLINK("http://www.twitter.com/Ugo_Roux/status/779590364575522816", "779590364575522816")</f>
        <v>779590364575522816</v>
      </c>
      <c r="B2211" t="s">
        <v>476</v>
      </c>
      <c r="C2211" s="3">
        <v>42637.331030092602</v>
      </c>
      <c r="D2211" s="5" t="s">
        <v>28</v>
      </c>
      <c r="E2211">
        <v>0</v>
      </c>
      <c r="F2211">
        <v>0</v>
      </c>
      <c r="G2211">
        <v>0</v>
      </c>
      <c r="I2211" t="s">
        <v>2248</v>
      </c>
      <c r="N2211">
        <v>0</v>
      </c>
      <c r="O2211">
        <v>0</v>
      </c>
      <c r="P2211">
        <v>1</v>
      </c>
      <c r="Q2211">
        <v>0</v>
      </c>
    </row>
    <row r="2212" spans="1:17" x14ac:dyDescent="0.2">
      <c r="A2212" s="1" t="str">
        <f>HYPERLINK("http://www.twitter.com/Ugo_Roux/status/779284203020038144", "779284203020038144")</f>
        <v>779284203020038144</v>
      </c>
      <c r="B2212" t="s">
        <v>97</v>
      </c>
      <c r="C2212" s="3">
        <v>42636.486192129632</v>
      </c>
      <c r="D2212" s="5" t="s">
        <v>28</v>
      </c>
      <c r="E2212">
        <v>0</v>
      </c>
      <c r="F2212">
        <v>0</v>
      </c>
      <c r="G2212">
        <v>0</v>
      </c>
      <c r="I2212" t="s">
        <v>2249</v>
      </c>
      <c r="J2212" t="str">
        <f>HYPERLINK("http://pbs.twimg.com/media/CtCS2d_UsAAtpPr.jpg", "http://pbs.twimg.com/media/CtCS2d_UsAAtpPr.jpg")</f>
        <v>http://pbs.twimg.com/media/CtCS2d_UsAAtpPr.jpg</v>
      </c>
      <c r="N2212">
        <v>0</v>
      </c>
      <c r="O2212">
        <v>0</v>
      </c>
      <c r="P2212">
        <v>1</v>
      </c>
      <c r="Q2212">
        <v>0</v>
      </c>
    </row>
    <row r="2213" spans="1:17" x14ac:dyDescent="0.2">
      <c r="A2213" s="1" t="str">
        <f>HYPERLINK("http://www.twitter.com/Ugo_Roux/status/778611955279855617", "778611955279855617")</f>
        <v>778611955279855617</v>
      </c>
      <c r="B2213" t="s">
        <v>370</v>
      </c>
      <c r="C2213" s="3">
        <v>42634.63113425926</v>
      </c>
      <c r="D2213" s="5" t="s">
        <v>28</v>
      </c>
      <c r="E2213">
        <v>0</v>
      </c>
      <c r="F2213">
        <v>0</v>
      </c>
      <c r="G2213">
        <v>0</v>
      </c>
      <c r="I2213" t="s">
        <v>2250</v>
      </c>
      <c r="J2213" t="str">
        <f>HYPERLINK("http://pbs.twimg.com/media/Cs4vcghVYAA3MpO.jpg", "http://pbs.twimg.com/media/Cs4vcghVYAA3MpO.jpg")</f>
        <v>http://pbs.twimg.com/media/Cs4vcghVYAA3MpO.jpg</v>
      </c>
      <c r="N2213">
        <v>0</v>
      </c>
      <c r="O2213">
        <v>0</v>
      </c>
      <c r="P2213">
        <v>1</v>
      </c>
      <c r="Q2213">
        <v>0</v>
      </c>
    </row>
    <row r="2214" spans="1:17" x14ac:dyDescent="0.2">
      <c r="A2214" s="1" t="str">
        <f>HYPERLINK("http://www.twitter.com/Ugo_Roux/status/778604279183597568", "778604279183597568")</f>
        <v>778604279183597568</v>
      </c>
      <c r="B2214" t="s">
        <v>47</v>
      </c>
      <c r="C2214" s="3">
        <v>42634.609953703701</v>
      </c>
      <c r="D2214" s="5" t="s">
        <v>41</v>
      </c>
      <c r="E2214">
        <v>4</v>
      </c>
      <c r="F2214">
        <v>0</v>
      </c>
      <c r="G2214">
        <v>0</v>
      </c>
      <c r="I2214" t="s">
        <v>2251</v>
      </c>
      <c r="J2214" t="str">
        <f>HYPERLINK("http://pbs.twimg.com/media/Cs4oaI3XEAAEKoL.jpg", "http://pbs.twimg.com/media/Cs4oaI3XEAAEKoL.jpg")</f>
        <v>http://pbs.twimg.com/media/Cs4oaI3XEAAEKoL.jpg</v>
      </c>
      <c r="N2214">
        <v>-0.49259999999999998</v>
      </c>
      <c r="O2214">
        <v>0.22500000000000001</v>
      </c>
      <c r="P2214">
        <v>0.77500000000000002</v>
      </c>
      <c r="Q2214">
        <v>0</v>
      </c>
    </row>
    <row r="2215" spans="1:17" x14ac:dyDescent="0.2">
      <c r="A2215" s="1" t="str">
        <f>HYPERLINK("http://www.twitter.com/Ugo_Roux/status/778604009212878848", "778604009212878848")</f>
        <v>778604009212878848</v>
      </c>
      <c r="B2215" t="s">
        <v>370</v>
      </c>
      <c r="C2215" s="3">
        <v>42634.609212962961</v>
      </c>
      <c r="D2215" s="5" t="s">
        <v>28</v>
      </c>
      <c r="E2215">
        <v>0</v>
      </c>
      <c r="F2215">
        <v>0</v>
      </c>
      <c r="G2215">
        <v>0</v>
      </c>
      <c r="I2215" t="s">
        <v>2252</v>
      </c>
      <c r="J2215" t="str">
        <f>HYPERLINK("http://pbs.twimg.com/media/Cs4oN-_VYAA7st-.jpg", "http://pbs.twimg.com/media/Cs4oN-_VYAA7st-.jpg")</f>
        <v>http://pbs.twimg.com/media/Cs4oN-_VYAA7st-.jpg</v>
      </c>
      <c r="N2215">
        <v>0</v>
      </c>
      <c r="O2215">
        <v>0</v>
      </c>
      <c r="P2215">
        <v>1</v>
      </c>
      <c r="Q2215">
        <v>0</v>
      </c>
    </row>
    <row r="2216" spans="1:17" x14ac:dyDescent="0.2">
      <c r="A2216" s="1" t="str">
        <f>HYPERLINK("http://www.twitter.com/Ugo_Roux/status/778122858170093570", "778122858170093570")</f>
        <v>778122858170093570</v>
      </c>
      <c r="B2216" t="s">
        <v>285</v>
      </c>
      <c r="C2216" s="3">
        <v>42633.281481481477</v>
      </c>
      <c r="D2216" s="5" t="s">
        <v>17</v>
      </c>
      <c r="E2216">
        <v>0</v>
      </c>
      <c r="F2216">
        <v>1</v>
      </c>
      <c r="G2216">
        <v>0</v>
      </c>
      <c r="I2216" t="s">
        <v>2253</v>
      </c>
      <c r="J2216" t="str">
        <f>HYPERLINK("http://pbs.twimg.com/media/Csxyl3NW8AEwR_G.jpg", "http://pbs.twimg.com/media/Csxyl3NW8AEwR_G.jpg")</f>
        <v>http://pbs.twimg.com/media/Csxyl3NW8AEwR_G.jpg</v>
      </c>
      <c r="N2216">
        <v>0</v>
      </c>
      <c r="O2216">
        <v>0</v>
      </c>
      <c r="P2216">
        <v>1</v>
      </c>
      <c r="Q2216">
        <v>0</v>
      </c>
    </row>
    <row r="2217" spans="1:17" x14ac:dyDescent="0.2">
      <c r="A2217" s="1" t="str">
        <f>HYPERLINK("http://www.twitter.com/Ugo_Roux/status/778120987342692352", "778120987342692352")</f>
        <v>778120987342692352</v>
      </c>
      <c r="B2217" t="s">
        <v>47</v>
      </c>
      <c r="C2217" s="3">
        <v>42633.276319444441</v>
      </c>
      <c r="D2217" s="5" t="s">
        <v>41</v>
      </c>
      <c r="E2217">
        <v>1</v>
      </c>
      <c r="F2217">
        <v>0</v>
      </c>
      <c r="G2217">
        <v>0</v>
      </c>
      <c r="I2217" t="s">
        <v>2254</v>
      </c>
      <c r="J2217" t="str">
        <f>HYPERLINK("http://pbs.twimg.com/media/Csxw5q7WcAAzLmJ.jpg", "http://pbs.twimg.com/media/Csxw5q7WcAAzLmJ.jpg")</f>
        <v>http://pbs.twimg.com/media/Csxw5q7WcAAzLmJ.jpg</v>
      </c>
      <c r="N2217">
        <v>0</v>
      </c>
      <c r="O2217">
        <v>0</v>
      </c>
      <c r="P2217">
        <v>1</v>
      </c>
      <c r="Q2217">
        <v>0</v>
      </c>
    </row>
    <row r="2218" spans="1:17" x14ac:dyDescent="0.2">
      <c r="A2218" s="1" t="str">
        <f>HYPERLINK("http://www.twitter.com/Ugo_Roux/status/777881383913992192", "777881383913992192")</f>
        <v>777881383913992192</v>
      </c>
      <c r="B2218" t="s">
        <v>130</v>
      </c>
      <c r="C2218" s="3">
        <v>42632.61513888889</v>
      </c>
      <c r="D2218" s="5" t="s">
        <v>41</v>
      </c>
      <c r="E2218">
        <v>0</v>
      </c>
      <c r="F2218">
        <v>0</v>
      </c>
      <c r="G2218">
        <v>0</v>
      </c>
      <c r="I2218" t="s">
        <v>2255</v>
      </c>
      <c r="N2218">
        <v>0.25</v>
      </c>
      <c r="O2218">
        <v>0</v>
      </c>
      <c r="P2218">
        <v>0.90500000000000003</v>
      </c>
      <c r="Q2218">
        <v>9.5000000000000001E-2</v>
      </c>
    </row>
    <row r="2219" spans="1:17" x14ac:dyDescent="0.2">
      <c r="A2219" s="1" t="str">
        <f>HYPERLINK("http://www.twitter.com/Ugo_Roux/status/777146097131225088", "777146097131225088")</f>
        <v>777146097131225088</v>
      </c>
      <c r="B2219" t="s">
        <v>16</v>
      </c>
      <c r="C2219" s="3">
        <v>42630.586134259262</v>
      </c>
      <c r="D2219" s="3" t="s">
        <v>17</v>
      </c>
      <c r="E2219">
        <v>2</v>
      </c>
      <c r="F2219">
        <v>0</v>
      </c>
      <c r="G2219">
        <v>0</v>
      </c>
      <c r="I2219" t="s">
        <v>2256</v>
      </c>
      <c r="J2219" t="str">
        <f>HYPERLINK("http://pbs.twimg.com/media/Csj40N-WcAAAL-K.jpg", "http://pbs.twimg.com/media/Csj40N-WcAAAL-K.jpg")</f>
        <v>http://pbs.twimg.com/media/Csj40N-WcAAAL-K.jpg</v>
      </c>
      <c r="K2219" t="str">
        <f>HYPERLINK("http://pbs.twimg.com/media/Csj407VW8AU8yZ2.jpg", "http://pbs.twimg.com/media/Csj407VW8AU8yZ2.jpg")</f>
        <v>http://pbs.twimg.com/media/Csj407VW8AU8yZ2.jpg</v>
      </c>
      <c r="N2219">
        <v>0</v>
      </c>
      <c r="O2219">
        <v>0</v>
      </c>
      <c r="P2219">
        <v>1</v>
      </c>
      <c r="Q2219">
        <v>0</v>
      </c>
    </row>
    <row r="2220" spans="1:17" x14ac:dyDescent="0.2">
      <c r="A2220" s="1" t="str">
        <f>HYPERLINK("http://www.twitter.com/Ugo_Roux/status/776401729650733056", "776401729650733056")</f>
        <v>776401729650733056</v>
      </c>
      <c r="B2220" t="s">
        <v>414</v>
      </c>
      <c r="C2220" s="3">
        <v>42628.532071759262</v>
      </c>
      <c r="D2220" s="5" t="s">
        <v>28</v>
      </c>
      <c r="E2220">
        <v>0</v>
      </c>
      <c r="F2220">
        <v>0</v>
      </c>
      <c r="G2220">
        <v>0</v>
      </c>
      <c r="I2220" t="s">
        <v>2257</v>
      </c>
      <c r="J2220" t="str">
        <f>HYPERLINK("http://pbs.twimg.com/media/CsZVLKkXgAEWIWS.jpg", "http://pbs.twimg.com/media/CsZVLKkXgAEWIWS.jpg")</f>
        <v>http://pbs.twimg.com/media/CsZVLKkXgAEWIWS.jpg</v>
      </c>
      <c r="N2220">
        <v>0</v>
      </c>
      <c r="O2220">
        <v>0</v>
      </c>
      <c r="P2220">
        <v>1</v>
      </c>
      <c r="Q2220">
        <v>0</v>
      </c>
    </row>
    <row r="2221" spans="1:17" x14ac:dyDescent="0.2">
      <c r="A2221" s="1" t="str">
        <f>HYPERLINK("http://www.twitter.com/Ugo_Roux/status/776343141221883904", "776343141221883904")</f>
        <v>776343141221883904</v>
      </c>
      <c r="B2221" t="s">
        <v>47</v>
      </c>
      <c r="C2221" s="3">
        <v>42628.370405092603</v>
      </c>
      <c r="D2221" s="5" t="s">
        <v>41</v>
      </c>
      <c r="E2221">
        <v>4</v>
      </c>
      <c r="F2221">
        <v>4</v>
      </c>
      <c r="G2221">
        <v>0</v>
      </c>
      <c r="I2221" t="s">
        <v>2258</v>
      </c>
      <c r="J2221" t="str">
        <f>HYPERLINK("http://pbs.twimg.com/media/CsYf5qvW8AEOf-4.jpg", "http://pbs.twimg.com/media/CsYf5qvW8AEOf-4.jpg")</f>
        <v>http://pbs.twimg.com/media/CsYf5qvW8AEOf-4.jpg</v>
      </c>
      <c r="N2221">
        <v>0</v>
      </c>
      <c r="O2221">
        <v>0</v>
      </c>
      <c r="P2221">
        <v>1</v>
      </c>
      <c r="Q2221">
        <v>0</v>
      </c>
    </row>
    <row r="2222" spans="1:17" x14ac:dyDescent="0.2">
      <c r="A2222" s="1" t="str">
        <f>HYPERLINK("http://www.twitter.com/Ugo_Roux/status/775686681349464064", "775686681349464064")</f>
        <v>775686681349464064</v>
      </c>
      <c r="B2222" t="s">
        <v>47</v>
      </c>
      <c r="C2222" s="3">
        <v>42626.558923611112</v>
      </c>
      <c r="D2222" s="5" t="s">
        <v>28</v>
      </c>
      <c r="E2222">
        <v>0</v>
      </c>
      <c r="F2222">
        <v>2</v>
      </c>
      <c r="G2222">
        <v>0</v>
      </c>
      <c r="I2222" t="s">
        <v>2259</v>
      </c>
      <c r="J2222" t="str">
        <f>HYPERLINK("http://pbs.twimg.com/media/CsPKQLcWAAAkoNU.jpg", "http://pbs.twimg.com/media/CsPKQLcWAAAkoNU.jpg")</f>
        <v>http://pbs.twimg.com/media/CsPKQLcWAAAkoNU.jpg</v>
      </c>
      <c r="N2222">
        <v>0</v>
      </c>
      <c r="O2222">
        <v>0</v>
      </c>
      <c r="P2222">
        <v>1</v>
      </c>
      <c r="Q2222">
        <v>0</v>
      </c>
    </row>
    <row r="2223" spans="1:17" x14ac:dyDescent="0.2">
      <c r="A2223" s="1" t="str">
        <f>HYPERLINK("http://www.twitter.com/Ugo_Roux/status/774509522203410437", "774509522203410437")</f>
        <v>774509522203410437</v>
      </c>
      <c r="B2223" t="s">
        <v>476</v>
      </c>
      <c r="C2223" s="3">
        <v>42623.310578703713</v>
      </c>
      <c r="D2223" s="5" t="s">
        <v>28</v>
      </c>
      <c r="E2223">
        <v>0</v>
      </c>
      <c r="F2223">
        <v>0</v>
      </c>
      <c r="G2223">
        <v>0</v>
      </c>
      <c r="I2223" t="s">
        <v>2260</v>
      </c>
      <c r="J2223" t="str">
        <f>HYPERLINK("http://pbs.twimg.com/media/Cr-cSVbWYAA38iz.jpg", "http://pbs.twimg.com/media/Cr-cSVbWYAA38iz.jpg")</f>
        <v>http://pbs.twimg.com/media/Cr-cSVbWYAA38iz.jpg</v>
      </c>
      <c r="N2223">
        <v>0</v>
      </c>
      <c r="O2223">
        <v>0</v>
      </c>
      <c r="P2223">
        <v>1</v>
      </c>
      <c r="Q2223">
        <v>0</v>
      </c>
    </row>
    <row r="2224" spans="1:17" x14ac:dyDescent="0.2">
      <c r="A2224" s="1" t="str">
        <f>HYPERLINK("http://www.twitter.com/Ugo_Roux/status/774505690677309440", "774505690677309440")</f>
        <v>774505690677309440</v>
      </c>
      <c r="B2224" t="s">
        <v>471</v>
      </c>
      <c r="C2224" s="3">
        <v>42623.3</v>
      </c>
      <c r="D2224" s="3" t="s">
        <v>28</v>
      </c>
      <c r="E2224">
        <v>1</v>
      </c>
      <c r="F2224">
        <v>1</v>
      </c>
      <c r="G2224">
        <v>0</v>
      </c>
      <c r="I2224" t="s">
        <v>2261</v>
      </c>
      <c r="J2224" t="str">
        <f>HYPERLINK("http://pbs.twimg.com/media/Cr-YjtDWgAAvkIS.jpg", "http://pbs.twimg.com/media/Cr-YjtDWgAAvkIS.jpg")</f>
        <v>http://pbs.twimg.com/media/Cr-YjtDWgAAvkIS.jpg</v>
      </c>
      <c r="N2224">
        <v>0</v>
      </c>
      <c r="O2224">
        <v>0</v>
      </c>
      <c r="P2224">
        <v>1</v>
      </c>
      <c r="Q2224">
        <v>0</v>
      </c>
    </row>
    <row r="2225" spans="1:17" x14ac:dyDescent="0.2">
      <c r="A2225" s="1" t="str">
        <f>HYPERLINK("http://www.twitter.com/Ugo_Roux/status/774189101893451776", "774189101893451776")</f>
        <v>774189101893451776</v>
      </c>
      <c r="B2225" t="s">
        <v>16</v>
      </c>
      <c r="C2225" s="3">
        <v>42622.426388888889</v>
      </c>
      <c r="D2225" s="3" t="s">
        <v>17</v>
      </c>
      <c r="E2225">
        <v>0</v>
      </c>
      <c r="F2225">
        <v>0</v>
      </c>
      <c r="G2225">
        <v>0</v>
      </c>
      <c r="I2225" t="s">
        <v>2262</v>
      </c>
      <c r="N2225">
        <v>0</v>
      </c>
      <c r="O2225">
        <v>0</v>
      </c>
      <c r="P2225">
        <v>1</v>
      </c>
      <c r="Q2225">
        <v>0</v>
      </c>
    </row>
    <row r="2226" spans="1:17" x14ac:dyDescent="0.2">
      <c r="A2226" s="1" t="str">
        <f>HYPERLINK("http://www.twitter.com/Ugo_Roux/status/774141520316280832", "774141520316280832")</f>
        <v>774141520316280832</v>
      </c>
      <c r="B2226" t="s">
        <v>285</v>
      </c>
      <c r="C2226" s="3">
        <v>42622.295081018521</v>
      </c>
      <c r="D2226" s="5" t="s">
        <v>17</v>
      </c>
      <c r="E2226">
        <v>2</v>
      </c>
      <c r="F2226">
        <v>0</v>
      </c>
      <c r="G2226">
        <v>0</v>
      </c>
      <c r="I2226" t="s">
        <v>2263</v>
      </c>
      <c r="J2226" t="str">
        <f>HYPERLINK("http://pbs.twimg.com/media/Cr5NQMMVMAUSGve.jpg", "http://pbs.twimg.com/media/Cr5NQMMVMAUSGve.jpg")</f>
        <v>http://pbs.twimg.com/media/Cr5NQMMVMAUSGve.jpg</v>
      </c>
      <c r="K2226" t="str">
        <f>HYPERLINK("http://pbs.twimg.com/media/Cr5NRz3UMAAEIKp.jpg", "http://pbs.twimg.com/media/Cr5NRz3UMAAEIKp.jpg")</f>
        <v>http://pbs.twimg.com/media/Cr5NRz3UMAAEIKp.jpg</v>
      </c>
      <c r="N2226">
        <v>0</v>
      </c>
      <c r="O2226">
        <v>0</v>
      </c>
      <c r="P2226">
        <v>1</v>
      </c>
      <c r="Q2226">
        <v>0</v>
      </c>
    </row>
    <row r="2227" spans="1:17" x14ac:dyDescent="0.2">
      <c r="A2227" s="1" t="str">
        <f>HYPERLINK("http://www.twitter.com/Ugo_Roux/status/773468953360334848", "773468953360334848")</f>
        <v>773468953360334848</v>
      </c>
      <c r="B2227" t="s">
        <v>47</v>
      </c>
      <c r="C2227" s="3">
        <v>42620.439155092587</v>
      </c>
      <c r="D2227" s="5" t="s">
        <v>28</v>
      </c>
      <c r="E2227">
        <v>1</v>
      </c>
      <c r="F2227">
        <v>1</v>
      </c>
      <c r="G2227">
        <v>0</v>
      </c>
      <c r="I2227" t="s">
        <v>2264</v>
      </c>
      <c r="J2227" t="str">
        <f>HYPERLINK("http://pbs.twimg.com/media/Crvp0RHWIAEBx0c.jpg", "http://pbs.twimg.com/media/Crvp0RHWIAEBx0c.jpg")</f>
        <v>http://pbs.twimg.com/media/Crvp0RHWIAEBx0c.jpg</v>
      </c>
      <c r="N2227">
        <v>0.45879999999999999</v>
      </c>
      <c r="O2227">
        <v>0</v>
      </c>
      <c r="P2227">
        <v>0.82399999999999995</v>
      </c>
      <c r="Q2227">
        <v>0.17599999999999999</v>
      </c>
    </row>
    <row r="2228" spans="1:17" x14ac:dyDescent="0.2">
      <c r="A2228" s="1" t="str">
        <f>HYPERLINK("http://www.twitter.com/Ugo_Roux/status/773175171536519168", "773175171536519168")</f>
        <v>773175171536519168</v>
      </c>
      <c r="B2228" t="s">
        <v>16</v>
      </c>
      <c r="C2228" s="3">
        <v>42619.628472222219</v>
      </c>
      <c r="D2228" s="3" t="s">
        <v>17</v>
      </c>
      <c r="E2228">
        <v>4</v>
      </c>
      <c r="F2228">
        <v>2</v>
      </c>
      <c r="G2228">
        <v>0</v>
      </c>
      <c r="I2228" t="s">
        <v>2265</v>
      </c>
      <c r="J2228" t="str">
        <f>HYPERLINK("http://pbs.twimg.com/media/CrreeewWgAAa1J2.jpg", "http://pbs.twimg.com/media/CrreeewWgAAa1J2.jpg")</f>
        <v>http://pbs.twimg.com/media/CrreeewWgAAa1J2.jpg</v>
      </c>
      <c r="K2228" t="str">
        <f>HYPERLINK("http://pbs.twimg.com/media/CrregN4WgAIXiVK.jpg", "http://pbs.twimg.com/media/CrregN4WgAIXiVK.jpg")</f>
        <v>http://pbs.twimg.com/media/CrregN4WgAIXiVK.jpg</v>
      </c>
      <c r="N2228">
        <v>0</v>
      </c>
      <c r="O2228">
        <v>0</v>
      </c>
      <c r="P2228">
        <v>1</v>
      </c>
      <c r="Q2228">
        <v>0</v>
      </c>
    </row>
    <row r="2229" spans="1:17" x14ac:dyDescent="0.2">
      <c r="A2229" s="1" t="str">
        <f>HYPERLINK("http://www.twitter.com/Ugo_Roux/status/773091590336315392", "773091590336315392")</f>
        <v>773091590336315392</v>
      </c>
      <c r="B2229" t="s">
        <v>285</v>
      </c>
      <c r="C2229" s="3">
        <v>42619.397835648153</v>
      </c>
      <c r="D2229" s="5" t="s">
        <v>17</v>
      </c>
      <c r="E2229">
        <v>0</v>
      </c>
      <c r="F2229">
        <v>0</v>
      </c>
      <c r="G2229">
        <v>0</v>
      </c>
      <c r="I2229" t="s">
        <v>2266</v>
      </c>
      <c r="J2229" t="str">
        <f>HYPERLINK("http://pbs.twimg.com/media/CrqSoyUW8AE8Awu.jpg", "http://pbs.twimg.com/media/CrqSoyUW8AE8Awu.jpg")</f>
        <v>http://pbs.twimg.com/media/CrqSoyUW8AE8Awu.jpg</v>
      </c>
      <c r="N2229">
        <v>0</v>
      </c>
      <c r="O2229">
        <v>0</v>
      </c>
      <c r="P2229">
        <v>1</v>
      </c>
      <c r="Q2229">
        <v>0</v>
      </c>
    </row>
    <row r="2230" spans="1:17" x14ac:dyDescent="0.2">
      <c r="A2230" s="1" t="str">
        <f>HYPERLINK("http://www.twitter.com/Ugo_Roux/status/772105986383441920", "772105986383441920")</f>
        <v>772105986383441920</v>
      </c>
      <c r="B2230" t="s">
        <v>47</v>
      </c>
      <c r="C2230" s="3">
        <v>42616.678078703713</v>
      </c>
      <c r="D2230" s="5" t="s">
        <v>17</v>
      </c>
      <c r="E2230">
        <v>16</v>
      </c>
      <c r="F2230">
        <v>11</v>
      </c>
      <c r="G2230">
        <v>1</v>
      </c>
      <c r="I2230" t="s">
        <v>2267</v>
      </c>
      <c r="J2230" t="str">
        <f>HYPERLINK("http://pbs.twimg.com/media/CrcR6ZIWgAEC5LI.jpg", "http://pbs.twimg.com/media/CrcR6ZIWgAEC5LI.jpg")</f>
        <v>http://pbs.twimg.com/media/CrcR6ZIWgAEC5LI.jpg</v>
      </c>
      <c r="N2230">
        <v>0</v>
      </c>
      <c r="O2230">
        <v>0</v>
      </c>
      <c r="P2230">
        <v>1</v>
      </c>
      <c r="Q2230">
        <v>0</v>
      </c>
    </row>
    <row r="2231" spans="1:17" x14ac:dyDescent="0.2">
      <c r="A2231" s="1" t="str">
        <f>HYPERLINK("http://www.twitter.com/Ugo_Roux/status/771601864852779009", "771601864852779009")</f>
        <v>771601864852779009</v>
      </c>
      <c r="B2231" t="s">
        <v>285</v>
      </c>
      <c r="C2231" s="3">
        <v>42615.28696759259</v>
      </c>
      <c r="D2231" s="5" t="s">
        <v>28</v>
      </c>
      <c r="E2231">
        <v>6</v>
      </c>
      <c r="F2231">
        <v>2</v>
      </c>
      <c r="G2231">
        <v>0</v>
      </c>
      <c r="I2231" t="s">
        <v>2268</v>
      </c>
      <c r="J2231" t="str">
        <f>HYPERLINK("http://pbs.twimg.com/media/CrVHitEVIAAMooi.jpg", "http://pbs.twimg.com/media/CrVHitEVIAAMooi.jpg")</f>
        <v>http://pbs.twimg.com/media/CrVHitEVIAAMooi.jpg</v>
      </c>
      <c r="N2231">
        <v>0</v>
      </c>
      <c r="O2231">
        <v>0</v>
      </c>
      <c r="P2231">
        <v>1</v>
      </c>
      <c r="Q2231">
        <v>0</v>
      </c>
    </row>
    <row r="2232" spans="1:17" x14ac:dyDescent="0.2">
      <c r="A2232" s="1" t="str">
        <f>HYPERLINK("http://www.twitter.com/Ugo_Roux/status/770887077378592768", "770887077378592768")</f>
        <v>770887077378592768</v>
      </c>
      <c r="B2232" t="s">
        <v>414</v>
      </c>
      <c r="C2232" s="3">
        <v>42613.31453703704</v>
      </c>
      <c r="D2232" s="5" t="s">
        <v>28</v>
      </c>
      <c r="E2232">
        <v>0</v>
      </c>
      <c r="F2232">
        <v>0</v>
      </c>
      <c r="G2232">
        <v>0</v>
      </c>
      <c r="I2232" t="s">
        <v>2269</v>
      </c>
      <c r="J2232" t="str">
        <f>HYPERLINK("http://pbs.twimg.com/media/CrK9sO6XEAAC9Ye.jpg", "http://pbs.twimg.com/media/CrK9sO6XEAAC9Ye.jpg")</f>
        <v>http://pbs.twimg.com/media/CrK9sO6XEAAC9Ye.jpg</v>
      </c>
      <c r="N2232">
        <v>0</v>
      </c>
      <c r="O2232">
        <v>0</v>
      </c>
      <c r="P2232">
        <v>1</v>
      </c>
      <c r="Q2232">
        <v>0</v>
      </c>
    </row>
    <row r="2233" spans="1:17" x14ac:dyDescent="0.2">
      <c r="A2233" s="1" t="str">
        <f>HYPERLINK("http://www.twitter.com/Ugo_Roux/status/770548828114153472", "770548828114153472")</f>
        <v>770548828114153472</v>
      </c>
      <c r="B2233" t="s">
        <v>414</v>
      </c>
      <c r="C2233" s="3">
        <v>42612.381145833337</v>
      </c>
      <c r="D2233" s="5" t="s">
        <v>28</v>
      </c>
      <c r="E2233">
        <v>0</v>
      </c>
      <c r="F2233">
        <v>0</v>
      </c>
      <c r="G2233">
        <v>0</v>
      </c>
      <c r="I2233" t="s">
        <v>2270</v>
      </c>
      <c r="J2233" t="str">
        <f>HYPERLINK("http://pbs.twimg.com/media/CrGKApSWAAANlMx.jpg", "http://pbs.twimg.com/media/CrGKApSWAAANlMx.jpg")</f>
        <v>http://pbs.twimg.com/media/CrGKApSWAAANlMx.jpg</v>
      </c>
      <c r="N2233">
        <v>0</v>
      </c>
      <c r="O2233">
        <v>0</v>
      </c>
      <c r="P2233">
        <v>1</v>
      </c>
      <c r="Q2233">
        <v>0</v>
      </c>
    </row>
    <row r="2234" spans="1:17" x14ac:dyDescent="0.2">
      <c r="A2234" s="1" t="str">
        <f>HYPERLINK("http://www.twitter.com/Ugo_Roux/status/768085960747810816", "768085960747810816")</f>
        <v>768085960747810816</v>
      </c>
      <c r="B2234" t="s">
        <v>285</v>
      </c>
      <c r="C2234" s="3">
        <v>42605.584930555553</v>
      </c>
      <c r="D2234" s="5" t="s">
        <v>17</v>
      </c>
      <c r="E2234">
        <v>0</v>
      </c>
      <c r="F2234">
        <v>0</v>
      </c>
      <c r="G2234">
        <v>0</v>
      </c>
      <c r="I2234" t="s">
        <v>2271</v>
      </c>
      <c r="N2234">
        <v>0</v>
      </c>
      <c r="O2234">
        <v>0</v>
      </c>
      <c r="P2234">
        <v>1</v>
      </c>
      <c r="Q2234">
        <v>0</v>
      </c>
    </row>
    <row r="2235" spans="1:17" x14ac:dyDescent="0.2">
      <c r="A2235" s="1" t="str">
        <f>HYPERLINK("http://www.twitter.com/Ugo_Roux/status/768026289089294336", "768026289089294336")</f>
        <v>768026289089294336</v>
      </c>
      <c r="B2235" t="s">
        <v>370</v>
      </c>
      <c r="C2235" s="3">
        <v>42605.420266203713</v>
      </c>
      <c r="D2235" s="5" t="s">
        <v>28</v>
      </c>
      <c r="E2235">
        <v>1</v>
      </c>
      <c r="F2235">
        <v>0</v>
      </c>
      <c r="G2235">
        <v>0</v>
      </c>
      <c r="I2235" t="s">
        <v>2272</v>
      </c>
      <c r="J2235" t="str">
        <f>HYPERLINK("http://pbs.twimg.com/media/CqiT1ryVMAAxoNz.jpg", "http://pbs.twimg.com/media/CqiT1ryVMAAxoNz.jpg")</f>
        <v>http://pbs.twimg.com/media/CqiT1ryVMAAxoNz.jpg</v>
      </c>
      <c r="N2235">
        <v>0</v>
      </c>
      <c r="O2235">
        <v>0</v>
      </c>
      <c r="P2235">
        <v>1</v>
      </c>
      <c r="Q2235">
        <v>0</v>
      </c>
    </row>
    <row r="2236" spans="1:17" x14ac:dyDescent="0.2">
      <c r="A2236" s="1" t="str">
        <f>HYPERLINK("http://www.twitter.com/Ugo_Roux/status/768013617849470978", "768013617849470978")</f>
        <v>768013617849470978</v>
      </c>
      <c r="B2236" t="s">
        <v>370</v>
      </c>
      <c r="C2236" s="3">
        <v>42605.385300925933</v>
      </c>
      <c r="D2236" s="5" t="s">
        <v>28</v>
      </c>
      <c r="E2236">
        <v>0</v>
      </c>
      <c r="F2236">
        <v>0</v>
      </c>
      <c r="G2236">
        <v>0</v>
      </c>
      <c r="I2236" t="s">
        <v>2273</v>
      </c>
      <c r="J2236" t="str">
        <f>HYPERLINK("http://pbs.twimg.com/media/CqiIUEIVYAAmZ9-.jpg", "http://pbs.twimg.com/media/CqiIUEIVYAAmZ9-.jpg")</f>
        <v>http://pbs.twimg.com/media/CqiIUEIVYAAmZ9-.jpg</v>
      </c>
      <c r="N2236">
        <v>0</v>
      </c>
      <c r="O2236">
        <v>0</v>
      </c>
      <c r="P2236">
        <v>1</v>
      </c>
      <c r="Q2236">
        <v>0</v>
      </c>
    </row>
    <row r="2237" spans="1:17" x14ac:dyDescent="0.2">
      <c r="A2237" s="1" t="str">
        <f>HYPERLINK("http://www.twitter.com/Ugo_Roux/status/768010547866460160", "768010547866460160")</f>
        <v>768010547866460160</v>
      </c>
      <c r="B2237" t="s">
        <v>370</v>
      </c>
      <c r="C2237" s="3">
        <v>42605.376828703702</v>
      </c>
      <c r="D2237" s="5" t="s">
        <v>28</v>
      </c>
      <c r="E2237">
        <v>0</v>
      </c>
      <c r="F2237">
        <v>0</v>
      </c>
      <c r="G2237">
        <v>0</v>
      </c>
      <c r="I2237" t="s">
        <v>2274</v>
      </c>
      <c r="J2237" t="str">
        <f>HYPERLINK("http://pbs.twimg.com/media/CqiFhZzVYAA4tP4.jpg", "http://pbs.twimg.com/media/CqiFhZzVYAA4tP4.jpg")</f>
        <v>http://pbs.twimg.com/media/CqiFhZzVYAA4tP4.jpg</v>
      </c>
      <c r="N2237">
        <v>0</v>
      </c>
      <c r="O2237">
        <v>0</v>
      </c>
      <c r="P2237">
        <v>1</v>
      </c>
      <c r="Q2237">
        <v>0</v>
      </c>
    </row>
    <row r="2238" spans="1:17" x14ac:dyDescent="0.2">
      <c r="A2238" s="1" t="str">
        <f>HYPERLINK("http://www.twitter.com/Ugo_Roux/status/767972642095849472", "767972642095849472")</f>
        <v>767972642095849472</v>
      </c>
      <c r="B2238" t="s">
        <v>285</v>
      </c>
      <c r="C2238" s="3">
        <v>42605.272222222222</v>
      </c>
      <c r="D2238" s="5" t="s">
        <v>28</v>
      </c>
      <c r="E2238">
        <v>0</v>
      </c>
      <c r="F2238">
        <v>1</v>
      </c>
      <c r="G2238">
        <v>0</v>
      </c>
      <c r="I2238" t="s">
        <v>2275</v>
      </c>
      <c r="N2238">
        <v>0</v>
      </c>
      <c r="O2238">
        <v>0</v>
      </c>
      <c r="P2238">
        <v>1</v>
      </c>
      <c r="Q2238">
        <v>0</v>
      </c>
    </row>
    <row r="2239" spans="1:17" x14ac:dyDescent="0.2">
      <c r="A2239" s="1" t="str">
        <f>HYPERLINK("http://www.twitter.com/Ugo_Roux/status/765518413695508480", "765518413695508480")</f>
        <v>765518413695508480</v>
      </c>
      <c r="B2239" t="s">
        <v>476</v>
      </c>
      <c r="C2239" s="3">
        <v>42598.499849537038</v>
      </c>
      <c r="D2239" s="5" t="s">
        <v>28</v>
      </c>
      <c r="E2239">
        <v>0</v>
      </c>
      <c r="F2239">
        <v>1</v>
      </c>
      <c r="G2239">
        <v>0</v>
      </c>
      <c r="I2239" t="s">
        <v>2276</v>
      </c>
      <c r="N2239">
        <v>0</v>
      </c>
      <c r="O2239">
        <v>0</v>
      </c>
      <c r="P2239">
        <v>1</v>
      </c>
      <c r="Q2239">
        <v>0</v>
      </c>
    </row>
    <row r="2240" spans="1:17" x14ac:dyDescent="0.2">
      <c r="A2240" s="1" t="str">
        <f>HYPERLINK("http://www.twitter.com/Ugo_Roux/status/761857082178019328", "761857082178019328")</f>
        <v>761857082178019328</v>
      </c>
      <c r="B2240" t="s">
        <v>47</v>
      </c>
      <c r="C2240" s="3">
        <v>42588.396493055552</v>
      </c>
      <c r="D2240" s="5" t="s">
        <v>41</v>
      </c>
      <c r="E2240">
        <v>3</v>
      </c>
      <c r="F2240">
        <v>1</v>
      </c>
      <c r="G2240">
        <v>0</v>
      </c>
      <c r="I2240" t="s">
        <v>2277</v>
      </c>
      <c r="J2240" t="str">
        <f>HYPERLINK("http://pbs.twimg.com/media/CpKo-JYXYAArlc7.jpg", "http://pbs.twimg.com/media/CpKo-JYXYAArlc7.jpg")</f>
        <v>http://pbs.twimg.com/media/CpKo-JYXYAArlc7.jpg</v>
      </c>
      <c r="N2240">
        <v>0</v>
      </c>
      <c r="O2240">
        <v>0</v>
      </c>
      <c r="P2240">
        <v>1</v>
      </c>
      <c r="Q2240">
        <v>0</v>
      </c>
    </row>
    <row r="2241" spans="1:17" x14ac:dyDescent="0.2">
      <c r="A2241" s="1" t="str">
        <f>HYPERLINK("http://www.twitter.com/Ugo_Roux/status/760779060079362049", "760779060079362049")</f>
        <v>760779060079362049</v>
      </c>
      <c r="B2241" t="s">
        <v>471</v>
      </c>
      <c r="C2241" s="3">
        <v>42585.421724537038</v>
      </c>
      <c r="D2241" s="3" t="s">
        <v>28</v>
      </c>
      <c r="E2241">
        <v>0</v>
      </c>
      <c r="F2241">
        <v>0</v>
      </c>
      <c r="G2241">
        <v>0</v>
      </c>
      <c r="I2241" t="s">
        <v>2278</v>
      </c>
      <c r="J2241" t="str">
        <f>HYPERLINK("http://pbs.twimg.com/media/Co7UI3IXEAAKxG1.jpg", "http://pbs.twimg.com/media/Co7UI3IXEAAKxG1.jpg")</f>
        <v>http://pbs.twimg.com/media/Co7UI3IXEAAKxG1.jpg</v>
      </c>
      <c r="N2241">
        <v>0</v>
      </c>
      <c r="O2241">
        <v>0</v>
      </c>
      <c r="P2241">
        <v>1</v>
      </c>
      <c r="Q2241">
        <v>0</v>
      </c>
    </row>
    <row r="2242" spans="1:17" x14ac:dyDescent="0.2">
      <c r="A2242" s="1" t="str">
        <f>HYPERLINK("http://www.twitter.com/Ugo_Roux/status/758924470207643648", "758924470207643648")</f>
        <v>758924470207643648</v>
      </c>
      <c r="B2242" t="s">
        <v>285</v>
      </c>
      <c r="C2242" s="3">
        <v>42580.304027777784</v>
      </c>
      <c r="D2242" s="5" t="s">
        <v>24</v>
      </c>
      <c r="E2242">
        <v>2</v>
      </c>
      <c r="F2242">
        <v>0</v>
      </c>
      <c r="G2242">
        <v>0</v>
      </c>
      <c r="I2242" t="s">
        <v>2279</v>
      </c>
      <c r="J2242" t="str">
        <f>HYPERLINK("http://pbs.twimg.com/media/Cog9YXRUAAEThC3.jpg", "http://pbs.twimg.com/media/Cog9YXRUAAEThC3.jpg")</f>
        <v>http://pbs.twimg.com/media/Cog9YXRUAAEThC3.jpg</v>
      </c>
      <c r="N2242">
        <v>0</v>
      </c>
      <c r="O2242">
        <v>0</v>
      </c>
      <c r="P2242">
        <v>1</v>
      </c>
      <c r="Q2242">
        <v>0</v>
      </c>
    </row>
    <row r="2243" spans="1:17" x14ac:dyDescent="0.2">
      <c r="A2243" s="1" t="str">
        <f>HYPERLINK("http://www.twitter.com/Ugo_Roux/status/758923964638867458", "758923964638867458")</f>
        <v>758923964638867458</v>
      </c>
      <c r="B2243" t="s">
        <v>285</v>
      </c>
      <c r="C2243" s="3">
        <v>42580.302627314813</v>
      </c>
      <c r="D2243" s="5" t="s">
        <v>17</v>
      </c>
      <c r="E2243">
        <v>0</v>
      </c>
      <c r="F2243">
        <v>0</v>
      </c>
      <c r="G2243">
        <v>0</v>
      </c>
      <c r="I2243" t="s">
        <v>2280</v>
      </c>
      <c r="J2243" t="str">
        <f>HYPERLINK("http://pbs.twimg.com/media/Cog83keUIAAkxIs.jpg", "http://pbs.twimg.com/media/Cog83keUIAAkxIs.jpg")</f>
        <v>http://pbs.twimg.com/media/Cog83keUIAAkxIs.jpg</v>
      </c>
      <c r="N2243">
        <v>-0.5423</v>
      </c>
      <c r="O2243">
        <v>0.17100000000000001</v>
      </c>
      <c r="P2243">
        <v>0.82899999999999996</v>
      </c>
      <c r="Q2243">
        <v>0</v>
      </c>
    </row>
    <row r="2244" spans="1:17" x14ac:dyDescent="0.2">
      <c r="A2244" s="1" t="str">
        <f>HYPERLINK("http://www.twitter.com/Ugo_Roux/status/757821849426235392", "757821849426235392")</f>
        <v>757821849426235392</v>
      </c>
      <c r="B2244" t="s">
        <v>285</v>
      </c>
      <c r="C2244" s="3">
        <v>42577.261377314811</v>
      </c>
      <c r="D2244" s="5" t="s">
        <v>17</v>
      </c>
      <c r="E2244">
        <v>1</v>
      </c>
      <c r="F2244">
        <v>0</v>
      </c>
      <c r="G2244">
        <v>0</v>
      </c>
      <c r="I2244" t="s">
        <v>2281</v>
      </c>
      <c r="J2244" t="str">
        <f>HYPERLINK("http://pbs.twimg.com/media/CoRS74QVIAAzF4X.jpg", "http://pbs.twimg.com/media/CoRS74QVIAAzF4X.jpg")</f>
        <v>http://pbs.twimg.com/media/CoRS74QVIAAzF4X.jpg</v>
      </c>
      <c r="N2244">
        <v>0</v>
      </c>
      <c r="O2244">
        <v>0</v>
      </c>
      <c r="P2244">
        <v>1</v>
      </c>
      <c r="Q2244">
        <v>0</v>
      </c>
    </row>
    <row r="2245" spans="1:17" x14ac:dyDescent="0.2">
      <c r="A2245" s="1" t="str">
        <f>HYPERLINK("http://www.twitter.com/Ugo_Roux/status/757539081165402112", "757539081165402112")</f>
        <v>757539081165402112</v>
      </c>
      <c r="B2245" t="s">
        <v>471</v>
      </c>
      <c r="C2245" s="3">
        <v>42576.481087962973</v>
      </c>
      <c r="D2245" s="3" t="s">
        <v>28</v>
      </c>
      <c r="E2245">
        <v>0</v>
      </c>
      <c r="F2245">
        <v>0</v>
      </c>
      <c r="G2245">
        <v>0</v>
      </c>
      <c r="I2245" t="s">
        <v>2282</v>
      </c>
      <c r="J2245" t="str">
        <f>HYPERLINK("http://pbs.twimg.com/media/CoNRtu5XgAANT8k.jpg", "http://pbs.twimg.com/media/CoNRtu5XgAANT8k.jpg")</f>
        <v>http://pbs.twimg.com/media/CoNRtu5XgAANT8k.jpg</v>
      </c>
      <c r="N2245">
        <v>0</v>
      </c>
      <c r="O2245">
        <v>0</v>
      </c>
      <c r="P2245">
        <v>1</v>
      </c>
      <c r="Q2245">
        <v>0</v>
      </c>
    </row>
    <row r="2246" spans="1:17" x14ac:dyDescent="0.2">
      <c r="A2246" s="1" t="str">
        <f>HYPERLINK("http://www.twitter.com/Ugo_Roux/status/756862217035866113", "756862217035866113")</f>
        <v>756862217035866113</v>
      </c>
      <c r="B2246" t="s">
        <v>130</v>
      </c>
      <c r="C2246" s="3">
        <v>42574.613298611112</v>
      </c>
      <c r="D2246" s="5" t="s">
        <v>28</v>
      </c>
      <c r="E2246">
        <v>0</v>
      </c>
      <c r="F2246">
        <v>0</v>
      </c>
      <c r="G2246">
        <v>0</v>
      </c>
      <c r="I2246" t="s">
        <v>2283</v>
      </c>
      <c r="N2246">
        <v>0</v>
      </c>
      <c r="O2246">
        <v>0</v>
      </c>
      <c r="P2246">
        <v>1</v>
      </c>
      <c r="Q2246">
        <v>0</v>
      </c>
    </row>
    <row r="2247" spans="1:17" x14ac:dyDescent="0.2">
      <c r="A2247" s="1" t="str">
        <f>HYPERLINK("http://www.twitter.com/Ugo_Roux/status/756504688422445057", "756504688422445057")</f>
        <v>756504688422445057</v>
      </c>
      <c r="B2247" t="s">
        <v>47</v>
      </c>
      <c r="C2247" s="3">
        <v>42573.626701388886</v>
      </c>
      <c r="D2247" s="5" t="s">
        <v>41</v>
      </c>
      <c r="E2247">
        <v>4</v>
      </c>
      <c r="F2247">
        <v>1</v>
      </c>
      <c r="G2247">
        <v>1</v>
      </c>
      <c r="I2247" t="s">
        <v>2284</v>
      </c>
      <c r="J2247" t="str">
        <f>HYPERLINK("http://pbs.twimg.com/media/Cn-kk3cWcAAIQM3.jpg", "http://pbs.twimg.com/media/Cn-kk3cWcAAIQM3.jpg")</f>
        <v>http://pbs.twimg.com/media/Cn-kk3cWcAAIQM3.jpg</v>
      </c>
      <c r="N2247">
        <v>0.45879999999999999</v>
      </c>
      <c r="O2247">
        <v>0</v>
      </c>
      <c r="P2247">
        <v>0.84199999999999997</v>
      </c>
      <c r="Q2247">
        <v>0.158</v>
      </c>
    </row>
    <row r="2248" spans="1:17" x14ac:dyDescent="0.2">
      <c r="A2248" s="1" t="str">
        <f>HYPERLINK("http://www.twitter.com/Ugo_Roux/status/756435388189777921", "756435388189777921")</f>
        <v>756435388189777921</v>
      </c>
      <c r="B2248" t="s">
        <v>16</v>
      </c>
      <c r="C2248" s="3">
        <v>42573.435474537036</v>
      </c>
      <c r="D2248" s="3" t="s">
        <v>17</v>
      </c>
      <c r="E2248">
        <v>2</v>
      </c>
      <c r="F2248">
        <v>0</v>
      </c>
      <c r="G2248">
        <v>0</v>
      </c>
      <c r="I2248" t="s">
        <v>2285</v>
      </c>
      <c r="J2248" t="str">
        <f>HYPERLINK("http://pbs.twimg.com/media/Cn9lV-hWIAAPxmh.jpg", "http://pbs.twimg.com/media/Cn9lV-hWIAAPxmh.jpg")</f>
        <v>http://pbs.twimg.com/media/Cn9lV-hWIAAPxmh.jpg</v>
      </c>
      <c r="N2248">
        <v>0.2263</v>
      </c>
      <c r="O2248">
        <v>0</v>
      </c>
      <c r="P2248">
        <v>0.88800000000000001</v>
      </c>
      <c r="Q2248">
        <v>0.112</v>
      </c>
    </row>
    <row r="2249" spans="1:17" x14ac:dyDescent="0.2">
      <c r="A2249" s="1" t="str">
        <f>HYPERLINK("http://www.twitter.com/Ugo_Roux/status/756404863735566336", "756404863735566336")</f>
        <v>756404863735566336</v>
      </c>
      <c r="B2249" t="s">
        <v>285</v>
      </c>
      <c r="C2249" s="3">
        <v>42573.351238425923</v>
      </c>
      <c r="D2249" s="5" t="s">
        <v>28</v>
      </c>
      <c r="E2249">
        <v>0</v>
      </c>
      <c r="F2249">
        <v>0</v>
      </c>
      <c r="G2249">
        <v>0</v>
      </c>
      <c r="I2249" t="s">
        <v>2286</v>
      </c>
      <c r="N2249">
        <v>0</v>
      </c>
      <c r="O2249">
        <v>0</v>
      </c>
      <c r="P2249">
        <v>1</v>
      </c>
      <c r="Q2249">
        <v>0</v>
      </c>
    </row>
    <row r="2250" spans="1:17" x14ac:dyDescent="0.2">
      <c r="A2250" s="1" t="str">
        <f>HYPERLINK("http://www.twitter.com/Ugo_Roux/status/756370067051339777", "756370067051339777")</f>
        <v>756370067051339777</v>
      </c>
      <c r="B2250" t="s">
        <v>97</v>
      </c>
      <c r="C2250" s="3">
        <v>42573.255219907413</v>
      </c>
      <c r="D2250" s="5" t="s">
        <v>17</v>
      </c>
      <c r="E2250">
        <v>0</v>
      </c>
      <c r="F2250">
        <v>0</v>
      </c>
      <c r="G2250">
        <v>0</v>
      </c>
      <c r="I2250" t="s">
        <v>2287</v>
      </c>
      <c r="J2250" t="str">
        <f>HYPERLINK("http://pbs.twimg.com/media/Cn8qkHJVYAEasXs.jpg", "http://pbs.twimg.com/media/Cn8qkHJVYAEasXs.jpg")</f>
        <v>http://pbs.twimg.com/media/Cn8qkHJVYAEasXs.jpg</v>
      </c>
      <c r="N2250">
        <v>0</v>
      </c>
      <c r="O2250">
        <v>0</v>
      </c>
      <c r="P2250">
        <v>1</v>
      </c>
      <c r="Q2250">
        <v>0</v>
      </c>
    </row>
    <row r="2251" spans="1:17" x14ac:dyDescent="0.2">
      <c r="A2251" s="1" t="str">
        <f>HYPERLINK("http://www.twitter.com/Ugo_Roux/status/756055188780179456", "756055188780179456")</f>
        <v>756055188780179456</v>
      </c>
      <c r="B2251" t="s">
        <v>97</v>
      </c>
      <c r="C2251" s="3">
        <v>42572.386319444442</v>
      </c>
      <c r="D2251" s="5" t="s">
        <v>24</v>
      </c>
      <c r="E2251">
        <v>0</v>
      </c>
      <c r="F2251">
        <v>0</v>
      </c>
      <c r="G2251">
        <v>0</v>
      </c>
      <c r="I2251" t="s">
        <v>2288</v>
      </c>
      <c r="J2251" t="str">
        <f>HYPERLINK("http://pbs.twimg.com/media/Cn4MLyWVUAAhRrj.jpg", "http://pbs.twimg.com/media/Cn4MLyWVUAAhRrj.jpg")</f>
        <v>http://pbs.twimg.com/media/Cn4MLyWVUAAhRrj.jpg</v>
      </c>
      <c r="N2251">
        <v>0</v>
      </c>
      <c r="O2251">
        <v>0</v>
      </c>
      <c r="P2251">
        <v>1</v>
      </c>
      <c r="Q2251">
        <v>0</v>
      </c>
    </row>
    <row r="2252" spans="1:17" x14ac:dyDescent="0.2">
      <c r="A2252" s="1" t="str">
        <f>HYPERLINK("http://www.twitter.com/Ugo_Roux/status/756015114252349440", "756015114252349440")</f>
        <v>756015114252349440</v>
      </c>
      <c r="B2252" t="s">
        <v>285</v>
      </c>
      <c r="C2252" s="3">
        <v>42572.275729166657</v>
      </c>
      <c r="D2252" s="5" t="s">
        <v>17</v>
      </c>
      <c r="E2252">
        <v>1</v>
      </c>
      <c r="F2252">
        <v>0</v>
      </c>
      <c r="G2252">
        <v>0</v>
      </c>
      <c r="I2252" t="s">
        <v>2289</v>
      </c>
      <c r="J2252" t="str">
        <f>HYPERLINK("http://pbs.twimg.com/media/Cn3npmZWcAAQmh0.jpg", "http://pbs.twimg.com/media/Cn3npmZWcAAQmh0.jpg")</f>
        <v>http://pbs.twimg.com/media/Cn3npmZWcAAQmh0.jpg</v>
      </c>
      <c r="N2252">
        <v>0.45879999999999999</v>
      </c>
      <c r="O2252">
        <v>0</v>
      </c>
      <c r="P2252">
        <v>0.78600000000000003</v>
      </c>
      <c r="Q2252">
        <v>0.214</v>
      </c>
    </row>
    <row r="2253" spans="1:17" x14ac:dyDescent="0.2">
      <c r="A2253" s="1" t="str">
        <f>HYPERLINK("http://www.twitter.com/Ugo_Roux/status/755778367304204288", "755778367304204288")</f>
        <v>755778367304204288</v>
      </c>
      <c r="B2253" t="s">
        <v>47</v>
      </c>
      <c r="C2253" s="3">
        <v>42571.622442129628</v>
      </c>
      <c r="D2253" s="5" t="s">
        <v>41</v>
      </c>
      <c r="E2253">
        <v>4</v>
      </c>
      <c r="F2253">
        <v>2</v>
      </c>
      <c r="G2253">
        <v>0</v>
      </c>
      <c r="I2253" t="s">
        <v>2290</v>
      </c>
      <c r="J2253" t="str">
        <f>HYPERLINK("http://pbs.twimg.com/media/Cn0QaEaXgAAHt4t.jpg", "http://pbs.twimg.com/media/Cn0QaEaXgAAHt4t.jpg")</f>
        <v>http://pbs.twimg.com/media/Cn0QaEaXgAAHt4t.jpg</v>
      </c>
      <c r="N2253">
        <v>0</v>
      </c>
      <c r="O2253">
        <v>0</v>
      </c>
      <c r="P2253">
        <v>1</v>
      </c>
      <c r="Q2253">
        <v>0</v>
      </c>
    </row>
    <row r="2254" spans="1:17" x14ac:dyDescent="0.2">
      <c r="A2254" s="1" t="str">
        <f>HYPERLINK("http://www.twitter.com/Ugo_Roux/status/755332954113527808", "755332954113527808")</f>
        <v>755332954113527808</v>
      </c>
      <c r="B2254" t="s">
        <v>370</v>
      </c>
      <c r="C2254" s="3">
        <v>42570.393333333333</v>
      </c>
      <c r="D2254" s="5" t="s">
        <v>41</v>
      </c>
      <c r="E2254">
        <v>0</v>
      </c>
      <c r="F2254">
        <v>0</v>
      </c>
      <c r="G2254">
        <v>0</v>
      </c>
      <c r="I2254" t="s">
        <v>2291</v>
      </c>
      <c r="N2254">
        <v>0</v>
      </c>
      <c r="O2254">
        <v>0</v>
      </c>
      <c r="P2254">
        <v>1</v>
      </c>
      <c r="Q2254">
        <v>0</v>
      </c>
    </row>
    <row r="2255" spans="1:17" x14ac:dyDescent="0.2">
      <c r="A2255" s="1" t="str">
        <f>HYPERLINK("http://www.twitter.com/Ugo_Roux/status/754236235615379456", "754236235615379456")</f>
        <v>754236235615379456</v>
      </c>
      <c r="B2255" t="s">
        <v>370</v>
      </c>
      <c r="C2255" s="3">
        <v>42567.366967592592</v>
      </c>
      <c r="D2255" s="5" t="s">
        <v>41</v>
      </c>
      <c r="E2255">
        <v>0</v>
      </c>
      <c r="F2255">
        <v>0</v>
      </c>
      <c r="G2255">
        <v>0</v>
      </c>
      <c r="I2255" t="s">
        <v>2292</v>
      </c>
      <c r="N2255">
        <v>0</v>
      </c>
      <c r="O2255">
        <v>0</v>
      </c>
      <c r="P2255">
        <v>1</v>
      </c>
      <c r="Q2255">
        <v>0</v>
      </c>
    </row>
    <row r="2256" spans="1:17" x14ac:dyDescent="0.2">
      <c r="A2256" s="1" t="str">
        <f>HYPERLINK("http://www.twitter.com/Ugo_Roux/status/753204486550720513", "753204486550720513")</f>
        <v>753204486550720513</v>
      </c>
      <c r="B2256" t="s">
        <v>47</v>
      </c>
      <c r="C2256" s="3">
        <v>42564.519884259258</v>
      </c>
      <c r="D2256" s="5" t="s">
        <v>41</v>
      </c>
      <c r="E2256">
        <v>0</v>
      </c>
      <c r="F2256">
        <v>0</v>
      </c>
      <c r="G2256">
        <v>0</v>
      </c>
      <c r="I2256" t="s">
        <v>2293</v>
      </c>
      <c r="J2256" t="str">
        <f>HYPERLINK("http://pbs.twimg.com/media/CnPredhXYAAGAvm.jpg", "http://pbs.twimg.com/media/CnPredhXYAAGAvm.jpg")</f>
        <v>http://pbs.twimg.com/media/CnPredhXYAAGAvm.jpg</v>
      </c>
      <c r="N2256">
        <v>0</v>
      </c>
      <c r="O2256">
        <v>0</v>
      </c>
      <c r="P2256">
        <v>1</v>
      </c>
      <c r="Q2256">
        <v>0</v>
      </c>
    </row>
    <row r="2257" spans="1:17" x14ac:dyDescent="0.2">
      <c r="A2257" s="1" t="str">
        <f>HYPERLINK("http://www.twitter.com/Ugo_Roux/status/752854070407401472", "752854070407401472")</f>
        <v>752854070407401472</v>
      </c>
      <c r="B2257" t="s">
        <v>16</v>
      </c>
      <c r="C2257" s="3">
        <v>42563.552916666667</v>
      </c>
      <c r="D2257" s="3" t="s">
        <v>41</v>
      </c>
      <c r="E2257">
        <v>5</v>
      </c>
      <c r="F2257">
        <v>1</v>
      </c>
      <c r="G2257">
        <v>2</v>
      </c>
      <c r="I2257" t="s">
        <v>2294</v>
      </c>
      <c r="J2257" t="str">
        <f>HYPERLINK("http://pbs.twimg.com/media/CnKsyNoWAAA4Z1g.jpg", "http://pbs.twimg.com/media/CnKsyNoWAAA4Z1g.jpg")</f>
        <v>http://pbs.twimg.com/media/CnKsyNoWAAA4Z1g.jpg</v>
      </c>
      <c r="N2257">
        <v>0</v>
      </c>
      <c r="O2257">
        <v>0</v>
      </c>
      <c r="P2257">
        <v>1</v>
      </c>
      <c r="Q2257">
        <v>0</v>
      </c>
    </row>
    <row r="2258" spans="1:17" x14ac:dyDescent="0.2">
      <c r="A2258" s="1" t="str">
        <f>HYPERLINK("http://www.twitter.com/Ugo_Roux/status/752790544019886080", "752790544019886080")</f>
        <v>752790544019886080</v>
      </c>
      <c r="B2258" t="s">
        <v>370</v>
      </c>
      <c r="C2258" s="3">
        <v>42563.377615740741</v>
      </c>
      <c r="D2258" s="3" t="s">
        <v>28</v>
      </c>
      <c r="E2258">
        <v>0</v>
      </c>
      <c r="F2258">
        <v>0</v>
      </c>
      <c r="G2258">
        <v>0</v>
      </c>
      <c r="I2258" t="s">
        <v>2295</v>
      </c>
      <c r="J2258" t="str">
        <f>HYPERLINK("http://pbs.twimg.com/media/CnJzAj1VYAAbZOf.jpg", "http://pbs.twimg.com/media/CnJzAj1VYAAbZOf.jpg")</f>
        <v>http://pbs.twimg.com/media/CnJzAj1VYAAbZOf.jpg</v>
      </c>
      <c r="N2258">
        <v>0</v>
      </c>
      <c r="O2258">
        <v>0</v>
      </c>
      <c r="P2258">
        <v>1</v>
      </c>
      <c r="Q2258">
        <v>0</v>
      </c>
    </row>
    <row r="2259" spans="1:17" x14ac:dyDescent="0.2">
      <c r="A2259" s="1" t="str">
        <f>HYPERLINK("http://www.twitter.com/Ugo_Roux/status/752779417512923136", "752779417512923136")</f>
        <v>752779417512923136</v>
      </c>
      <c r="B2259" t="s">
        <v>370</v>
      </c>
      <c r="C2259" s="3">
        <v>42563.346909722219</v>
      </c>
      <c r="D2259" s="3" t="s">
        <v>28</v>
      </c>
      <c r="E2259">
        <v>0</v>
      </c>
      <c r="F2259">
        <v>0</v>
      </c>
      <c r="G2259">
        <v>0</v>
      </c>
      <c r="I2259" t="s">
        <v>2296</v>
      </c>
      <c r="J2259" t="str">
        <f>HYPERLINK("http://pbs.twimg.com/media/CnJo416VMAAB0j-.jpg", "http://pbs.twimg.com/media/CnJo416VMAAB0j-.jpg")</f>
        <v>http://pbs.twimg.com/media/CnJo416VMAAB0j-.jpg</v>
      </c>
      <c r="N2259">
        <v>0</v>
      </c>
      <c r="O2259">
        <v>0</v>
      </c>
      <c r="P2259">
        <v>1</v>
      </c>
      <c r="Q2259">
        <v>0</v>
      </c>
    </row>
    <row r="2260" spans="1:17" x14ac:dyDescent="0.2">
      <c r="A2260" s="1" t="str">
        <f>HYPERLINK("http://www.twitter.com/Ugo_Roux/status/752091616291225602", "752091616291225602")</f>
        <v>752091616291225602</v>
      </c>
      <c r="B2260" t="s">
        <v>47</v>
      </c>
      <c r="C2260" s="3">
        <v>42561.448946759258</v>
      </c>
      <c r="D2260" s="5" t="s">
        <v>17</v>
      </c>
      <c r="E2260">
        <v>0</v>
      </c>
      <c r="F2260">
        <v>2</v>
      </c>
      <c r="G2260">
        <v>0</v>
      </c>
      <c r="I2260" t="s">
        <v>2297</v>
      </c>
      <c r="N2260">
        <v>0</v>
      </c>
      <c r="O2260">
        <v>0</v>
      </c>
      <c r="P2260">
        <v>1</v>
      </c>
      <c r="Q2260">
        <v>0</v>
      </c>
    </row>
    <row r="2261" spans="1:17" x14ac:dyDescent="0.2">
      <c r="A2261" s="1" t="str">
        <f>HYPERLINK("http://www.twitter.com/Ugo_Roux/status/751677191239467009", "751677191239467009")</f>
        <v>751677191239467009</v>
      </c>
      <c r="B2261" t="s">
        <v>285</v>
      </c>
      <c r="C2261" s="3">
        <v>42560.305347222216</v>
      </c>
      <c r="D2261" s="5" t="s">
        <v>24</v>
      </c>
      <c r="E2261">
        <v>0</v>
      </c>
      <c r="F2261">
        <v>1</v>
      </c>
      <c r="G2261">
        <v>0</v>
      </c>
      <c r="I2261" t="s">
        <v>2298</v>
      </c>
      <c r="N2261">
        <v>0</v>
      </c>
      <c r="O2261">
        <v>0</v>
      </c>
      <c r="P2261">
        <v>1</v>
      </c>
      <c r="Q2261">
        <v>0</v>
      </c>
    </row>
    <row r="2262" spans="1:17" x14ac:dyDescent="0.2">
      <c r="A2262" s="1" t="str">
        <f>HYPERLINK("http://www.twitter.com/Ugo_Roux/status/751357958290804736", "751357958290804736")</f>
        <v>751357958290804736</v>
      </c>
      <c r="B2262" t="s">
        <v>47</v>
      </c>
      <c r="C2262" s="3">
        <v>42559.424432870372</v>
      </c>
      <c r="D2262" s="5" t="s">
        <v>41</v>
      </c>
      <c r="E2262">
        <v>1</v>
      </c>
      <c r="F2262">
        <v>2</v>
      </c>
      <c r="G2262">
        <v>0</v>
      </c>
      <c r="I2262" t="s">
        <v>2299</v>
      </c>
      <c r="N2262">
        <v>0</v>
      </c>
      <c r="O2262">
        <v>0</v>
      </c>
      <c r="P2262">
        <v>1</v>
      </c>
      <c r="Q2262">
        <v>0</v>
      </c>
    </row>
    <row r="2263" spans="1:17" x14ac:dyDescent="0.2">
      <c r="A2263" s="1" t="str">
        <f>HYPERLINK("http://www.twitter.com/Ugo_Roux/status/751048926422306817", "751048926422306817")</f>
        <v>751048926422306817</v>
      </c>
      <c r="B2263" t="s">
        <v>476</v>
      </c>
      <c r="C2263" s="3">
        <v>42558.571666666663</v>
      </c>
      <c r="D2263" s="5" t="s">
        <v>17</v>
      </c>
      <c r="E2263">
        <v>5</v>
      </c>
      <c r="F2263">
        <v>1</v>
      </c>
      <c r="G2263">
        <v>0</v>
      </c>
      <c r="I2263" t="s">
        <v>2300</v>
      </c>
      <c r="N2263">
        <v>0</v>
      </c>
      <c r="O2263">
        <v>0</v>
      </c>
      <c r="P2263">
        <v>1</v>
      </c>
      <c r="Q2263">
        <v>0</v>
      </c>
    </row>
    <row r="2264" spans="1:17" x14ac:dyDescent="0.2">
      <c r="A2264" s="1" t="str">
        <f>HYPERLINK("http://www.twitter.com/Ugo_Roux/status/750629671419600896", "750629671419600896")</f>
        <v>750629671419600896</v>
      </c>
      <c r="B2264" t="s">
        <v>97</v>
      </c>
      <c r="C2264" s="3">
        <v>42557.41474537037</v>
      </c>
      <c r="D2264" s="5" t="s">
        <v>28</v>
      </c>
      <c r="E2264">
        <v>0</v>
      </c>
      <c r="F2264">
        <v>2</v>
      </c>
      <c r="G2264">
        <v>0</v>
      </c>
      <c r="I2264" t="s">
        <v>2301</v>
      </c>
      <c r="J2264" t="str">
        <f>HYPERLINK("http://pbs.twimg.com/media/CmrFtLBVUAApwC7.jpg", "http://pbs.twimg.com/media/CmrFtLBVUAApwC7.jpg")</f>
        <v>http://pbs.twimg.com/media/CmrFtLBVUAApwC7.jpg</v>
      </c>
      <c r="N2264">
        <v>0</v>
      </c>
      <c r="O2264">
        <v>0</v>
      </c>
      <c r="P2264">
        <v>1</v>
      </c>
      <c r="Q2264">
        <v>0</v>
      </c>
    </row>
    <row r="2265" spans="1:17" x14ac:dyDescent="0.2">
      <c r="A2265" s="1" t="str">
        <f>HYPERLINK("http://www.twitter.com/Ugo_Roux/status/750577031100919812", "750577031100919812")</f>
        <v>750577031100919812</v>
      </c>
      <c r="B2265" t="s">
        <v>285</v>
      </c>
      <c r="C2265" s="3">
        <v>42557.269479166673</v>
      </c>
      <c r="D2265" s="5" t="s">
        <v>17</v>
      </c>
      <c r="E2265">
        <v>0</v>
      </c>
      <c r="F2265">
        <v>0</v>
      </c>
      <c r="G2265">
        <v>0</v>
      </c>
      <c r="I2265" t="s">
        <v>2302</v>
      </c>
      <c r="N2265">
        <v>0</v>
      </c>
      <c r="O2265">
        <v>0</v>
      </c>
      <c r="P2265">
        <v>1</v>
      </c>
      <c r="Q2265">
        <v>0</v>
      </c>
    </row>
    <row r="2266" spans="1:17" x14ac:dyDescent="0.2">
      <c r="A2266" s="1" t="str">
        <f>HYPERLINK("http://www.twitter.com/Ugo_Roux/status/750221788529983488", "750221788529983488")</f>
        <v>750221788529983488</v>
      </c>
      <c r="B2266" t="s">
        <v>285</v>
      </c>
      <c r="C2266" s="3">
        <v>42556.289201388892</v>
      </c>
      <c r="D2266" s="5" t="s">
        <v>17</v>
      </c>
      <c r="E2266">
        <v>1</v>
      </c>
      <c r="F2266">
        <v>0</v>
      </c>
      <c r="G2266">
        <v>0</v>
      </c>
      <c r="I2266" t="s">
        <v>2303</v>
      </c>
      <c r="J2266" t="str">
        <f>HYPERLINK("http://pbs.twimg.com/media/CmlSdzbWgAEI3QD.jpg", "http://pbs.twimg.com/media/CmlSdzbWgAEI3QD.jpg")</f>
        <v>http://pbs.twimg.com/media/CmlSdzbWgAEI3QD.jpg</v>
      </c>
      <c r="N2266">
        <v>0</v>
      </c>
      <c r="O2266">
        <v>0</v>
      </c>
      <c r="P2266">
        <v>1</v>
      </c>
      <c r="Q2266">
        <v>0</v>
      </c>
    </row>
    <row r="2267" spans="1:17" x14ac:dyDescent="0.2">
      <c r="A2267" s="1" t="str">
        <f>HYPERLINK("http://www.twitter.com/Ugo_Roux/status/748818752347656193", "748818752347656193")</f>
        <v>748818752347656193</v>
      </c>
      <c r="B2267" t="s">
        <v>97</v>
      </c>
      <c r="C2267" s="3">
        <v>42552.417557870373</v>
      </c>
      <c r="D2267" s="5" t="s">
        <v>41</v>
      </c>
      <c r="E2267">
        <v>0</v>
      </c>
      <c r="F2267">
        <v>0</v>
      </c>
      <c r="G2267">
        <v>0</v>
      </c>
      <c r="I2267" t="s">
        <v>2304</v>
      </c>
      <c r="J2267" t="str">
        <f>HYPERLINK("http://pbs.twimg.com/media/CmRWr1EUMAAm02B.jpg", "http://pbs.twimg.com/media/CmRWr1EUMAAm02B.jpg")</f>
        <v>http://pbs.twimg.com/media/CmRWr1EUMAAm02B.jpg</v>
      </c>
      <c r="N2267">
        <v>0</v>
      </c>
      <c r="O2267">
        <v>0</v>
      </c>
      <c r="P2267">
        <v>1</v>
      </c>
      <c r="Q2267">
        <v>0</v>
      </c>
    </row>
    <row r="2268" spans="1:17" x14ac:dyDescent="0.2">
      <c r="A2268" s="1" t="str">
        <f>HYPERLINK("http://www.twitter.com/Ugo_Roux/status/748441944074878977", "748441944074878977")</f>
        <v>748441944074878977</v>
      </c>
      <c r="B2268" t="s">
        <v>471</v>
      </c>
      <c r="C2268" s="3">
        <v>42551.377766203703</v>
      </c>
      <c r="D2268" s="3" t="s">
        <v>28</v>
      </c>
      <c r="E2268">
        <v>1</v>
      </c>
      <c r="F2268">
        <v>0</v>
      </c>
      <c r="G2268">
        <v>0</v>
      </c>
      <c r="I2268" t="s">
        <v>2305</v>
      </c>
      <c r="J2268" t="str">
        <f>HYPERLINK("http://pbs.twimg.com/media/CmL_9bcWEAAbG1d.jpg", "http://pbs.twimg.com/media/CmL_9bcWEAAbG1d.jpg")</f>
        <v>http://pbs.twimg.com/media/CmL_9bcWEAAbG1d.jpg</v>
      </c>
      <c r="N2268">
        <v>0</v>
      </c>
      <c r="O2268">
        <v>0</v>
      </c>
      <c r="P2268">
        <v>1</v>
      </c>
      <c r="Q2268">
        <v>0</v>
      </c>
    </row>
    <row r="2269" spans="1:17" x14ac:dyDescent="0.2">
      <c r="A2269" s="1" t="str">
        <f>HYPERLINK("http://www.twitter.com/Ugo_Roux/status/748404656863318016", "748404656863318016")</f>
        <v>748404656863318016</v>
      </c>
      <c r="B2269" t="s">
        <v>285</v>
      </c>
      <c r="C2269" s="3">
        <v>42551.274872685193</v>
      </c>
      <c r="D2269" s="5" t="s">
        <v>17</v>
      </c>
      <c r="E2269">
        <v>0</v>
      </c>
      <c r="F2269">
        <v>0</v>
      </c>
      <c r="G2269">
        <v>0</v>
      </c>
      <c r="I2269" t="s">
        <v>2306</v>
      </c>
      <c r="J2269" t="str">
        <f>HYPERLINK("http://pbs.twimg.com/media/CmLeAjyWAAEcmJO.jpg", "http://pbs.twimg.com/media/CmLeAjyWAAEcmJO.jpg")</f>
        <v>http://pbs.twimg.com/media/CmLeAjyWAAEcmJO.jpg</v>
      </c>
      <c r="N2269">
        <v>0.45879999999999999</v>
      </c>
      <c r="O2269">
        <v>0</v>
      </c>
      <c r="P2269">
        <v>0.78600000000000003</v>
      </c>
      <c r="Q2269">
        <v>0.214</v>
      </c>
    </row>
    <row r="2270" spans="1:17" x14ac:dyDescent="0.2">
      <c r="A2270" s="1" t="str">
        <f>HYPERLINK("http://www.twitter.com/Ugo_Roux/status/748055214817705984", "748055214817705984")</f>
        <v>748055214817705984</v>
      </c>
      <c r="B2270" t="s">
        <v>414</v>
      </c>
      <c r="C2270" s="3">
        <v>42550.310601851852</v>
      </c>
      <c r="D2270" s="5" t="s">
        <v>28</v>
      </c>
      <c r="E2270">
        <v>0</v>
      </c>
      <c r="F2270">
        <v>0</v>
      </c>
      <c r="G2270">
        <v>0</v>
      </c>
      <c r="I2270" t="s">
        <v>2307</v>
      </c>
      <c r="J2270" t="str">
        <f>HYPERLINK("http://pbs.twimg.com/media/CmGfj-ZWMAEHTDj.jpg", "http://pbs.twimg.com/media/CmGfj-ZWMAEHTDj.jpg")</f>
        <v>http://pbs.twimg.com/media/CmGfj-ZWMAEHTDj.jpg</v>
      </c>
      <c r="N2270">
        <v>0</v>
      </c>
      <c r="O2270">
        <v>0</v>
      </c>
      <c r="P2270">
        <v>1</v>
      </c>
      <c r="Q2270">
        <v>0</v>
      </c>
    </row>
    <row r="2271" spans="1:17" x14ac:dyDescent="0.2">
      <c r="A2271" s="1" t="str">
        <f>HYPERLINK("http://www.twitter.com/Ugo_Roux/status/747816383585591296", "747816383585591296")</f>
        <v>747816383585591296</v>
      </c>
      <c r="B2271" t="s">
        <v>16</v>
      </c>
      <c r="C2271" s="3">
        <v>42549.651550925933</v>
      </c>
      <c r="D2271" s="3" t="s">
        <v>41</v>
      </c>
      <c r="E2271">
        <v>2</v>
      </c>
      <c r="F2271">
        <v>0</v>
      </c>
      <c r="G2271">
        <v>0</v>
      </c>
      <c r="I2271" t="s">
        <v>2308</v>
      </c>
      <c r="J2271" t="str">
        <f>HYPERLINK("http://pbs.twimg.com/media/CmDGxpuWEAAs-7a.jpg", "http://pbs.twimg.com/media/CmDGxpuWEAAs-7a.jpg")</f>
        <v>http://pbs.twimg.com/media/CmDGxpuWEAAs-7a.jpg</v>
      </c>
      <c r="N2271">
        <v>0.2732</v>
      </c>
      <c r="O2271">
        <v>0</v>
      </c>
      <c r="P2271">
        <v>0.89</v>
      </c>
      <c r="Q2271">
        <v>0.11</v>
      </c>
    </row>
    <row r="2272" spans="1:17" x14ac:dyDescent="0.2">
      <c r="A2272" s="1" t="str">
        <f>HYPERLINK("http://www.twitter.com/Ugo_Roux/status/747803004854747136", "747803004854747136")</f>
        <v>747803004854747136</v>
      </c>
      <c r="B2272" t="s">
        <v>476</v>
      </c>
      <c r="C2272" s="3">
        <v>42549.614629629628</v>
      </c>
      <c r="D2272" s="5" t="s">
        <v>17</v>
      </c>
      <c r="E2272">
        <v>0</v>
      </c>
      <c r="F2272">
        <v>0</v>
      </c>
      <c r="G2272">
        <v>0</v>
      </c>
      <c r="I2272" t="s">
        <v>2309</v>
      </c>
      <c r="J2272" t="str">
        <f>HYPERLINK("http://pbs.twimg.com/media/CmC57vIWQAQlN45.jpg", "http://pbs.twimg.com/media/CmC57vIWQAQlN45.jpg")</f>
        <v>http://pbs.twimg.com/media/CmC57vIWQAQlN45.jpg</v>
      </c>
      <c r="N2272">
        <v>0</v>
      </c>
      <c r="O2272">
        <v>0</v>
      </c>
      <c r="P2272">
        <v>1</v>
      </c>
      <c r="Q2272">
        <v>0</v>
      </c>
    </row>
    <row r="2273" spans="1:17" x14ac:dyDescent="0.2">
      <c r="A2273" s="1" t="str">
        <f>HYPERLINK("http://www.twitter.com/Ugo_Roux/status/747683907202592768", "747683907202592768")</f>
        <v>747683907202592768</v>
      </c>
      <c r="B2273" t="s">
        <v>285</v>
      </c>
      <c r="C2273" s="3">
        <v>42549.285983796297</v>
      </c>
      <c r="D2273" s="5" t="s">
        <v>24</v>
      </c>
      <c r="E2273">
        <v>0</v>
      </c>
      <c r="F2273">
        <v>1</v>
      </c>
      <c r="G2273">
        <v>0</v>
      </c>
      <c r="I2273" t="s">
        <v>2310</v>
      </c>
      <c r="N2273">
        <v>0</v>
      </c>
      <c r="O2273">
        <v>0</v>
      </c>
      <c r="P2273">
        <v>1</v>
      </c>
      <c r="Q2273">
        <v>0</v>
      </c>
    </row>
    <row r="2274" spans="1:17" x14ac:dyDescent="0.2">
      <c r="A2274" s="1" t="str">
        <f>HYPERLINK("http://www.twitter.com/Ugo_Roux/status/746616397585879040", "746616397585879040")</f>
        <v>746616397585879040</v>
      </c>
      <c r="B2274" t="s">
        <v>285</v>
      </c>
      <c r="C2274" s="3">
        <v>42546.340219907397</v>
      </c>
      <c r="D2274" s="5" t="s">
        <v>28</v>
      </c>
      <c r="E2274">
        <v>1</v>
      </c>
      <c r="F2274">
        <v>0</v>
      </c>
      <c r="G2274">
        <v>0</v>
      </c>
      <c r="I2274" t="s">
        <v>2311</v>
      </c>
      <c r="J2274" t="str">
        <f>HYPERLINK("http://pbs.twimg.com/media/ClyDoefWEAAmSKC.jpg", "http://pbs.twimg.com/media/ClyDoefWEAAmSKC.jpg")</f>
        <v>http://pbs.twimg.com/media/ClyDoefWEAAmSKC.jpg</v>
      </c>
      <c r="N2274">
        <v>0</v>
      </c>
      <c r="O2274">
        <v>0</v>
      </c>
      <c r="P2274">
        <v>1</v>
      </c>
      <c r="Q2274">
        <v>0</v>
      </c>
    </row>
    <row r="2275" spans="1:17" x14ac:dyDescent="0.2">
      <c r="A2275" s="1" t="str">
        <f>HYPERLINK("http://www.twitter.com/Ugo_Roux/status/746382905383936001", "746382905383936001")</f>
        <v>746382905383936001</v>
      </c>
      <c r="B2275" t="s">
        <v>370</v>
      </c>
      <c r="C2275" s="3">
        <v>42545.695902777778</v>
      </c>
      <c r="D2275" s="5" t="s">
        <v>28</v>
      </c>
      <c r="E2275">
        <v>0</v>
      </c>
      <c r="F2275">
        <v>0</v>
      </c>
      <c r="G2275">
        <v>0</v>
      </c>
      <c r="I2275" t="s">
        <v>2312</v>
      </c>
      <c r="J2275" t="str">
        <f>HYPERLINK("http://pbs.twimg.com/media/CluvS3wUgAAmfmO.jpg", "http://pbs.twimg.com/media/CluvS3wUgAAmfmO.jpg")</f>
        <v>http://pbs.twimg.com/media/CluvS3wUgAAmfmO.jpg</v>
      </c>
      <c r="N2275">
        <v>0</v>
      </c>
      <c r="O2275">
        <v>0</v>
      </c>
      <c r="P2275">
        <v>1</v>
      </c>
      <c r="Q2275">
        <v>0</v>
      </c>
    </row>
    <row r="2276" spans="1:17" x14ac:dyDescent="0.2">
      <c r="A2276" s="1" t="str">
        <f>HYPERLINK("http://www.twitter.com/Ugo_Roux/status/746380713667104770", "746380713667104770")</f>
        <v>746380713667104770</v>
      </c>
      <c r="B2276" t="s">
        <v>370</v>
      </c>
      <c r="C2276" s="3">
        <v>42545.689849537041</v>
      </c>
      <c r="D2276" s="5" t="s">
        <v>24</v>
      </c>
      <c r="E2276">
        <v>0</v>
      </c>
      <c r="F2276">
        <v>0</v>
      </c>
      <c r="G2276">
        <v>0</v>
      </c>
      <c r="I2276" t="s">
        <v>2313</v>
      </c>
      <c r="J2276" t="str">
        <f>HYPERLINK("http://pbs.twimg.com/media/ClutTSAUkAA-ZjZ.jpg", "http://pbs.twimg.com/media/ClutTSAUkAA-ZjZ.jpg")</f>
        <v>http://pbs.twimg.com/media/ClutTSAUkAA-ZjZ.jpg</v>
      </c>
      <c r="N2276">
        <v>0</v>
      </c>
      <c r="O2276">
        <v>0</v>
      </c>
      <c r="P2276">
        <v>1</v>
      </c>
      <c r="Q2276">
        <v>0</v>
      </c>
    </row>
    <row r="2277" spans="1:17" x14ac:dyDescent="0.2">
      <c r="A2277" s="1" t="str">
        <f>HYPERLINK("http://www.twitter.com/Ugo_Roux/status/746273244144087040", "746273244144087040")</f>
        <v>746273244144087040</v>
      </c>
      <c r="B2277" t="s">
        <v>16</v>
      </c>
      <c r="C2277" s="3">
        <v>42545.39329861111</v>
      </c>
      <c r="D2277" s="3" t="s">
        <v>28</v>
      </c>
      <c r="E2277">
        <v>6</v>
      </c>
      <c r="F2277">
        <v>6</v>
      </c>
      <c r="G2277">
        <v>0</v>
      </c>
      <c r="I2277" t="s">
        <v>2314</v>
      </c>
      <c r="J2277" t="str">
        <f>HYPERLINK("http://pbs.twimg.com/media/CltLirGWAAA5D-e.jpg", "http://pbs.twimg.com/media/CltLirGWAAA5D-e.jpg")</f>
        <v>http://pbs.twimg.com/media/CltLirGWAAA5D-e.jpg</v>
      </c>
      <c r="K2277" t="str">
        <f>HYPERLINK("http://pbs.twimg.com/media/CltLirJWQAA8seB.jpg", "http://pbs.twimg.com/media/CltLirJWQAA8seB.jpg")</f>
        <v>http://pbs.twimg.com/media/CltLirJWQAA8seB.jpg</v>
      </c>
      <c r="N2277">
        <v>0</v>
      </c>
      <c r="O2277">
        <v>0</v>
      </c>
      <c r="P2277">
        <v>1</v>
      </c>
      <c r="Q2277">
        <v>0</v>
      </c>
    </row>
    <row r="2278" spans="1:17" x14ac:dyDescent="0.2">
      <c r="A2278" s="1" t="str">
        <f>HYPERLINK("http://www.twitter.com/Ugo_Roux/status/746001524124327940", "746001524124327940")</f>
        <v>746001524124327940</v>
      </c>
      <c r="B2278" t="s">
        <v>370</v>
      </c>
      <c r="C2278" s="3">
        <v>42544.643495370372</v>
      </c>
      <c r="D2278" s="5" t="s">
        <v>41</v>
      </c>
      <c r="E2278">
        <v>0</v>
      </c>
      <c r="F2278">
        <v>0</v>
      </c>
      <c r="G2278">
        <v>0</v>
      </c>
      <c r="I2278" t="s">
        <v>2315</v>
      </c>
      <c r="N2278">
        <v>0</v>
      </c>
      <c r="O2278">
        <v>0</v>
      </c>
      <c r="P2278">
        <v>1</v>
      </c>
      <c r="Q2278">
        <v>0</v>
      </c>
    </row>
    <row r="2279" spans="1:17" x14ac:dyDescent="0.2">
      <c r="A2279" s="1" t="str">
        <f>HYPERLINK("http://www.twitter.com/Ugo_Roux/status/745870798980845569", "745870798980845569")</f>
        <v>745870798980845569</v>
      </c>
      <c r="B2279" t="s">
        <v>285</v>
      </c>
      <c r="C2279" s="3">
        <v>42544.282754629632</v>
      </c>
      <c r="D2279" s="5" t="s">
        <v>28</v>
      </c>
      <c r="E2279">
        <v>0</v>
      </c>
      <c r="F2279">
        <v>0</v>
      </c>
      <c r="G2279">
        <v>0</v>
      </c>
      <c r="I2279" t="s">
        <v>2316</v>
      </c>
      <c r="N2279">
        <v>0</v>
      </c>
      <c r="O2279">
        <v>0</v>
      </c>
      <c r="P2279">
        <v>1</v>
      </c>
      <c r="Q2279">
        <v>0</v>
      </c>
    </row>
    <row r="2280" spans="1:17" x14ac:dyDescent="0.2">
      <c r="A2280" s="1" t="str">
        <f>HYPERLINK("http://www.twitter.com/Ugo_Roux/status/745870750238769153", "745870750238769153")</f>
        <v>745870750238769153</v>
      </c>
      <c r="B2280" t="s">
        <v>285</v>
      </c>
      <c r="C2280" s="3">
        <v>42544.282627314817</v>
      </c>
      <c r="D2280" s="5" t="s">
        <v>24</v>
      </c>
      <c r="E2280">
        <v>0</v>
      </c>
      <c r="F2280">
        <v>0</v>
      </c>
      <c r="G2280">
        <v>0</v>
      </c>
      <c r="I2280" t="s">
        <v>2317</v>
      </c>
      <c r="N2280">
        <v>0</v>
      </c>
      <c r="O2280">
        <v>0</v>
      </c>
      <c r="P2280">
        <v>1</v>
      </c>
      <c r="Q2280">
        <v>0</v>
      </c>
    </row>
    <row r="2281" spans="1:17" x14ac:dyDescent="0.2">
      <c r="A2281" s="1" t="str">
        <f>HYPERLINK("http://www.twitter.com/Ugo_Roux/status/745535775266086913", "745535775266086913")</f>
        <v>745535775266086913</v>
      </c>
      <c r="B2281" t="s">
        <v>285</v>
      </c>
      <c r="C2281" s="3">
        <v>42543.358263888891</v>
      </c>
      <c r="D2281" s="5" t="s">
        <v>41</v>
      </c>
      <c r="E2281">
        <v>1</v>
      </c>
      <c r="F2281">
        <v>0</v>
      </c>
      <c r="G2281">
        <v>0</v>
      </c>
      <c r="I2281" t="s">
        <v>2318</v>
      </c>
      <c r="N2281">
        <v>0</v>
      </c>
      <c r="O2281">
        <v>0</v>
      </c>
      <c r="P2281">
        <v>1</v>
      </c>
      <c r="Q2281">
        <v>0</v>
      </c>
    </row>
    <row r="2282" spans="1:17" x14ac:dyDescent="0.2">
      <c r="A2282" s="1" t="str">
        <f>HYPERLINK("http://www.twitter.com/Ugo_Roux/status/745216362675605504", "745216362675605504")</f>
        <v>745216362675605504</v>
      </c>
      <c r="B2282" t="s">
        <v>285</v>
      </c>
      <c r="C2282" s="3">
        <v>42542.476851851847</v>
      </c>
      <c r="D2282" s="5" t="s">
        <v>17</v>
      </c>
      <c r="E2282">
        <v>1</v>
      </c>
      <c r="F2282">
        <v>0</v>
      </c>
      <c r="G2282">
        <v>0</v>
      </c>
      <c r="I2282" t="s">
        <v>2319</v>
      </c>
      <c r="N2282">
        <v>0</v>
      </c>
      <c r="O2282">
        <v>0</v>
      </c>
      <c r="P2282">
        <v>1</v>
      </c>
      <c r="Q2282">
        <v>0</v>
      </c>
    </row>
    <row r="2283" spans="1:17" x14ac:dyDescent="0.2">
      <c r="A2283" s="1" t="str">
        <f>HYPERLINK("http://www.twitter.com/Ugo_Roux/status/745193547142291456", "745193547142291456")</f>
        <v>745193547142291456</v>
      </c>
      <c r="B2283" t="s">
        <v>97</v>
      </c>
      <c r="C2283" s="3">
        <v>42542.413900462961</v>
      </c>
      <c r="D2283" s="5" t="s">
        <v>24</v>
      </c>
      <c r="E2283">
        <v>0</v>
      </c>
      <c r="F2283">
        <v>0</v>
      </c>
      <c r="G2283">
        <v>0</v>
      </c>
      <c r="I2283" t="s">
        <v>2320</v>
      </c>
      <c r="N2283">
        <v>0</v>
      </c>
      <c r="O2283">
        <v>0</v>
      </c>
      <c r="P2283">
        <v>1</v>
      </c>
      <c r="Q2283">
        <v>0</v>
      </c>
    </row>
    <row r="2284" spans="1:17" x14ac:dyDescent="0.2">
      <c r="A2284" s="1" t="str">
        <f>HYPERLINK("http://www.twitter.com/Ugo_Roux/status/744789529794535424", "744789529794535424")</f>
        <v>744789529794535424</v>
      </c>
      <c r="B2284" t="s">
        <v>130</v>
      </c>
      <c r="C2284" s="3">
        <v>42541.299027777779</v>
      </c>
      <c r="D2284" s="5" t="s">
        <v>41</v>
      </c>
      <c r="E2284">
        <v>0</v>
      </c>
      <c r="F2284">
        <v>0</v>
      </c>
      <c r="G2284">
        <v>0</v>
      </c>
      <c r="I2284" t="s">
        <v>2321</v>
      </c>
      <c r="N2284">
        <v>0</v>
      </c>
      <c r="O2284">
        <v>0</v>
      </c>
      <c r="P2284">
        <v>1</v>
      </c>
      <c r="Q2284">
        <v>0</v>
      </c>
    </row>
    <row r="2285" spans="1:17" x14ac:dyDescent="0.2">
      <c r="A2285" s="1" t="str">
        <f>HYPERLINK("http://www.twitter.com/Ugo_Roux/status/743714712534155264", "743714712534155264")</f>
        <v>743714712534155264</v>
      </c>
      <c r="B2285" t="s">
        <v>370</v>
      </c>
      <c r="C2285" s="3">
        <v>42538.333090277767</v>
      </c>
      <c r="D2285" s="5" t="s">
        <v>28</v>
      </c>
      <c r="E2285">
        <v>0</v>
      </c>
      <c r="F2285">
        <v>0</v>
      </c>
      <c r="G2285">
        <v>0</v>
      </c>
      <c r="I2285" t="s">
        <v>2322</v>
      </c>
      <c r="J2285" t="str">
        <f>HYPERLINK("http://pbs.twimg.com/media/ClI0llBUoAAKFUL.jpg", "http://pbs.twimg.com/media/ClI0llBUoAAKFUL.jpg")</f>
        <v>http://pbs.twimg.com/media/ClI0llBUoAAKFUL.jpg</v>
      </c>
      <c r="N2285">
        <v>0</v>
      </c>
      <c r="O2285">
        <v>0</v>
      </c>
      <c r="P2285">
        <v>1</v>
      </c>
      <c r="Q2285">
        <v>0</v>
      </c>
    </row>
    <row r="2286" spans="1:17" x14ac:dyDescent="0.2">
      <c r="A2286" s="1" t="str">
        <f>HYPERLINK("http://www.twitter.com/Ugo_Roux/status/743372188674367488", "743372188674367488")</f>
        <v>743372188674367488</v>
      </c>
      <c r="B2286" t="s">
        <v>476</v>
      </c>
      <c r="C2286" s="3">
        <v>42537.38790509259</v>
      </c>
      <c r="D2286" s="5" t="s">
        <v>28</v>
      </c>
      <c r="E2286">
        <v>0</v>
      </c>
      <c r="F2286">
        <v>0</v>
      </c>
      <c r="G2286">
        <v>0</v>
      </c>
      <c r="I2286" t="s">
        <v>2323</v>
      </c>
      <c r="N2286">
        <v>0.54110000000000003</v>
      </c>
      <c r="O2286">
        <v>0</v>
      </c>
      <c r="P2286">
        <v>0.81100000000000005</v>
      </c>
      <c r="Q2286">
        <v>0.189</v>
      </c>
    </row>
    <row r="2287" spans="1:17" x14ac:dyDescent="0.2">
      <c r="A2287" s="1" t="str">
        <f>HYPERLINK("http://www.twitter.com/Ugo_Roux/status/743329466538024961", "743329466538024961")</f>
        <v>743329466538024961</v>
      </c>
      <c r="B2287" t="s">
        <v>285</v>
      </c>
      <c r="C2287" s="3">
        <v>42537.270011574074</v>
      </c>
      <c r="D2287" s="5" t="s">
        <v>28</v>
      </c>
      <c r="E2287">
        <v>1</v>
      </c>
      <c r="F2287">
        <v>2</v>
      </c>
      <c r="G2287">
        <v>0</v>
      </c>
      <c r="I2287" t="s">
        <v>2324</v>
      </c>
      <c r="J2287" t="str">
        <f>HYPERLINK("http://pbs.twimg.com/media/ClDWNRjUgAAnEG_.jpg", "http://pbs.twimg.com/media/ClDWNRjUgAAnEG_.jpg")</f>
        <v>http://pbs.twimg.com/media/ClDWNRjUgAAnEG_.jpg</v>
      </c>
      <c r="N2287">
        <v>0</v>
      </c>
      <c r="O2287">
        <v>0</v>
      </c>
      <c r="P2287">
        <v>1</v>
      </c>
      <c r="Q2287">
        <v>0</v>
      </c>
    </row>
    <row r="2288" spans="1:17" x14ac:dyDescent="0.2">
      <c r="A2288" s="1" t="str">
        <f>HYPERLINK("http://www.twitter.com/Ugo_Roux/status/742989445943689218", "742989445943689218")</f>
        <v>742989445943689218</v>
      </c>
      <c r="B2288" t="s">
        <v>16</v>
      </c>
      <c r="C2288" s="3">
        <v>42536.331736111111</v>
      </c>
      <c r="D2288" s="3" t="s">
        <v>28</v>
      </c>
      <c r="E2288">
        <v>5</v>
      </c>
      <c r="F2288">
        <v>3</v>
      </c>
      <c r="G2288">
        <v>0</v>
      </c>
      <c r="I2288" t="s">
        <v>2325</v>
      </c>
      <c r="N2288">
        <v>0</v>
      </c>
      <c r="O2288">
        <v>0</v>
      </c>
      <c r="P2288">
        <v>1</v>
      </c>
      <c r="Q2288">
        <v>0</v>
      </c>
    </row>
    <row r="2289" spans="1:17" x14ac:dyDescent="0.2">
      <c r="A2289" s="1" t="str">
        <f>HYPERLINK("http://www.twitter.com/Ugo_Roux/status/742675892091031552", "742675892091031552")</f>
        <v>742675892091031552</v>
      </c>
      <c r="B2289" t="s">
        <v>130</v>
      </c>
      <c r="C2289" s="3">
        <v>42535.466493055559</v>
      </c>
      <c r="D2289" s="5" t="s">
        <v>28</v>
      </c>
      <c r="E2289">
        <v>0</v>
      </c>
      <c r="F2289">
        <v>0</v>
      </c>
      <c r="G2289">
        <v>0</v>
      </c>
      <c r="I2289" t="s">
        <v>2326</v>
      </c>
      <c r="N2289">
        <v>0</v>
      </c>
      <c r="O2289">
        <v>0</v>
      </c>
      <c r="P2289">
        <v>1</v>
      </c>
      <c r="Q2289">
        <v>0</v>
      </c>
    </row>
    <row r="2290" spans="1:17" x14ac:dyDescent="0.2">
      <c r="A2290" s="1" t="str">
        <f>HYPERLINK("http://www.twitter.com/Ugo_Roux/status/742650209600212992", "742650209600212992")</f>
        <v>742650209600212992</v>
      </c>
      <c r="B2290" t="s">
        <v>476</v>
      </c>
      <c r="C2290" s="3">
        <v>42535.395624999997</v>
      </c>
      <c r="D2290" s="5" t="s">
        <v>515</v>
      </c>
      <c r="E2290">
        <v>0</v>
      </c>
      <c r="F2290">
        <v>0</v>
      </c>
      <c r="G2290">
        <v>0</v>
      </c>
      <c r="I2290" t="s">
        <v>2327</v>
      </c>
      <c r="N2290">
        <v>0</v>
      </c>
      <c r="O2290">
        <v>0</v>
      </c>
      <c r="P2290">
        <v>1</v>
      </c>
      <c r="Q2290">
        <v>0</v>
      </c>
    </row>
    <row r="2291" spans="1:17" x14ac:dyDescent="0.2">
      <c r="A2291" s="1" t="str">
        <f>HYPERLINK("http://www.twitter.com/Ugo_Roux/status/742649942389428224", "742649942389428224")</f>
        <v>742649942389428224</v>
      </c>
      <c r="B2291" t="s">
        <v>476</v>
      </c>
      <c r="C2291" s="3">
        <v>42535.394884259258</v>
      </c>
      <c r="D2291" s="5" t="s">
        <v>515</v>
      </c>
      <c r="E2291">
        <v>0</v>
      </c>
      <c r="F2291">
        <v>0</v>
      </c>
      <c r="G2291">
        <v>0</v>
      </c>
      <c r="I2291" t="s">
        <v>2328</v>
      </c>
      <c r="J2291" t="str">
        <f>HYPERLINK("http://pbs.twimg.com/media/Ck5sLJCXAAAtE69.jpg", "http://pbs.twimg.com/media/Ck5sLJCXAAAtE69.jpg")</f>
        <v>http://pbs.twimg.com/media/Ck5sLJCXAAAtE69.jpg</v>
      </c>
      <c r="K2291" t="str">
        <f>HYPERLINK("http://pbs.twimg.com/media/Ck5sL1QWYAA-iZl.jpg", "http://pbs.twimg.com/media/Ck5sL1QWYAA-iZl.jpg")</f>
        <v>http://pbs.twimg.com/media/Ck5sL1QWYAA-iZl.jpg</v>
      </c>
      <c r="N2291">
        <v>0</v>
      </c>
      <c r="O2291">
        <v>0</v>
      </c>
      <c r="P2291">
        <v>1</v>
      </c>
      <c r="Q2291">
        <v>0</v>
      </c>
    </row>
    <row r="2292" spans="1:17" x14ac:dyDescent="0.2">
      <c r="A2292" s="1" t="str">
        <f>HYPERLINK("http://www.twitter.com/Ugo_Roux/status/741629597968695296", "741629597968695296")</f>
        <v>741629597968695296</v>
      </c>
      <c r="B2292" t="s">
        <v>16</v>
      </c>
      <c r="C2292" s="3">
        <v>42532.579270833332</v>
      </c>
      <c r="D2292" s="3" t="s">
        <v>41</v>
      </c>
      <c r="E2292">
        <v>6</v>
      </c>
      <c r="F2292">
        <v>2</v>
      </c>
      <c r="G2292">
        <v>0</v>
      </c>
      <c r="I2292" t="s">
        <v>2329</v>
      </c>
      <c r="J2292" t="str">
        <f>HYPERLINK("http://pbs.twimg.com/media/CkrML0lXEAEbX_B.jpg", "http://pbs.twimg.com/media/CkrML0lXEAEbX_B.jpg")</f>
        <v>http://pbs.twimg.com/media/CkrML0lXEAEbX_B.jpg</v>
      </c>
      <c r="N2292">
        <v>0.63600000000000001</v>
      </c>
      <c r="O2292">
        <v>0</v>
      </c>
      <c r="P2292">
        <v>0.81899999999999995</v>
      </c>
      <c r="Q2292">
        <v>0.18099999999999999</v>
      </c>
    </row>
    <row r="2293" spans="1:17" x14ac:dyDescent="0.2">
      <c r="A2293" s="1" t="str">
        <f>HYPERLINK("http://www.twitter.com/Ugo_Roux/status/741621418685661184", "741621418685661184")</f>
        <v>741621418685661184</v>
      </c>
      <c r="B2293" t="s">
        <v>130</v>
      </c>
      <c r="C2293" s="3">
        <v>42532.556701388887</v>
      </c>
      <c r="D2293" s="5" t="s">
        <v>41</v>
      </c>
      <c r="E2293">
        <v>0</v>
      </c>
      <c r="F2293">
        <v>0</v>
      </c>
      <c r="G2293">
        <v>0</v>
      </c>
      <c r="I2293" t="s">
        <v>2330</v>
      </c>
      <c r="N2293">
        <v>0</v>
      </c>
      <c r="O2293">
        <v>0</v>
      </c>
      <c r="P2293">
        <v>1</v>
      </c>
      <c r="Q2293">
        <v>0</v>
      </c>
    </row>
    <row r="2294" spans="1:17" x14ac:dyDescent="0.2">
      <c r="A2294" s="1" t="str">
        <f>HYPERLINK("http://www.twitter.com/Ugo_Roux/status/741541902298812416", "741541902298812416")</f>
        <v>741541902298812416</v>
      </c>
      <c r="B2294" t="s">
        <v>476</v>
      </c>
      <c r="C2294" s="3">
        <v>42532.337280092594</v>
      </c>
      <c r="D2294" s="5" t="s">
        <v>17</v>
      </c>
      <c r="E2294">
        <v>0</v>
      </c>
      <c r="F2294">
        <v>2</v>
      </c>
      <c r="G2294">
        <v>0</v>
      </c>
      <c r="I2294" t="s">
        <v>2331</v>
      </c>
      <c r="J2294" t="str">
        <f>HYPERLINK("http://pbs.twimg.com/media/Ckp8bbPWgAARNG7.jpg", "http://pbs.twimg.com/media/Ckp8bbPWgAARNG7.jpg")</f>
        <v>http://pbs.twimg.com/media/Ckp8bbPWgAARNG7.jpg</v>
      </c>
      <c r="N2294">
        <v>0</v>
      </c>
      <c r="O2294">
        <v>0</v>
      </c>
      <c r="P2294">
        <v>1</v>
      </c>
      <c r="Q2294">
        <v>0</v>
      </c>
    </row>
    <row r="2295" spans="1:17" x14ac:dyDescent="0.2">
      <c r="A2295" s="1" t="str">
        <f>HYPERLINK("http://www.twitter.com/Ugo_Roux/status/741535084021460992", "741535084021460992")</f>
        <v>741535084021460992</v>
      </c>
      <c r="B2295" t="s">
        <v>285</v>
      </c>
      <c r="C2295" s="3">
        <v>42532.318460648137</v>
      </c>
      <c r="D2295" s="5" t="s">
        <v>28</v>
      </c>
      <c r="E2295">
        <v>0</v>
      </c>
      <c r="F2295">
        <v>1</v>
      </c>
      <c r="G2295">
        <v>0</v>
      </c>
      <c r="I2295" t="s">
        <v>2332</v>
      </c>
      <c r="J2295" t="str">
        <f>HYPERLINK("http://pbs.twimg.com/media/Ckp2Od_WkAAsObX.jpg", "http://pbs.twimg.com/media/Ckp2Od_WkAAsObX.jpg")</f>
        <v>http://pbs.twimg.com/media/Ckp2Od_WkAAsObX.jpg</v>
      </c>
      <c r="N2295">
        <v>0</v>
      </c>
      <c r="O2295">
        <v>0</v>
      </c>
      <c r="P2295">
        <v>1</v>
      </c>
      <c r="Q2295">
        <v>0</v>
      </c>
    </row>
    <row r="2296" spans="1:17" x14ac:dyDescent="0.2">
      <c r="A2296" s="1" t="str">
        <f>HYPERLINK("http://www.twitter.com/Ugo_Roux/status/741178073006116864", "741178073006116864")</f>
        <v>741178073006116864</v>
      </c>
      <c r="B2296" t="s">
        <v>476</v>
      </c>
      <c r="C2296" s="3">
        <v>42531.333298611113</v>
      </c>
      <c r="D2296" s="5" t="s">
        <v>1187</v>
      </c>
      <c r="E2296">
        <v>0</v>
      </c>
      <c r="F2296">
        <v>0</v>
      </c>
      <c r="G2296">
        <v>0</v>
      </c>
      <c r="I2296" t="s">
        <v>2333</v>
      </c>
      <c r="N2296">
        <v>0</v>
      </c>
      <c r="O2296">
        <v>0</v>
      </c>
      <c r="P2296">
        <v>1</v>
      </c>
      <c r="Q2296">
        <v>0</v>
      </c>
    </row>
    <row r="2297" spans="1:17" x14ac:dyDescent="0.2">
      <c r="A2297" s="1" t="str">
        <f>HYPERLINK("http://www.twitter.com/Ugo_Roux/status/741177379926724608", "741177379926724608")</f>
        <v>741177379926724608</v>
      </c>
      <c r="B2297" t="s">
        <v>476</v>
      </c>
      <c r="C2297" s="3">
        <v>42531.331388888888</v>
      </c>
      <c r="D2297" s="5" t="s">
        <v>41</v>
      </c>
      <c r="E2297">
        <v>0</v>
      </c>
      <c r="F2297">
        <v>0</v>
      </c>
      <c r="G2297">
        <v>0</v>
      </c>
      <c r="I2297" t="s">
        <v>2334</v>
      </c>
      <c r="N2297">
        <v>0</v>
      </c>
      <c r="O2297">
        <v>0</v>
      </c>
      <c r="P2297">
        <v>1</v>
      </c>
      <c r="Q2297">
        <v>0</v>
      </c>
    </row>
    <row r="2298" spans="1:17" x14ac:dyDescent="0.2">
      <c r="A2298" s="1" t="str">
        <f>HYPERLINK("http://www.twitter.com/Ugo_Roux/status/741157315504709633", "741157315504709633")</f>
        <v>741157315504709633</v>
      </c>
      <c r="B2298" t="s">
        <v>285</v>
      </c>
      <c r="C2298" s="3">
        <v>42531.276018518518</v>
      </c>
      <c r="D2298" s="5" t="s">
        <v>17</v>
      </c>
      <c r="E2298">
        <v>1</v>
      </c>
      <c r="F2298">
        <v>0</v>
      </c>
      <c r="G2298">
        <v>0</v>
      </c>
      <c r="I2298" t="s">
        <v>2335</v>
      </c>
      <c r="N2298">
        <v>0</v>
      </c>
      <c r="O2298">
        <v>0</v>
      </c>
      <c r="P2298">
        <v>1</v>
      </c>
      <c r="Q2298">
        <v>0</v>
      </c>
    </row>
    <row r="2299" spans="1:17" x14ac:dyDescent="0.2">
      <c r="A2299" s="1" t="str">
        <f>HYPERLINK("http://www.twitter.com/Ugo_Roux/status/741157229794037760", "741157229794037760")</f>
        <v>741157229794037760</v>
      </c>
      <c r="B2299" t="s">
        <v>285</v>
      </c>
      <c r="C2299" s="3">
        <v>42531.275787037041</v>
      </c>
      <c r="D2299" s="5" t="s">
        <v>28</v>
      </c>
      <c r="E2299">
        <v>0</v>
      </c>
      <c r="F2299">
        <v>0</v>
      </c>
      <c r="G2299">
        <v>0</v>
      </c>
      <c r="I2299" t="s">
        <v>2336</v>
      </c>
      <c r="N2299">
        <v>0</v>
      </c>
      <c r="O2299">
        <v>0</v>
      </c>
      <c r="P2299">
        <v>1</v>
      </c>
      <c r="Q2299">
        <v>0</v>
      </c>
    </row>
    <row r="2300" spans="1:17" x14ac:dyDescent="0.2">
      <c r="A2300" s="1" t="str">
        <f>HYPERLINK("http://www.twitter.com/Ugo_Roux/status/740923985987305472", "740923985987305472")</f>
        <v>740923985987305472</v>
      </c>
      <c r="B2300" t="s">
        <v>47</v>
      </c>
      <c r="C2300" s="3">
        <v>42530.632152777784</v>
      </c>
      <c r="D2300" s="5" t="s">
        <v>28</v>
      </c>
      <c r="E2300">
        <v>3</v>
      </c>
      <c r="F2300">
        <v>2</v>
      </c>
      <c r="G2300">
        <v>1</v>
      </c>
      <c r="I2300" t="s">
        <v>2337</v>
      </c>
      <c r="J2300" t="str">
        <f>HYPERLINK("http://pbs.twimg.com/media/CkhKb7bWUAAzOqP.jpg", "http://pbs.twimg.com/media/CkhKb7bWUAAzOqP.jpg")</f>
        <v>http://pbs.twimg.com/media/CkhKb7bWUAAzOqP.jpg</v>
      </c>
      <c r="N2300">
        <v>0</v>
      </c>
      <c r="O2300">
        <v>0</v>
      </c>
      <c r="P2300">
        <v>1</v>
      </c>
      <c r="Q2300">
        <v>0</v>
      </c>
    </row>
    <row r="2301" spans="1:17" x14ac:dyDescent="0.2">
      <c r="A2301" s="1" t="str">
        <f>HYPERLINK("http://www.twitter.com/Ugo_Roux/status/740871808187043840", "740871808187043840")</f>
        <v>740871808187043840</v>
      </c>
      <c r="B2301" t="s">
        <v>285</v>
      </c>
      <c r="C2301" s="3">
        <v>42530.488171296303</v>
      </c>
      <c r="D2301" s="5" t="s">
        <v>17</v>
      </c>
      <c r="E2301">
        <v>0</v>
      </c>
      <c r="F2301">
        <v>0</v>
      </c>
      <c r="G2301">
        <v>0</v>
      </c>
      <c r="I2301" t="s">
        <v>2338</v>
      </c>
      <c r="N2301">
        <v>0</v>
      </c>
      <c r="O2301">
        <v>0</v>
      </c>
      <c r="P2301">
        <v>1</v>
      </c>
      <c r="Q2301">
        <v>0</v>
      </c>
    </row>
    <row r="2302" spans="1:17" x14ac:dyDescent="0.2">
      <c r="A2302" s="1" t="str">
        <f>HYPERLINK("http://www.twitter.com/Ugo_Roux/status/740469508620484609", "740469508620484609")</f>
        <v>740469508620484609</v>
      </c>
      <c r="B2302" t="s">
        <v>97</v>
      </c>
      <c r="C2302" s="3">
        <v>42529.378032407411</v>
      </c>
      <c r="D2302" s="5" t="s">
        <v>28</v>
      </c>
      <c r="E2302">
        <v>0</v>
      </c>
      <c r="F2302">
        <v>0</v>
      </c>
      <c r="G2302">
        <v>0</v>
      </c>
      <c r="I2302" t="s">
        <v>2339</v>
      </c>
      <c r="J2302" t="str">
        <f>HYPERLINK("http://pbs.twimg.com/media/CkatF78UoAA7LB7.jpg", "http://pbs.twimg.com/media/CkatF78UoAA7LB7.jpg")</f>
        <v>http://pbs.twimg.com/media/CkatF78UoAA7LB7.jpg</v>
      </c>
      <c r="N2302">
        <v>0.49390000000000001</v>
      </c>
      <c r="O2302">
        <v>0</v>
      </c>
      <c r="P2302">
        <v>0.61</v>
      </c>
      <c r="Q2302">
        <v>0.39</v>
      </c>
    </row>
    <row r="2303" spans="1:17" x14ac:dyDescent="0.2">
      <c r="A2303" s="1" t="str">
        <f>HYPERLINK("http://www.twitter.com/Ugo_Roux/status/740433815416537088", "740433815416537088")</f>
        <v>740433815416537088</v>
      </c>
      <c r="B2303" t="s">
        <v>130</v>
      </c>
      <c r="C2303" s="3">
        <v>42529.279537037037</v>
      </c>
      <c r="D2303" s="5" t="s">
        <v>28</v>
      </c>
      <c r="E2303">
        <v>1</v>
      </c>
      <c r="F2303">
        <v>0</v>
      </c>
      <c r="G2303">
        <v>0</v>
      </c>
      <c r="I2303" t="s">
        <v>2340</v>
      </c>
      <c r="N2303">
        <v>0</v>
      </c>
      <c r="O2303">
        <v>0</v>
      </c>
      <c r="P2303">
        <v>1</v>
      </c>
      <c r="Q2303">
        <v>0</v>
      </c>
    </row>
    <row r="2304" spans="1:17" x14ac:dyDescent="0.2">
      <c r="A2304" s="1" t="str">
        <f>HYPERLINK("http://www.twitter.com/Ugo_Roux/status/740219471797833728", "740219471797833728")</f>
        <v>740219471797833728</v>
      </c>
      <c r="B2304" t="s">
        <v>47</v>
      </c>
      <c r="C2304" s="3">
        <v>42528.688067129631</v>
      </c>
      <c r="D2304" s="5" t="s">
        <v>17</v>
      </c>
      <c r="E2304">
        <v>3</v>
      </c>
      <c r="F2304">
        <v>0</v>
      </c>
      <c r="G2304">
        <v>0</v>
      </c>
      <c r="I2304" t="s">
        <v>2341</v>
      </c>
      <c r="N2304">
        <v>0.50929999999999997</v>
      </c>
      <c r="O2304">
        <v>0</v>
      </c>
      <c r="P2304">
        <v>0.79800000000000004</v>
      </c>
      <c r="Q2304">
        <v>0.20200000000000001</v>
      </c>
    </row>
    <row r="2305" spans="1:17" x14ac:dyDescent="0.2">
      <c r="A2305" s="1" t="str">
        <f>HYPERLINK("http://www.twitter.com/Ugo_Roux/status/740131663724843008", "740131663724843008")</f>
        <v>740131663724843008</v>
      </c>
      <c r="B2305" t="s">
        <v>16</v>
      </c>
      <c r="C2305" s="3">
        <v>42528.445763888893</v>
      </c>
      <c r="D2305" s="3" t="s">
        <v>28</v>
      </c>
      <c r="E2305">
        <v>3</v>
      </c>
      <c r="F2305">
        <v>0</v>
      </c>
      <c r="G2305">
        <v>0</v>
      </c>
      <c r="I2305" t="s">
        <v>2342</v>
      </c>
      <c r="N2305">
        <v>0</v>
      </c>
      <c r="O2305">
        <v>0</v>
      </c>
      <c r="P2305">
        <v>1</v>
      </c>
      <c r="Q2305">
        <v>0</v>
      </c>
    </row>
    <row r="2306" spans="1:17" x14ac:dyDescent="0.2">
      <c r="A2306" s="1" t="str">
        <f>HYPERLINK("http://www.twitter.com/Ugo_Roux/status/740111876948910080", "740111876948910080")</f>
        <v>740111876948910080</v>
      </c>
      <c r="B2306" t="s">
        <v>414</v>
      </c>
      <c r="C2306" s="3">
        <v>42528.391157407408</v>
      </c>
      <c r="D2306" s="5" t="s">
        <v>28</v>
      </c>
      <c r="E2306">
        <v>0</v>
      </c>
      <c r="F2306">
        <v>0</v>
      </c>
      <c r="G2306">
        <v>0</v>
      </c>
      <c r="I2306" t="s">
        <v>2343</v>
      </c>
      <c r="J2306" t="str">
        <f>HYPERLINK("http://pbs.twimg.com/media/CkVn089XEAAGbPg.jpg", "http://pbs.twimg.com/media/CkVn089XEAAGbPg.jpg")</f>
        <v>http://pbs.twimg.com/media/CkVn089XEAAGbPg.jpg</v>
      </c>
      <c r="N2306">
        <v>0</v>
      </c>
      <c r="O2306">
        <v>0</v>
      </c>
      <c r="P2306">
        <v>1</v>
      </c>
      <c r="Q2306">
        <v>0</v>
      </c>
    </row>
    <row r="2307" spans="1:17" x14ac:dyDescent="0.2">
      <c r="A2307" s="1" t="str">
        <f>HYPERLINK("http://www.twitter.com/Ugo_Roux/status/739795203809218562", "739795203809218562")</f>
        <v>739795203809218562</v>
      </c>
      <c r="B2307" t="s">
        <v>285</v>
      </c>
      <c r="C2307" s="3">
        <v>42527.51730324074</v>
      </c>
      <c r="D2307" s="5" t="s">
        <v>28</v>
      </c>
      <c r="E2307">
        <v>0</v>
      </c>
      <c r="F2307">
        <v>0</v>
      </c>
      <c r="G2307">
        <v>0</v>
      </c>
      <c r="I2307" t="s">
        <v>2344</v>
      </c>
      <c r="J2307" t="str">
        <f>HYPERLINK("http://pbs.twimg.com/media/CkRH0FpWsAAzVQv.jpg", "http://pbs.twimg.com/media/CkRH0FpWsAAzVQv.jpg")</f>
        <v>http://pbs.twimg.com/media/CkRH0FpWsAAzVQv.jpg</v>
      </c>
      <c r="N2307">
        <v>0</v>
      </c>
      <c r="O2307">
        <v>0</v>
      </c>
      <c r="P2307">
        <v>1</v>
      </c>
      <c r="Q2307">
        <v>0</v>
      </c>
    </row>
    <row r="2308" spans="1:17" x14ac:dyDescent="0.2">
      <c r="A2308" s="1" t="str">
        <f>HYPERLINK("http://www.twitter.com/Ugo_Roux/status/739423012097691648", "739423012097691648")</f>
        <v>739423012097691648</v>
      </c>
      <c r="B2308" t="s">
        <v>130</v>
      </c>
      <c r="C2308" s="3">
        <v>42526.490254629629</v>
      </c>
      <c r="D2308" s="5" t="s">
        <v>28</v>
      </c>
      <c r="E2308">
        <v>0</v>
      </c>
      <c r="F2308">
        <v>0</v>
      </c>
      <c r="G2308">
        <v>0</v>
      </c>
      <c r="I2308" t="s">
        <v>2345</v>
      </c>
      <c r="N2308">
        <v>0.25</v>
      </c>
      <c r="O2308">
        <v>0</v>
      </c>
      <c r="P2308">
        <v>0.77800000000000002</v>
      </c>
      <c r="Q2308">
        <v>0.222</v>
      </c>
    </row>
    <row r="2309" spans="1:17" x14ac:dyDescent="0.2">
      <c r="A2309" s="1" t="str">
        <f>HYPERLINK("http://www.twitter.com/Ugo_Roux/status/738653477824548866", "738653477824548866")</f>
        <v>738653477824548866</v>
      </c>
      <c r="B2309" t="s">
        <v>476</v>
      </c>
      <c r="C2309" s="3">
        <v>42524.366747685177</v>
      </c>
      <c r="D2309" s="5" t="s">
        <v>28</v>
      </c>
      <c r="E2309">
        <v>0</v>
      </c>
      <c r="F2309">
        <v>0</v>
      </c>
      <c r="G2309">
        <v>0</v>
      </c>
      <c r="I2309" t="s">
        <v>2346</v>
      </c>
      <c r="J2309" t="str">
        <f>HYPERLINK("http://pbs.twimg.com/media/CkA5a6rW0AAmTTh.jpg", "http://pbs.twimg.com/media/CkA5a6rW0AAmTTh.jpg")</f>
        <v>http://pbs.twimg.com/media/CkA5a6rW0AAmTTh.jpg</v>
      </c>
      <c r="N2309">
        <v>0</v>
      </c>
      <c r="O2309">
        <v>0</v>
      </c>
      <c r="P2309">
        <v>1</v>
      </c>
      <c r="Q2309">
        <v>0</v>
      </c>
    </row>
    <row r="2310" spans="1:17" x14ac:dyDescent="0.2">
      <c r="A2310" s="1" t="str">
        <f>HYPERLINK("http://www.twitter.com/Ugo_Roux/status/738271227853295616", "738271227853295616")</f>
        <v>738271227853295616</v>
      </c>
      <c r="B2310" t="s">
        <v>414</v>
      </c>
      <c r="C2310" s="3">
        <v>42523.311932870369</v>
      </c>
      <c r="D2310" s="5" t="s">
        <v>28</v>
      </c>
      <c r="E2310">
        <v>0</v>
      </c>
      <c r="F2310">
        <v>0</v>
      </c>
      <c r="G2310">
        <v>0</v>
      </c>
      <c r="I2310" t="s">
        <v>2347</v>
      </c>
      <c r="J2310" t="str">
        <f>HYPERLINK("http://pbs.twimg.com/media/Cj7dw_nXAAACzRG.jpg", "http://pbs.twimg.com/media/Cj7dw_nXAAACzRG.jpg")</f>
        <v>http://pbs.twimg.com/media/Cj7dw_nXAAACzRG.jpg</v>
      </c>
      <c r="N2310">
        <v>0.47670000000000001</v>
      </c>
      <c r="O2310">
        <v>0</v>
      </c>
      <c r="P2310">
        <v>0.79500000000000004</v>
      </c>
      <c r="Q2310">
        <v>0.20499999999999999</v>
      </c>
    </row>
    <row r="2311" spans="1:17" x14ac:dyDescent="0.2">
      <c r="A2311" s="1" t="str">
        <f>HYPERLINK("http://www.twitter.com/Ugo_Roux/status/738018523709112320", "738018523709112320")</f>
        <v>738018523709112320</v>
      </c>
      <c r="B2311" t="s">
        <v>130</v>
      </c>
      <c r="C2311" s="3">
        <v>42522.614606481482</v>
      </c>
      <c r="D2311" s="5" t="s">
        <v>28</v>
      </c>
      <c r="E2311">
        <v>0</v>
      </c>
      <c r="F2311">
        <v>0</v>
      </c>
      <c r="G2311">
        <v>0</v>
      </c>
      <c r="I2311" t="s">
        <v>2348</v>
      </c>
      <c r="N2311">
        <v>0</v>
      </c>
      <c r="O2311">
        <v>0</v>
      </c>
      <c r="P2311">
        <v>1</v>
      </c>
      <c r="Q2311">
        <v>0</v>
      </c>
    </row>
    <row r="2312" spans="1:17" x14ac:dyDescent="0.2">
      <c r="A2312" s="1" t="str">
        <f>HYPERLINK("http://www.twitter.com/Ugo_Roux/status/737578842059997184", "737578842059997184")</f>
        <v>737578842059997184</v>
      </c>
      <c r="B2312" t="s">
        <v>285</v>
      </c>
      <c r="C2312" s="3">
        <v>42521.401319444441</v>
      </c>
      <c r="D2312" s="5" t="s">
        <v>28</v>
      </c>
      <c r="E2312">
        <v>2</v>
      </c>
      <c r="F2312">
        <v>1</v>
      </c>
      <c r="G2312">
        <v>0</v>
      </c>
      <c r="I2312" t="s">
        <v>2349</v>
      </c>
      <c r="J2312" t="str">
        <f>HYPERLINK("http://pbs.twimg.com/media/CjxoCgFUoAErJBd.jpg", "http://pbs.twimg.com/media/CjxoCgFUoAErJBd.jpg")</f>
        <v>http://pbs.twimg.com/media/CjxoCgFUoAErJBd.jpg</v>
      </c>
      <c r="K2312" t="str">
        <f>HYPERLINK("http://pbs.twimg.com/media/CjxoDA3UkAAQAxf.jpg", "http://pbs.twimg.com/media/CjxoDA3UkAAQAxf.jpg")</f>
        <v>http://pbs.twimg.com/media/CjxoDA3UkAAQAxf.jpg</v>
      </c>
      <c r="N2312">
        <v>0</v>
      </c>
      <c r="O2312">
        <v>0</v>
      </c>
      <c r="P2312">
        <v>1</v>
      </c>
      <c r="Q2312">
        <v>0</v>
      </c>
    </row>
    <row r="2313" spans="1:17" x14ac:dyDescent="0.2">
      <c r="A2313" s="1" t="str">
        <f>HYPERLINK("http://www.twitter.com/Ugo_Roux/status/736191213024448512", "736191213024448512")</f>
        <v>736191213024448512</v>
      </c>
      <c r="B2313" t="s">
        <v>130</v>
      </c>
      <c r="C2313" s="3">
        <v>42517.572187500002</v>
      </c>
      <c r="D2313" s="5" t="s">
        <v>41</v>
      </c>
      <c r="E2313">
        <v>0</v>
      </c>
      <c r="F2313">
        <v>0</v>
      </c>
      <c r="G2313">
        <v>0</v>
      </c>
      <c r="I2313" t="s">
        <v>2350</v>
      </c>
      <c r="N2313">
        <v>0.25</v>
      </c>
      <c r="O2313">
        <v>0</v>
      </c>
      <c r="P2313">
        <v>0.875</v>
      </c>
      <c r="Q2313">
        <v>0.125</v>
      </c>
    </row>
    <row r="2314" spans="1:17" x14ac:dyDescent="0.2">
      <c r="A2314" s="1" t="str">
        <f>HYPERLINK("http://www.twitter.com/Ugo_Roux/status/736082466180452357", "736082466180452357")</f>
        <v>736082466180452357</v>
      </c>
      <c r="B2314" t="s">
        <v>285</v>
      </c>
      <c r="C2314" s="3">
        <v>42517.272106481483</v>
      </c>
      <c r="D2314" s="5" t="s">
        <v>17</v>
      </c>
      <c r="E2314">
        <v>0</v>
      </c>
      <c r="F2314">
        <v>0</v>
      </c>
      <c r="G2314">
        <v>0</v>
      </c>
      <c r="I2314" t="s">
        <v>2351</v>
      </c>
      <c r="N2314">
        <v>0</v>
      </c>
      <c r="O2314">
        <v>0</v>
      </c>
      <c r="P2314">
        <v>1</v>
      </c>
      <c r="Q2314">
        <v>0</v>
      </c>
    </row>
    <row r="2315" spans="1:17" x14ac:dyDescent="0.2">
      <c r="A2315" s="1" t="str">
        <f>HYPERLINK("http://www.twitter.com/Ugo_Roux/status/736081920115671041", "736081920115671041")</f>
        <v>736081920115671041</v>
      </c>
      <c r="B2315" t="s">
        <v>285</v>
      </c>
      <c r="C2315" s="3">
        <v>42517.270601851851</v>
      </c>
      <c r="D2315" s="5" t="s">
        <v>17</v>
      </c>
      <c r="E2315">
        <v>0</v>
      </c>
      <c r="F2315">
        <v>0</v>
      </c>
      <c r="G2315">
        <v>0</v>
      </c>
      <c r="I2315" t="s">
        <v>2352</v>
      </c>
      <c r="N2315">
        <v>0</v>
      </c>
      <c r="O2315">
        <v>0</v>
      </c>
      <c r="P2315">
        <v>1</v>
      </c>
      <c r="Q2315">
        <v>0</v>
      </c>
    </row>
    <row r="2316" spans="1:17" x14ac:dyDescent="0.2">
      <c r="A2316" s="1" t="str">
        <f>HYPERLINK("http://www.twitter.com/Ugo_Roux/status/735375647976136705", "735375647976136705")</f>
        <v>735375647976136705</v>
      </c>
      <c r="B2316" t="s">
        <v>285</v>
      </c>
      <c r="C2316" s="3">
        <v>42515.321655092594</v>
      </c>
      <c r="D2316" s="5" t="s">
        <v>17</v>
      </c>
      <c r="E2316">
        <v>0</v>
      </c>
      <c r="F2316">
        <v>0</v>
      </c>
      <c r="G2316">
        <v>0</v>
      </c>
      <c r="I2316" t="s">
        <v>2353</v>
      </c>
      <c r="N2316">
        <v>0</v>
      </c>
      <c r="O2316">
        <v>0</v>
      </c>
      <c r="P2316">
        <v>1</v>
      </c>
      <c r="Q2316">
        <v>0</v>
      </c>
    </row>
    <row r="2317" spans="1:17" x14ac:dyDescent="0.2">
      <c r="A2317" s="1" t="str">
        <f>HYPERLINK("http://www.twitter.com/Ugo_Roux/status/735113016111435776", "735113016111435776")</f>
        <v>735113016111435776</v>
      </c>
      <c r="B2317" t="s">
        <v>130</v>
      </c>
      <c r="C2317" s="3">
        <v>42514.596932870372</v>
      </c>
      <c r="D2317" s="5" t="s">
        <v>28</v>
      </c>
      <c r="E2317">
        <v>0</v>
      </c>
      <c r="F2317">
        <v>0</v>
      </c>
      <c r="G2317">
        <v>0</v>
      </c>
      <c r="I2317" t="s">
        <v>2354</v>
      </c>
      <c r="N2317">
        <v>0</v>
      </c>
      <c r="O2317">
        <v>0</v>
      </c>
      <c r="P2317">
        <v>1</v>
      </c>
      <c r="Q2317">
        <v>0</v>
      </c>
    </row>
    <row r="2318" spans="1:17" x14ac:dyDescent="0.2">
      <c r="A2318" s="1" t="str">
        <f>HYPERLINK("http://www.twitter.com/Ugo_Roux/status/734973812400349185", "734973812400349185")</f>
        <v>734973812400349185</v>
      </c>
      <c r="B2318" t="s">
        <v>285</v>
      </c>
      <c r="C2318" s="3">
        <v>42514.212800925918</v>
      </c>
      <c r="D2318" s="5" t="s">
        <v>17</v>
      </c>
      <c r="E2318">
        <v>1</v>
      </c>
      <c r="F2318">
        <v>0</v>
      </c>
      <c r="G2318">
        <v>0</v>
      </c>
      <c r="I2318" t="s">
        <v>2355</v>
      </c>
      <c r="J2318" t="str">
        <f>HYPERLINK("http://pbs.twimg.com/media/CjMmyYoW0AA0xvn.jpg", "http://pbs.twimg.com/media/CjMmyYoW0AA0xvn.jpg")</f>
        <v>http://pbs.twimg.com/media/CjMmyYoW0AA0xvn.jpg</v>
      </c>
      <c r="N2318">
        <v>0</v>
      </c>
      <c r="O2318">
        <v>0</v>
      </c>
      <c r="P2318">
        <v>1</v>
      </c>
      <c r="Q2318">
        <v>0</v>
      </c>
    </row>
    <row r="2319" spans="1:17" x14ac:dyDescent="0.2">
      <c r="A2319" s="1" t="str">
        <f>HYPERLINK("http://www.twitter.com/Ugo_Roux/status/734629976943820801", "734629976943820801")</f>
        <v>734629976943820801</v>
      </c>
      <c r="B2319" t="s">
        <v>285</v>
      </c>
      <c r="C2319" s="3">
        <v>42513.263993055552</v>
      </c>
      <c r="D2319" s="5" t="s">
        <v>28</v>
      </c>
      <c r="E2319">
        <v>0</v>
      </c>
      <c r="F2319">
        <v>0</v>
      </c>
      <c r="G2319">
        <v>0</v>
      </c>
      <c r="I2319" t="s">
        <v>2356</v>
      </c>
      <c r="J2319" t="str">
        <f>HYPERLINK("http://pbs.twimg.com/media/CjHuEfTXEAEXUzF.jpg", "http://pbs.twimg.com/media/CjHuEfTXEAEXUzF.jpg")</f>
        <v>http://pbs.twimg.com/media/CjHuEfTXEAEXUzF.jpg</v>
      </c>
      <c r="N2319">
        <v>0</v>
      </c>
      <c r="O2319">
        <v>0</v>
      </c>
      <c r="P2319">
        <v>1</v>
      </c>
      <c r="Q2319">
        <v>0</v>
      </c>
    </row>
    <row r="2320" spans="1:17" x14ac:dyDescent="0.2">
      <c r="A2320" s="1" t="str">
        <f>HYPERLINK("http://www.twitter.com/Ugo_Roux/status/733941087782490112", "733941087782490112")</f>
        <v>733941087782490112</v>
      </c>
      <c r="B2320" t="s">
        <v>414</v>
      </c>
      <c r="C2320" s="3">
        <v>42511.363020833327</v>
      </c>
      <c r="D2320" s="5" t="s">
        <v>24</v>
      </c>
      <c r="E2320">
        <v>0</v>
      </c>
      <c r="F2320">
        <v>0</v>
      </c>
      <c r="G2320">
        <v>0</v>
      </c>
      <c r="I2320" t="s">
        <v>2357</v>
      </c>
      <c r="J2320" t="str">
        <f>HYPERLINK("http://pbs.twimg.com/media/Ci97h6XWUAA3WHR.jpg", "http://pbs.twimg.com/media/Ci97h6XWUAA3WHR.jpg")</f>
        <v>http://pbs.twimg.com/media/Ci97h6XWUAA3WHR.jpg</v>
      </c>
      <c r="N2320">
        <v>0</v>
      </c>
      <c r="O2320">
        <v>0</v>
      </c>
      <c r="P2320">
        <v>1</v>
      </c>
      <c r="Q2320">
        <v>0</v>
      </c>
    </row>
    <row r="2321" spans="1:17" x14ac:dyDescent="0.2">
      <c r="A2321" s="1" t="str">
        <f>HYPERLINK("http://www.twitter.com/Ugo_Roux/status/733695362603442176", "733695362603442176")</f>
        <v>733695362603442176</v>
      </c>
      <c r="B2321" t="s">
        <v>370</v>
      </c>
      <c r="C2321" s="3">
        <v>42510.684953703712</v>
      </c>
      <c r="D2321" s="5" t="s">
        <v>28</v>
      </c>
      <c r="E2321">
        <v>0</v>
      </c>
      <c r="F2321">
        <v>0</v>
      </c>
      <c r="G2321">
        <v>0</v>
      </c>
      <c r="I2321" t="s">
        <v>2358</v>
      </c>
      <c r="J2321" t="str">
        <f>HYPERLINK("http://pbs.twimg.com/media/Ci6cC0YUgAIQT5d.jpg", "http://pbs.twimg.com/media/Ci6cC0YUgAIQT5d.jpg")</f>
        <v>http://pbs.twimg.com/media/Ci6cC0YUgAIQT5d.jpg</v>
      </c>
      <c r="N2321">
        <v>0</v>
      </c>
      <c r="O2321">
        <v>0</v>
      </c>
      <c r="P2321">
        <v>1</v>
      </c>
      <c r="Q2321">
        <v>0</v>
      </c>
    </row>
    <row r="2322" spans="1:17" x14ac:dyDescent="0.2">
      <c r="A2322" s="1" t="str">
        <f>HYPERLINK("http://www.twitter.com/Ugo_Roux/status/732846013032042496", "732846013032042496")</f>
        <v>732846013032042496</v>
      </c>
      <c r="B2322" t="s">
        <v>414</v>
      </c>
      <c r="C2322" s="3">
        <v>42508.341192129628</v>
      </c>
      <c r="D2322" s="5" t="s">
        <v>17</v>
      </c>
      <c r="E2322">
        <v>0</v>
      </c>
      <c r="F2322">
        <v>0</v>
      </c>
      <c r="G2322">
        <v>0</v>
      </c>
      <c r="I2322" t="s">
        <v>2359</v>
      </c>
      <c r="N2322">
        <v>0</v>
      </c>
      <c r="O2322">
        <v>0</v>
      </c>
      <c r="P2322">
        <v>1</v>
      </c>
      <c r="Q2322">
        <v>0</v>
      </c>
    </row>
    <row r="2323" spans="1:17" x14ac:dyDescent="0.2">
      <c r="A2323" s="1" t="str">
        <f>HYPERLINK("http://www.twitter.com/Ugo_Roux/status/732570761030995968", "732570761030995968")</f>
        <v>732570761030995968</v>
      </c>
      <c r="B2323" t="s">
        <v>16</v>
      </c>
      <c r="C2323" s="3">
        <v>42507.581643518519</v>
      </c>
      <c r="D2323" s="3" t="s">
        <v>28</v>
      </c>
      <c r="E2323">
        <v>1</v>
      </c>
      <c r="F2323">
        <v>1</v>
      </c>
      <c r="G2323">
        <v>1</v>
      </c>
      <c r="I2323" t="s">
        <v>2360</v>
      </c>
      <c r="J2323" t="str">
        <f>HYPERLINK("http://pbs.twimg.com/media/CiqdNAmXIAA0BZ3.jpg", "http://pbs.twimg.com/media/CiqdNAmXIAA0BZ3.jpg")</f>
        <v>http://pbs.twimg.com/media/CiqdNAmXIAA0BZ3.jpg</v>
      </c>
      <c r="N2323">
        <v>0</v>
      </c>
      <c r="O2323">
        <v>0</v>
      </c>
      <c r="P2323">
        <v>1</v>
      </c>
      <c r="Q2323">
        <v>0</v>
      </c>
    </row>
    <row r="2324" spans="1:17" x14ac:dyDescent="0.2">
      <c r="A2324" s="1" t="str">
        <f>HYPERLINK("http://www.twitter.com/Ugo_Roux/status/731462932626706432", "731462932626706432")</f>
        <v>731462932626706432</v>
      </c>
      <c r="B2324" t="s">
        <v>97</v>
      </c>
      <c r="C2324" s="3">
        <v>42504.524618055562</v>
      </c>
      <c r="D2324" s="5" t="s">
        <v>17</v>
      </c>
      <c r="E2324">
        <v>0</v>
      </c>
      <c r="F2324">
        <v>0</v>
      </c>
      <c r="G2324">
        <v>0</v>
      </c>
      <c r="I2324" t="s">
        <v>2361</v>
      </c>
      <c r="J2324" t="str">
        <f>HYPERLINK("http://pbs.twimg.com/media/CiatqUxVEAIV9me.jpg", "http://pbs.twimg.com/media/CiatqUxVEAIV9me.jpg")</f>
        <v>http://pbs.twimg.com/media/CiatqUxVEAIV9me.jpg</v>
      </c>
      <c r="N2324">
        <v>0</v>
      </c>
      <c r="O2324">
        <v>0</v>
      </c>
      <c r="P2324">
        <v>1</v>
      </c>
      <c r="Q2324">
        <v>0</v>
      </c>
    </row>
    <row r="2325" spans="1:17" x14ac:dyDescent="0.2">
      <c r="A2325" s="1" t="str">
        <f>HYPERLINK("http://www.twitter.com/Ugo_Roux/status/731056664317583361", "731056664317583361")</f>
        <v>731056664317583361</v>
      </c>
      <c r="B2325" t="s">
        <v>370</v>
      </c>
      <c r="C2325" s="3">
        <v>42503.40353009259</v>
      </c>
      <c r="D2325" s="5" t="s">
        <v>28</v>
      </c>
      <c r="E2325">
        <v>0</v>
      </c>
      <c r="F2325">
        <v>0</v>
      </c>
      <c r="G2325">
        <v>0</v>
      </c>
      <c r="I2325" t="s">
        <v>2362</v>
      </c>
      <c r="J2325" t="str">
        <f>HYPERLINK("http://pbs.twimg.com/media/CiU8KXhUkAAJF7z.jpg", "http://pbs.twimg.com/media/CiU8KXhUkAAJF7z.jpg")</f>
        <v>http://pbs.twimg.com/media/CiU8KXhUkAAJF7z.jpg</v>
      </c>
      <c r="N2325">
        <v>0</v>
      </c>
      <c r="O2325">
        <v>0</v>
      </c>
      <c r="P2325">
        <v>1</v>
      </c>
      <c r="Q2325">
        <v>0</v>
      </c>
    </row>
    <row r="2326" spans="1:17" x14ac:dyDescent="0.2">
      <c r="A2326" s="1" t="str">
        <f>HYPERLINK("http://www.twitter.com/Ugo_Roux/status/731051624181817344", "731051624181817344")</f>
        <v>731051624181817344</v>
      </c>
      <c r="B2326" t="s">
        <v>97</v>
      </c>
      <c r="C2326" s="3">
        <v>42503.38962962963</v>
      </c>
      <c r="D2326" s="5" t="s">
        <v>28</v>
      </c>
      <c r="E2326">
        <v>0</v>
      </c>
      <c r="F2326">
        <v>0</v>
      </c>
      <c r="G2326">
        <v>0</v>
      </c>
      <c r="I2326" t="s">
        <v>2363</v>
      </c>
      <c r="J2326" t="str">
        <f>HYPERLINK("http://pbs.twimg.com/media/CiU3k-5U4AAg8jr.jpg", "http://pbs.twimg.com/media/CiU3k-5U4AAg8jr.jpg")</f>
        <v>http://pbs.twimg.com/media/CiU3k-5U4AAg8jr.jpg</v>
      </c>
      <c r="N2326">
        <v>0</v>
      </c>
      <c r="O2326">
        <v>0</v>
      </c>
      <c r="P2326">
        <v>1</v>
      </c>
      <c r="Q2326">
        <v>0</v>
      </c>
    </row>
    <row r="2327" spans="1:17" x14ac:dyDescent="0.2">
      <c r="A2327" s="1" t="str">
        <f>HYPERLINK("http://www.twitter.com/Ugo_Roux/status/730691423176142849", "730691423176142849")</f>
        <v>730691423176142849</v>
      </c>
      <c r="B2327" t="s">
        <v>285</v>
      </c>
      <c r="C2327" s="3">
        <v>42502.39565972222</v>
      </c>
      <c r="D2327" s="5" t="s">
        <v>28</v>
      </c>
      <c r="E2327">
        <v>1</v>
      </c>
      <c r="F2327">
        <v>2</v>
      </c>
      <c r="G2327">
        <v>0</v>
      </c>
      <c r="I2327" t="s">
        <v>2364</v>
      </c>
      <c r="J2327" t="str">
        <f>HYPERLINK("http://pbs.twimg.com/media/CiPv-hqWEAAXPaE.jpg", "http://pbs.twimg.com/media/CiPv-hqWEAAXPaE.jpg")</f>
        <v>http://pbs.twimg.com/media/CiPv-hqWEAAXPaE.jpg</v>
      </c>
      <c r="N2327">
        <v>0</v>
      </c>
      <c r="O2327">
        <v>0</v>
      </c>
      <c r="P2327">
        <v>1</v>
      </c>
      <c r="Q2327">
        <v>0</v>
      </c>
    </row>
    <row r="2328" spans="1:17" x14ac:dyDescent="0.2">
      <c r="A2328" s="1" t="str">
        <f>HYPERLINK("http://www.twitter.com/Ugo_Roux/status/730025618507743232", "730025618507743232")</f>
        <v>730025618507743232</v>
      </c>
      <c r="B2328" t="s">
        <v>285</v>
      </c>
      <c r="C2328" s="3">
        <v>42500.558391203696</v>
      </c>
      <c r="D2328" s="5" t="s">
        <v>625</v>
      </c>
      <c r="E2328">
        <v>0</v>
      </c>
      <c r="F2328">
        <v>0</v>
      </c>
      <c r="G2328">
        <v>0</v>
      </c>
      <c r="I2328" t="s">
        <v>2365</v>
      </c>
      <c r="N2328">
        <v>0</v>
      </c>
      <c r="O2328">
        <v>0</v>
      </c>
      <c r="P2328">
        <v>1</v>
      </c>
      <c r="Q2328">
        <v>0</v>
      </c>
    </row>
    <row r="2329" spans="1:17" x14ac:dyDescent="0.2">
      <c r="A2329" s="1" t="str">
        <f>HYPERLINK("http://www.twitter.com/Ugo_Roux/status/729286681245974528", "729286681245974528")</f>
        <v>729286681245974528</v>
      </c>
      <c r="B2329" t="s">
        <v>285</v>
      </c>
      <c r="C2329" s="3">
        <v>42498.519305555557</v>
      </c>
      <c r="D2329" s="5" t="s">
        <v>28</v>
      </c>
      <c r="E2329">
        <v>0</v>
      </c>
      <c r="F2329">
        <v>0</v>
      </c>
      <c r="G2329">
        <v>0</v>
      </c>
      <c r="I2329" t="s">
        <v>2366</v>
      </c>
      <c r="J2329" t="str">
        <f>HYPERLINK("http://pbs.twimg.com/media/Ch7yXxsW0AAGzcz.jpg", "http://pbs.twimg.com/media/Ch7yXxsW0AAGzcz.jpg")</f>
        <v>http://pbs.twimg.com/media/Ch7yXxsW0AAGzcz.jpg</v>
      </c>
      <c r="N2329">
        <v>0</v>
      </c>
      <c r="O2329">
        <v>0</v>
      </c>
      <c r="P2329">
        <v>1</v>
      </c>
      <c r="Q2329">
        <v>0</v>
      </c>
    </row>
    <row r="2330" spans="1:17" x14ac:dyDescent="0.2">
      <c r="A2330" s="1" t="str">
        <f>HYPERLINK("http://www.twitter.com/Ugo_Roux/status/728876167890079745", "728876167890079745")</f>
        <v>728876167890079745</v>
      </c>
      <c r="B2330" t="s">
        <v>16</v>
      </c>
      <c r="C2330" s="3">
        <v>42497.386504629627</v>
      </c>
      <c r="D2330" s="3" t="s">
        <v>17</v>
      </c>
      <c r="E2330">
        <v>3</v>
      </c>
      <c r="F2330">
        <v>1</v>
      </c>
      <c r="G2330">
        <v>0</v>
      </c>
      <c r="I2330" t="s">
        <v>2367</v>
      </c>
      <c r="J2330" t="str">
        <f>HYPERLINK("http://pbs.twimg.com/media/Ch18-XWXAAAHxcY.jpg", "http://pbs.twimg.com/media/Ch18-XWXAAAHxcY.jpg")</f>
        <v>http://pbs.twimg.com/media/Ch18-XWXAAAHxcY.jpg</v>
      </c>
      <c r="N2330">
        <v>0</v>
      </c>
      <c r="O2330">
        <v>0</v>
      </c>
      <c r="P2330">
        <v>1</v>
      </c>
      <c r="Q2330">
        <v>0</v>
      </c>
    </row>
    <row r="2331" spans="1:17" x14ac:dyDescent="0.2">
      <c r="A2331" s="1" t="str">
        <f>HYPERLINK("http://www.twitter.com/Ugo_Roux/status/728114758260383745", "728114758260383745")</f>
        <v>728114758260383745</v>
      </c>
      <c r="B2331" t="s">
        <v>285</v>
      </c>
      <c r="C2331" s="3">
        <v>42495.285416666673</v>
      </c>
      <c r="D2331" s="5" t="s">
        <v>17</v>
      </c>
      <c r="E2331">
        <v>1</v>
      </c>
      <c r="F2331">
        <v>1</v>
      </c>
      <c r="G2331">
        <v>0</v>
      </c>
      <c r="I2331" t="s">
        <v>2368</v>
      </c>
      <c r="J2331" t="str">
        <f>HYPERLINK("http://pbs.twimg.com/media/ChrIdfZU4AIDY8D.jpg", "http://pbs.twimg.com/media/ChrIdfZU4AIDY8D.jpg")</f>
        <v>http://pbs.twimg.com/media/ChrIdfZU4AIDY8D.jpg</v>
      </c>
      <c r="N2331">
        <v>0.45879999999999999</v>
      </c>
      <c r="O2331">
        <v>0</v>
      </c>
      <c r="P2331">
        <v>0.82399999999999995</v>
      </c>
      <c r="Q2331">
        <v>0.17599999999999999</v>
      </c>
    </row>
    <row r="2332" spans="1:17" x14ac:dyDescent="0.2">
      <c r="A2332" s="1" t="str">
        <f>HYPERLINK("http://www.twitter.com/Ugo_Roux/status/727863703996076033", "727863703996076033")</f>
        <v>727863703996076033</v>
      </c>
      <c r="B2332" t="s">
        <v>47</v>
      </c>
      <c r="C2332" s="3">
        <v>42494.592638888891</v>
      </c>
      <c r="D2332" s="5" t="s">
        <v>28</v>
      </c>
      <c r="E2332">
        <v>7</v>
      </c>
      <c r="F2332">
        <v>4</v>
      </c>
      <c r="G2332">
        <v>1</v>
      </c>
      <c r="I2332" t="s">
        <v>2369</v>
      </c>
      <c r="N2332">
        <v>0</v>
      </c>
      <c r="O2332">
        <v>0</v>
      </c>
      <c r="P2332">
        <v>1</v>
      </c>
      <c r="Q2332">
        <v>0</v>
      </c>
    </row>
    <row r="2333" spans="1:17" x14ac:dyDescent="0.2">
      <c r="A2333" s="1" t="str">
        <f>HYPERLINK("http://www.twitter.com/Ugo_Roux/status/727390581098438656", "727390581098438656")</f>
        <v>727390581098438656</v>
      </c>
      <c r="B2333" t="s">
        <v>285</v>
      </c>
      <c r="C2333" s="3">
        <v>42493.28707175926</v>
      </c>
      <c r="D2333" s="5" t="s">
        <v>28</v>
      </c>
      <c r="E2333">
        <v>0</v>
      </c>
      <c r="F2333">
        <v>1</v>
      </c>
      <c r="G2333">
        <v>0</v>
      </c>
      <c r="I2333" t="s">
        <v>2370</v>
      </c>
      <c r="N2333">
        <v>0</v>
      </c>
      <c r="O2333">
        <v>0</v>
      </c>
      <c r="P2333">
        <v>1</v>
      </c>
      <c r="Q2333">
        <v>0</v>
      </c>
    </row>
    <row r="2334" spans="1:17" x14ac:dyDescent="0.2">
      <c r="A2334" s="1" t="str">
        <f>HYPERLINK("http://www.twitter.com/Ugo_Roux/status/727390457626517504", "727390457626517504")</f>
        <v>727390457626517504</v>
      </c>
      <c r="B2334" t="s">
        <v>285</v>
      </c>
      <c r="C2334" s="3">
        <v>42493.286736111113</v>
      </c>
      <c r="D2334" s="5" t="s">
        <v>28</v>
      </c>
      <c r="E2334">
        <v>0</v>
      </c>
      <c r="F2334">
        <v>1</v>
      </c>
      <c r="G2334">
        <v>0</v>
      </c>
      <c r="I2334" t="s">
        <v>2371</v>
      </c>
      <c r="N2334">
        <v>0</v>
      </c>
      <c r="O2334">
        <v>0</v>
      </c>
      <c r="P2334">
        <v>1</v>
      </c>
      <c r="Q2334">
        <v>0</v>
      </c>
    </row>
    <row r="2335" spans="1:17" x14ac:dyDescent="0.2">
      <c r="A2335" s="1" t="str">
        <f>HYPERLINK("http://www.twitter.com/Ugo_Roux/status/726419088663257088", "726419088663257088")</f>
        <v>726419088663257088</v>
      </c>
      <c r="B2335" t="s">
        <v>130</v>
      </c>
      <c r="C2335" s="3">
        <v>42490.606261574067</v>
      </c>
      <c r="D2335" s="5" t="s">
        <v>41</v>
      </c>
      <c r="E2335">
        <v>0</v>
      </c>
      <c r="F2335">
        <v>0</v>
      </c>
      <c r="G2335">
        <v>0</v>
      </c>
      <c r="I2335" t="s">
        <v>2372</v>
      </c>
      <c r="N2335">
        <v>0</v>
      </c>
      <c r="O2335">
        <v>0</v>
      </c>
      <c r="P2335">
        <v>1</v>
      </c>
      <c r="Q2335">
        <v>0</v>
      </c>
    </row>
    <row r="2336" spans="1:17" x14ac:dyDescent="0.2">
      <c r="A2336" s="1" t="str">
        <f>HYPERLINK("http://www.twitter.com/Ugo_Roux/status/726329442163953664", "726329442163953664")</f>
        <v>726329442163953664</v>
      </c>
      <c r="B2336" t="s">
        <v>47</v>
      </c>
      <c r="C2336" s="3">
        <v>42490.358888888892</v>
      </c>
      <c r="D2336" s="5" t="s">
        <v>17</v>
      </c>
      <c r="E2336">
        <v>1</v>
      </c>
      <c r="F2336">
        <v>0</v>
      </c>
      <c r="G2336">
        <v>0</v>
      </c>
      <c r="I2336" t="s">
        <v>2373</v>
      </c>
      <c r="N2336">
        <v>0.54730000000000001</v>
      </c>
      <c r="O2336">
        <v>0</v>
      </c>
      <c r="P2336">
        <v>0.78600000000000003</v>
      </c>
      <c r="Q2336">
        <v>0.214</v>
      </c>
    </row>
    <row r="2337" spans="1:17" x14ac:dyDescent="0.2">
      <c r="A2337" s="1" t="str">
        <f>HYPERLINK("http://www.twitter.com/Ugo_Roux/status/726057574559178753", "726057574559178753")</f>
        <v>726057574559178753</v>
      </c>
      <c r="B2337" t="s">
        <v>97</v>
      </c>
      <c r="C2337" s="3">
        <v>42489.608668981477</v>
      </c>
      <c r="D2337" s="5" t="s">
        <v>41</v>
      </c>
      <c r="E2337">
        <v>0</v>
      </c>
      <c r="F2337">
        <v>0</v>
      </c>
      <c r="G2337">
        <v>0</v>
      </c>
      <c r="I2337" t="s">
        <v>2374</v>
      </c>
      <c r="J2337" t="str">
        <f>HYPERLINK("http://pbs.twimg.com/media/ChN5hBUUUAUyyip.jpg", "http://pbs.twimg.com/media/ChN5hBUUUAUyyip.jpg")</f>
        <v>http://pbs.twimg.com/media/ChN5hBUUUAUyyip.jpg</v>
      </c>
      <c r="N2337">
        <v>0</v>
      </c>
      <c r="O2337">
        <v>0</v>
      </c>
      <c r="P2337">
        <v>1</v>
      </c>
      <c r="Q2337">
        <v>0</v>
      </c>
    </row>
    <row r="2338" spans="1:17" x14ac:dyDescent="0.2">
      <c r="A2338" s="1" t="str">
        <f>HYPERLINK("http://www.twitter.com/Ugo_Roux/status/726016059782877184", "726016059782877184")</f>
        <v>726016059782877184</v>
      </c>
      <c r="B2338" t="s">
        <v>285</v>
      </c>
      <c r="C2338" s="3">
        <v>42489.494120370371</v>
      </c>
      <c r="D2338" s="5" t="s">
        <v>28</v>
      </c>
      <c r="E2338">
        <v>0</v>
      </c>
      <c r="F2338">
        <v>2</v>
      </c>
      <c r="G2338">
        <v>0</v>
      </c>
      <c r="I2338" t="s">
        <v>2375</v>
      </c>
      <c r="J2338" t="str">
        <f>HYPERLINK("http://pbs.twimg.com/media/ChNTwkSWwAApW2Y.jpg", "http://pbs.twimg.com/media/ChNTwkSWwAApW2Y.jpg")</f>
        <v>http://pbs.twimg.com/media/ChNTwkSWwAApW2Y.jpg</v>
      </c>
      <c r="N2338">
        <v>0</v>
      </c>
      <c r="O2338">
        <v>0</v>
      </c>
      <c r="P2338">
        <v>1</v>
      </c>
      <c r="Q2338">
        <v>0</v>
      </c>
    </row>
    <row r="2339" spans="1:17" x14ac:dyDescent="0.2">
      <c r="A2339" s="1" t="str">
        <f>HYPERLINK("http://www.twitter.com/Ugo_Roux/status/725577369109549056", "725577369109549056")</f>
        <v>725577369109549056</v>
      </c>
      <c r="B2339" t="s">
        <v>285</v>
      </c>
      <c r="C2339" s="3">
        <v>42488.283564814818</v>
      </c>
      <c r="D2339" s="5" t="s">
        <v>17</v>
      </c>
      <c r="E2339">
        <v>0</v>
      </c>
      <c r="F2339">
        <v>1</v>
      </c>
      <c r="G2339">
        <v>0</v>
      </c>
      <c r="I2339" t="s">
        <v>2376</v>
      </c>
      <c r="J2339" t="str">
        <f>HYPERLINK("http://pbs.twimg.com/media/ChHEpVOWkAED0Hs.jpg", "http://pbs.twimg.com/media/ChHEpVOWkAED0Hs.jpg")</f>
        <v>http://pbs.twimg.com/media/ChHEpVOWkAED0Hs.jpg</v>
      </c>
      <c r="N2339">
        <v>0.45879999999999999</v>
      </c>
      <c r="O2339">
        <v>0</v>
      </c>
      <c r="P2339">
        <v>0.81200000000000006</v>
      </c>
      <c r="Q2339">
        <v>0.188</v>
      </c>
    </row>
    <row r="2340" spans="1:17" x14ac:dyDescent="0.2">
      <c r="A2340" s="1" t="str">
        <f>HYPERLINK("http://www.twitter.com/Ugo_Roux/status/723467049406730240", "723467049406730240")</f>
        <v>723467049406730240</v>
      </c>
      <c r="B2340" t="s">
        <v>16</v>
      </c>
      <c r="C2340" s="3">
        <v>42482.460185185177</v>
      </c>
      <c r="D2340" s="3" t="s">
        <v>41</v>
      </c>
      <c r="E2340">
        <v>2</v>
      </c>
      <c r="F2340">
        <v>0</v>
      </c>
      <c r="G2340">
        <v>0</v>
      </c>
      <c r="I2340" t="s">
        <v>2377</v>
      </c>
      <c r="J2340" t="str">
        <f>HYPERLINK("http://pbs.twimg.com/media/CgpFcm5WMAELzxO.jpg", "http://pbs.twimg.com/media/CgpFcm5WMAELzxO.jpg")</f>
        <v>http://pbs.twimg.com/media/CgpFcm5WMAELzxO.jpg</v>
      </c>
      <c r="K2340" t="str">
        <f>HYPERLINK("http://pbs.twimg.com/media/CgpFcPBWwAEIv1y.jpg", "http://pbs.twimg.com/media/CgpFcPBWwAEIv1y.jpg")</f>
        <v>http://pbs.twimg.com/media/CgpFcPBWwAEIv1y.jpg</v>
      </c>
      <c r="N2340">
        <v>0</v>
      </c>
      <c r="O2340">
        <v>0</v>
      </c>
      <c r="P2340">
        <v>1</v>
      </c>
      <c r="Q2340">
        <v>0</v>
      </c>
    </row>
    <row r="2341" spans="1:17" x14ac:dyDescent="0.2">
      <c r="A2341" s="1" t="str">
        <f>HYPERLINK("http://www.twitter.com/Ugo_Roux/status/723407554110332929", "723407554110332929")</f>
        <v>723407554110332929</v>
      </c>
      <c r="B2341" t="s">
        <v>285</v>
      </c>
      <c r="C2341" s="3">
        <v>42482.296006944453</v>
      </c>
      <c r="D2341" s="5" t="s">
        <v>28</v>
      </c>
      <c r="E2341">
        <v>0</v>
      </c>
      <c r="F2341">
        <v>0</v>
      </c>
      <c r="G2341">
        <v>0</v>
      </c>
      <c r="I2341" t="s">
        <v>2378</v>
      </c>
      <c r="N2341">
        <v>0</v>
      </c>
      <c r="O2341">
        <v>0</v>
      </c>
      <c r="P2341">
        <v>1</v>
      </c>
      <c r="Q2341">
        <v>0</v>
      </c>
    </row>
    <row r="2342" spans="1:17" x14ac:dyDescent="0.2">
      <c r="A2342" s="1" t="str">
        <f>HYPERLINK("http://www.twitter.com/Ugo_Roux/status/723051481486626818", "723051481486626818")</f>
        <v>723051481486626818</v>
      </c>
      <c r="B2342" t="s">
        <v>414</v>
      </c>
      <c r="C2342" s="3">
        <v>42481.313437500001</v>
      </c>
      <c r="D2342" s="5" t="s">
        <v>28</v>
      </c>
      <c r="E2342">
        <v>0</v>
      </c>
      <c r="F2342">
        <v>0</v>
      </c>
      <c r="G2342">
        <v>0</v>
      </c>
      <c r="I2342" t="s">
        <v>2379</v>
      </c>
      <c r="J2342" t="str">
        <f>HYPERLINK("http://pbs.twimg.com/media/CgjLfW1WkAAkEw3.jpg", "http://pbs.twimg.com/media/CgjLfW1WkAAkEw3.jpg")</f>
        <v>http://pbs.twimg.com/media/CgjLfW1WkAAkEw3.jpg</v>
      </c>
      <c r="N2342">
        <v>0</v>
      </c>
      <c r="O2342">
        <v>0</v>
      </c>
      <c r="P2342">
        <v>1</v>
      </c>
      <c r="Q2342">
        <v>0</v>
      </c>
    </row>
    <row r="2343" spans="1:17" x14ac:dyDescent="0.2">
      <c r="A2343" s="1" t="str">
        <f>HYPERLINK("http://www.twitter.com/Ugo_Roux/status/722809954709573632", "722809954709573632")</f>
        <v>722809954709573632</v>
      </c>
      <c r="B2343" t="s">
        <v>47</v>
      </c>
      <c r="C2343" s="3">
        <v>42480.646956018521</v>
      </c>
      <c r="D2343" s="5" t="s">
        <v>28</v>
      </c>
      <c r="E2343">
        <v>1</v>
      </c>
      <c r="F2343">
        <v>1</v>
      </c>
      <c r="G2343">
        <v>0</v>
      </c>
      <c r="I2343" t="s">
        <v>2380</v>
      </c>
      <c r="N2343">
        <v>0</v>
      </c>
      <c r="O2343">
        <v>0</v>
      </c>
      <c r="P2343">
        <v>1</v>
      </c>
      <c r="Q2343">
        <v>0</v>
      </c>
    </row>
    <row r="2344" spans="1:17" x14ac:dyDescent="0.2">
      <c r="A2344" s="1" t="str">
        <f>HYPERLINK("http://www.twitter.com/Ugo_Roux/status/722794952153927680", "722794952153927680")</f>
        <v>722794952153927680</v>
      </c>
      <c r="B2344" t="s">
        <v>285</v>
      </c>
      <c r="C2344" s="3">
        <v>42480.605555555558</v>
      </c>
      <c r="D2344" s="5" t="s">
        <v>28</v>
      </c>
      <c r="E2344">
        <v>0</v>
      </c>
      <c r="F2344">
        <v>1</v>
      </c>
      <c r="G2344">
        <v>0</v>
      </c>
      <c r="I2344" t="s">
        <v>2381</v>
      </c>
      <c r="J2344" t="str">
        <f>HYPERLINK("http://pbs.twimg.com/media/CgfiLZhW4AAkI0O.jpg", "http://pbs.twimg.com/media/CgfiLZhW4AAkI0O.jpg")</f>
        <v>http://pbs.twimg.com/media/CgfiLZhW4AAkI0O.jpg</v>
      </c>
      <c r="N2344">
        <v>0</v>
      </c>
      <c r="O2344">
        <v>0</v>
      </c>
      <c r="P2344">
        <v>1</v>
      </c>
      <c r="Q2344">
        <v>0</v>
      </c>
    </row>
    <row r="2345" spans="1:17" x14ac:dyDescent="0.2">
      <c r="A2345" s="1" t="str">
        <f>HYPERLINK("http://www.twitter.com/Ugo_Roux/status/722775301386731522", "722775301386731522")</f>
        <v>722775301386731522</v>
      </c>
      <c r="B2345" t="s">
        <v>370</v>
      </c>
      <c r="C2345" s="3">
        <v>42480.55133101852</v>
      </c>
      <c r="D2345" s="5" t="s">
        <v>28</v>
      </c>
      <c r="E2345">
        <v>0</v>
      </c>
      <c r="F2345">
        <v>0</v>
      </c>
      <c r="G2345">
        <v>0</v>
      </c>
      <c r="I2345" t="s">
        <v>2382</v>
      </c>
      <c r="N2345">
        <v>0</v>
      </c>
      <c r="O2345">
        <v>0</v>
      </c>
      <c r="P2345">
        <v>1</v>
      </c>
      <c r="Q2345">
        <v>0</v>
      </c>
    </row>
    <row r="2346" spans="1:17" x14ac:dyDescent="0.2">
      <c r="A2346" s="1" t="str">
        <f>HYPERLINK("http://www.twitter.com/Ugo_Roux/status/722769620025749504", "722769620025749504")</f>
        <v>722769620025749504</v>
      </c>
      <c r="B2346" t="s">
        <v>370</v>
      </c>
      <c r="C2346" s="3">
        <v>42480.53564814815</v>
      </c>
      <c r="D2346" s="5" t="s">
        <v>28</v>
      </c>
      <c r="E2346">
        <v>0</v>
      </c>
      <c r="F2346">
        <v>0</v>
      </c>
      <c r="G2346">
        <v>0</v>
      </c>
      <c r="I2346" t="s">
        <v>2383</v>
      </c>
      <c r="J2346" t="str">
        <f>HYPERLINK("http://pbs.twimg.com/media/CgfLI40UYAQgGvl.jpg", "http://pbs.twimg.com/media/CgfLI40UYAQgGvl.jpg")</f>
        <v>http://pbs.twimg.com/media/CgfLI40UYAQgGvl.jpg</v>
      </c>
      <c r="N2346">
        <v>0</v>
      </c>
      <c r="O2346">
        <v>0</v>
      </c>
      <c r="P2346">
        <v>1</v>
      </c>
      <c r="Q2346">
        <v>0</v>
      </c>
    </row>
    <row r="2347" spans="1:17" x14ac:dyDescent="0.2">
      <c r="A2347" s="1" t="str">
        <f>HYPERLINK("http://www.twitter.com/Ugo_Roux/status/722768583852302340", "722768583852302340")</f>
        <v>722768583852302340</v>
      </c>
      <c r="B2347" t="s">
        <v>370</v>
      </c>
      <c r="C2347" s="3">
        <v>42480.532789351862</v>
      </c>
      <c r="D2347" s="5" t="s">
        <v>24</v>
      </c>
      <c r="E2347">
        <v>0</v>
      </c>
      <c r="F2347">
        <v>0</v>
      </c>
      <c r="G2347">
        <v>0</v>
      </c>
      <c r="I2347" t="s">
        <v>2384</v>
      </c>
      <c r="N2347">
        <v>0</v>
      </c>
      <c r="O2347">
        <v>0</v>
      </c>
      <c r="P2347">
        <v>1</v>
      </c>
      <c r="Q2347">
        <v>0</v>
      </c>
    </row>
    <row r="2348" spans="1:17" x14ac:dyDescent="0.2">
      <c r="A2348" s="1" t="str">
        <f>HYPERLINK("http://www.twitter.com/Ugo_Roux/status/722767341340069889", "722767341340069889")</f>
        <v>722767341340069889</v>
      </c>
      <c r="B2348" t="s">
        <v>370</v>
      </c>
      <c r="C2348" s="3">
        <v>42480.529363425929</v>
      </c>
      <c r="D2348" s="5" t="s">
        <v>28</v>
      </c>
      <c r="E2348">
        <v>0</v>
      </c>
      <c r="F2348">
        <v>0</v>
      </c>
      <c r="G2348">
        <v>0</v>
      </c>
      <c r="I2348" t="s">
        <v>2385</v>
      </c>
      <c r="J2348" t="str">
        <f>HYPERLINK("http://pbs.twimg.com/media/CgfJEN2UUAAreEm.jpg", "http://pbs.twimg.com/media/CgfJEN2UUAAreEm.jpg")</f>
        <v>http://pbs.twimg.com/media/CgfJEN2UUAAreEm.jpg</v>
      </c>
      <c r="N2348">
        <v>0</v>
      </c>
      <c r="O2348">
        <v>0</v>
      </c>
      <c r="P2348">
        <v>1</v>
      </c>
      <c r="Q2348">
        <v>0</v>
      </c>
    </row>
    <row r="2349" spans="1:17" x14ac:dyDescent="0.2">
      <c r="A2349" s="1" t="str">
        <f>HYPERLINK("http://www.twitter.com/Ugo_Roux/status/722763866816385024", "722763866816385024")</f>
        <v>722763866816385024</v>
      </c>
      <c r="B2349" t="s">
        <v>370</v>
      </c>
      <c r="C2349" s="3">
        <v>42480.519768518519</v>
      </c>
      <c r="D2349" s="5" t="s">
        <v>28</v>
      </c>
      <c r="E2349">
        <v>0</v>
      </c>
      <c r="F2349">
        <v>0</v>
      </c>
      <c r="G2349">
        <v>0</v>
      </c>
      <c r="I2349" t="s">
        <v>2386</v>
      </c>
      <c r="J2349" t="str">
        <f>HYPERLINK("http://pbs.twimg.com/media/CgfF59UVAAAMiGd.jpg", "http://pbs.twimg.com/media/CgfF59UVAAAMiGd.jpg")</f>
        <v>http://pbs.twimg.com/media/CgfF59UVAAAMiGd.jpg</v>
      </c>
      <c r="N2349">
        <v>0</v>
      </c>
      <c r="O2349">
        <v>0</v>
      </c>
      <c r="P2349">
        <v>1</v>
      </c>
      <c r="Q2349">
        <v>0</v>
      </c>
    </row>
    <row r="2350" spans="1:17" x14ac:dyDescent="0.2">
      <c r="A2350" s="1" t="str">
        <f>HYPERLINK("http://www.twitter.com/Ugo_Roux/status/722723146068062208", "722723146068062208")</f>
        <v>722723146068062208</v>
      </c>
      <c r="B2350" t="s">
        <v>16</v>
      </c>
      <c r="C2350" s="3">
        <v>42480.407407407409</v>
      </c>
      <c r="D2350" s="3" t="s">
        <v>41</v>
      </c>
      <c r="E2350">
        <v>1</v>
      </c>
      <c r="F2350">
        <v>0</v>
      </c>
      <c r="G2350">
        <v>1</v>
      </c>
      <c r="I2350" t="s">
        <v>2387</v>
      </c>
      <c r="J2350" t="str">
        <f>HYPERLINK("http://pbs.twimg.com/media/Cgeg3vMWIAA9KLc.jpg", "http://pbs.twimg.com/media/Cgeg3vMWIAA9KLc.jpg")</f>
        <v>http://pbs.twimg.com/media/Cgeg3vMWIAA9KLc.jpg</v>
      </c>
      <c r="N2350">
        <v>0.36120000000000002</v>
      </c>
      <c r="O2350">
        <v>0</v>
      </c>
      <c r="P2350">
        <v>0.70599999999999996</v>
      </c>
      <c r="Q2350">
        <v>0.29399999999999998</v>
      </c>
    </row>
    <row r="2351" spans="1:17" x14ac:dyDescent="0.2">
      <c r="A2351" s="1" t="str">
        <f>HYPERLINK("http://www.twitter.com/Ugo_Roux/status/722675558841237505", "722675558841237505")</f>
        <v>722675558841237505</v>
      </c>
      <c r="B2351" t="s">
        <v>285</v>
      </c>
      <c r="C2351" s="3">
        <v>42480.276087962957</v>
      </c>
      <c r="D2351" s="5" t="s">
        <v>28</v>
      </c>
      <c r="E2351">
        <v>1</v>
      </c>
      <c r="F2351">
        <v>0</v>
      </c>
      <c r="G2351">
        <v>0</v>
      </c>
      <c r="I2351" t="s">
        <v>2388</v>
      </c>
      <c r="N2351">
        <v>0</v>
      </c>
      <c r="O2351">
        <v>0</v>
      </c>
      <c r="P2351">
        <v>1</v>
      </c>
      <c r="Q2351">
        <v>0</v>
      </c>
    </row>
    <row r="2352" spans="1:17" x14ac:dyDescent="0.2">
      <c r="A2352" s="1" t="str">
        <f>HYPERLINK("http://www.twitter.com/Ugo_Roux/status/722433125075197952", "722433125075197952")</f>
        <v>722433125075197952</v>
      </c>
      <c r="B2352" t="s">
        <v>130</v>
      </c>
      <c r="C2352" s="3">
        <v>42479.607094907413</v>
      </c>
      <c r="D2352" s="5" t="s">
        <v>28</v>
      </c>
      <c r="E2352">
        <v>1</v>
      </c>
      <c r="F2352">
        <v>0</v>
      </c>
      <c r="G2352">
        <v>0</v>
      </c>
      <c r="I2352" t="s">
        <v>2389</v>
      </c>
      <c r="N2352">
        <v>0</v>
      </c>
      <c r="O2352">
        <v>0</v>
      </c>
      <c r="P2352">
        <v>1</v>
      </c>
      <c r="Q2352">
        <v>0</v>
      </c>
    </row>
    <row r="2353" spans="1:17" x14ac:dyDescent="0.2">
      <c r="A2353" s="1" t="str">
        <f>HYPERLINK("http://www.twitter.com/Ugo_Roux/status/721322250796994560", "721322250796994560")</f>
        <v>721322250796994560</v>
      </c>
      <c r="B2353" t="s">
        <v>47</v>
      </c>
      <c r="C2353" s="3">
        <v>42476.541666666657</v>
      </c>
      <c r="D2353" s="5" t="s">
        <v>28</v>
      </c>
      <c r="E2353">
        <v>2</v>
      </c>
      <c r="F2353">
        <v>1</v>
      </c>
      <c r="G2353">
        <v>0</v>
      </c>
      <c r="I2353" t="s">
        <v>2390</v>
      </c>
      <c r="N2353">
        <v>-0.49390000000000001</v>
      </c>
      <c r="O2353">
        <v>0.19800000000000001</v>
      </c>
      <c r="P2353">
        <v>0.80200000000000005</v>
      </c>
      <c r="Q2353">
        <v>0</v>
      </c>
    </row>
    <row r="2354" spans="1:17" x14ac:dyDescent="0.2">
      <c r="A2354" s="1" t="str">
        <f>HYPERLINK("http://www.twitter.com/Ugo_Roux/status/720602373551452160", "720602373551452160")</f>
        <v>720602373551452160</v>
      </c>
      <c r="B2354" t="s">
        <v>285</v>
      </c>
      <c r="C2354" s="3">
        <v>42474.555185185192</v>
      </c>
      <c r="D2354" s="5" t="s">
        <v>17</v>
      </c>
      <c r="E2354">
        <v>0</v>
      </c>
      <c r="F2354">
        <v>0</v>
      </c>
      <c r="G2354">
        <v>0</v>
      </c>
      <c r="I2354" t="s">
        <v>2391</v>
      </c>
      <c r="N2354">
        <v>0</v>
      </c>
      <c r="O2354">
        <v>0</v>
      </c>
      <c r="P2354">
        <v>1</v>
      </c>
      <c r="Q2354">
        <v>0</v>
      </c>
    </row>
    <row r="2355" spans="1:17" x14ac:dyDescent="0.2">
      <c r="A2355" s="1" t="str">
        <f>HYPERLINK("http://www.twitter.com/Ugo_Roux/status/720498991696384000", "720498991696384000")</f>
        <v>720498991696384000</v>
      </c>
      <c r="B2355" t="s">
        <v>285</v>
      </c>
      <c r="C2355" s="3">
        <v>42474.269907407397</v>
      </c>
      <c r="D2355" s="5" t="s">
        <v>28</v>
      </c>
      <c r="E2355">
        <v>0</v>
      </c>
      <c r="F2355">
        <v>0</v>
      </c>
      <c r="G2355">
        <v>0</v>
      </c>
      <c r="I2355" t="s">
        <v>2392</v>
      </c>
      <c r="N2355">
        <v>0</v>
      </c>
      <c r="O2355">
        <v>0</v>
      </c>
      <c r="P2355">
        <v>1</v>
      </c>
      <c r="Q2355">
        <v>0</v>
      </c>
    </row>
    <row r="2356" spans="1:17" x14ac:dyDescent="0.2">
      <c r="A2356" s="1" t="str">
        <f>HYPERLINK("http://www.twitter.com/Ugo_Roux/status/720278289911123969", "720278289911123969")</f>
        <v>720278289911123969</v>
      </c>
      <c r="B2356" t="s">
        <v>47</v>
      </c>
      <c r="C2356" s="3">
        <v>42473.660891203697</v>
      </c>
      <c r="D2356" s="5" t="s">
        <v>17</v>
      </c>
      <c r="E2356">
        <v>0</v>
      </c>
      <c r="F2356">
        <v>2</v>
      </c>
      <c r="G2356">
        <v>0</v>
      </c>
      <c r="I2356" t="s">
        <v>2393</v>
      </c>
      <c r="N2356">
        <v>0</v>
      </c>
      <c r="O2356">
        <v>0</v>
      </c>
      <c r="P2356">
        <v>1</v>
      </c>
      <c r="Q2356">
        <v>0</v>
      </c>
    </row>
    <row r="2357" spans="1:17" x14ac:dyDescent="0.2">
      <c r="A2357" s="1" t="str">
        <f>HYPERLINK("http://www.twitter.com/Ugo_Roux/status/719778727354310657", "719778727354310657")</f>
        <v>719778727354310657</v>
      </c>
      <c r="B2357" t="s">
        <v>285</v>
      </c>
      <c r="C2357" s="3">
        <v>42472.282361111109</v>
      </c>
      <c r="D2357" s="5" t="s">
        <v>28</v>
      </c>
      <c r="E2357">
        <v>0</v>
      </c>
      <c r="F2357">
        <v>0</v>
      </c>
      <c r="G2357">
        <v>0</v>
      </c>
      <c r="I2357" t="s">
        <v>2394</v>
      </c>
      <c r="J2357" t="str">
        <f>HYPERLINK("http://pbs.twimg.com/media/Cf0q8BWW8AAUzO0.jpg", "http://pbs.twimg.com/media/Cf0q8BWW8AAUzO0.jpg")</f>
        <v>http://pbs.twimg.com/media/Cf0q8BWW8AAUzO0.jpg</v>
      </c>
      <c r="N2357">
        <v>0</v>
      </c>
      <c r="O2357">
        <v>0</v>
      </c>
      <c r="P2357">
        <v>1</v>
      </c>
      <c r="Q2357">
        <v>0</v>
      </c>
    </row>
    <row r="2358" spans="1:17" x14ac:dyDescent="0.2">
      <c r="A2358" s="1" t="str">
        <f>HYPERLINK("http://www.twitter.com/Ugo_Roux/status/718104534770458624", "718104534770458624")</f>
        <v>718104534770458624</v>
      </c>
      <c r="B2358" t="s">
        <v>47</v>
      </c>
      <c r="C2358" s="3">
        <v>42467.662465277783</v>
      </c>
      <c r="D2358" s="3" t="s">
        <v>17</v>
      </c>
      <c r="E2358">
        <v>1</v>
      </c>
      <c r="F2358">
        <v>1</v>
      </c>
      <c r="G2358">
        <v>1</v>
      </c>
      <c r="I2358" t="s">
        <v>2395</v>
      </c>
      <c r="N2358">
        <v>0</v>
      </c>
      <c r="O2358">
        <v>0</v>
      </c>
      <c r="P2358">
        <v>1</v>
      </c>
      <c r="Q2358">
        <v>0</v>
      </c>
    </row>
    <row r="2359" spans="1:17" x14ac:dyDescent="0.2">
      <c r="A2359" s="1" t="str">
        <f>HYPERLINK("http://www.twitter.com/Ugo_Roux/status/718034383072964613", "718034383072964613")</f>
        <v>718034383072964613</v>
      </c>
      <c r="B2359" t="s">
        <v>130</v>
      </c>
      <c r="C2359" s="3">
        <v>42467.468888888892</v>
      </c>
      <c r="D2359" s="5" t="s">
        <v>41</v>
      </c>
      <c r="E2359">
        <v>0</v>
      </c>
      <c r="F2359">
        <v>0</v>
      </c>
      <c r="G2359">
        <v>0</v>
      </c>
      <c r="I2359" t="s">
        <v>2396</v>
      </c>
      <c r="N2359">
        <v>0</v>
      </c>
      <c r="O2359">
        <v>0</v>
      </c>
      <c r="P2359">
        <v>1</v>
      </c>
      <c r="Q2359">
        <v>0</v>
      </c>
    </row>
    <row r="2360" spans="1:17" x14ac:dyDescent="0.2">
      <c r="A2360" s="1" t="str">
        <f>HYPERLINK("http://www.twitter.com/Ugo_Roux/status/717722231137288192", "717722231137288192")</f>
        <v>717722231137288192</v>
      </c>
      <c r="B2360" t="s">
        <v>16</v>
      </c>
      <c r="C2360" s="3">
        <v>42466.607511574082</v>
      </c>
      <c r="D2360" s="3" t="s">
        <v>17</v>
      </c>
      <c r="E2360">
        <v>3</v>
      </c>
      <c r="F2360">
        <v>1</v>
      </c>
      <c r="G2360">
        <v>0</v>
      </c>
      <c r="I2360" t="s">
        <v>2397</v>
      </c>
      <c r="J2360" t="str">
        <f>HYPERLINK("http://pbs.twimg.com/media/CfXckHAWwAAMInd.jpg", "http://pbs.twimg.com/media/CfXckHAWwAAMInd.jpg")</f>
        <v>http://pbs.twimg.com/media/CfXckHAWwAAMInd.jpg</v>
      </c>
      <c r="K2360" t="str">
        <f>HYPERLINK("http://pbs.twimg.com/media/CfXckK-WQAEZOob.jpg", "http://pbs.twimg.com/media/CfXckK-WQAEZOob.jpg")</f>
        <v>http://pbs.twimg.com/media/CfXckK-WQAEZOob.jpg</v>
      </c>
      <c r="N2360">
        <v>0</v>
      </c>
      <c r="O2360">
        <v>0</v>
      </c>
      <c r="P2360">
        <v>1</v>
      </c>
      <c r="Q2360">
        <v>0</v>
      </c>
    </row>
    <row r="2361" spans="1:17" x14ac:dyDescent="0.2">
      <c r="A2361" s="1" t="str">
        <f>HYPERLINK("http://www.twitter.com/Ugo_Roux/status/717713124988743681", "717713124988743681")</f>
        <v>717713124988743681</v>
      </c>
      <c r="B2361" t="s">
        <v>476</v>
      </c>
      <c r="C2361" s="3">
        <v>42466.582384259258</v>
      </c>
      <c r="D2361" s="5" t="s">
        <v>515</v>
      </c>
      <c r="E2361">
        <v>0</v>
      </c>
      <c r="F2361">
        <v>0</v>
      </c>
      <c r="G2361">
        <v>0</v>
      </c>
      <c r="I2361" t="s">
        <v>2398</v>
      </c>
      <c r="N2361">
        <v>0</v>
      </c>
      <c r="O2361">
        <v>0</v>
      </c>
      <c r="P2361">
        <v>1</v>
      </c>
      <c r="Q2361">
        <v>0</v>
      </c>
    </row>
    <row r="2362" spans="1:17" x14ac:dyDescent="0.2">
      <c r="A2362" s="1" t="str">
        <f>HYPERLINK("http://www.twitter.com/Ugo_Roux/status/716236130958643200", "716236130958643200")</f>
        <v>716236130958643200</v>
      </c>
      <c r="B2362" t="s">
        <v>414</v>
      </c>
      <c r="C2362" s="3">
        <v>42462.506655092591</v>
      </c>
      <c r="D2362" s="5" t="s">
        <v>17</v>
      </c>
      <c r="E2362">
        <v>1</v>
      </c>
      <c r="F2362">
        <v>0</v>
      </c>
      <c r="G2362">
        <v>0</v>
      </c>
      <c r="I2362" t="s">
        <v>2399</v>
      </c>
      <c r="N2362">
        <v>0</v>
      </c>
      <c r="O2362">
        <v>0</v>
      </c>
      <c r="P2362">
        <v>1</v>
      </c>
      <c r="Q2362">
        <v>0</v>
      </c>
    </row>
    <row r="2363" spans="1:17" x14ac:dyDescent="0.2">
      <c r="A2363" s="1" t="str">
        <f>HYPERLINK("http://www.twitter.com/Ugo_Roux/status/715820309262295040", "715820309262295040")</f>
        <v>715820309262295040</v>
      </c>
      <c r="B2363" t="s">
        <v>16</v>
      </c>
      <c r="C2363" s="3">
        <v>42461.359201388892</v>
      </c>
      <c r="D2363" s="3" t="s">
        <v>17</v>
      </c>
      <c r="E2363">
        <v>3</v>
      </c>
      <c r="F2363">
        <v>0</v>
      </c>
      <c r="G2363">
        <v>0</v>
      </c>
      <c r="I2363" t="s">
        <v>2400</v>
      </c>
      <c r="N2363">
        <v>0</v>
      </c>
      <c r="O2363">
        <v>0</v>
      </c>
      <c r="P2363">
        <v>1</v>
      </c>
      <c r="Q2363">
        <v>0</v>
      </c>
    </row>
    <row r="2364" spans="1:17" x14ac:dyDescent="0.2">
      <c r="A2364" s="1" t="str">
        <f>HYPERLINK("http://www.twitter.com/Ugo_Roux/status/715817649956134913", "715817649956134913")</f>
        <v>715817649956134913</v>
      </c>
      <c r="B2364" t="s">
        <v>16</v>
      </c>
      <c r="C2364" s="3">
        <v>42461.351863425924</v>
      </c>
      <c r="D2364" s="3" t="s">
        <v>28</v>
      </c>
      <c r="E2364">
        <v>2</v>
      </c>
      <c r="F2364">
        <v>1</v>
      </c>
      <c r="G2364">
        <v>0</v>
      </c>
      <c r="I2364" t="s">
        <v>2401</v>
      </c>
      <c r="J2364" t="str">
        <f>HYPERLINK("https://video.twimg.com/ext_tw_video/715817418426347520/pu/vid/1280x720/J-MsT8y7-qKMIws6.mp4", "https://video.twimg.com/ext_tw_video/715817418426347520/pu/vid/1280x720/J-MsT8y7-qKMIws6.mp4")</f>
        <v>https://video.twimg.com/ext_tw_video/715817418426347520/pu/vid/1280x720/J-MsT8y7-qKMIws6.mp4</v>
      </c>
      <c r="N2364">
        <v>0</v>
      </c>
      <c r="O2364">
        <v>0</v>
      </c>
      <c r="P2364">
        <v>1</v>
      </c>
      <c r="Q2364">
        <v>0</v>
      </c>
    </row>
    <row r="2365" spans="1:17" x14ac:dyDescent="0.2">
      <c r="A2365" s="1" t="str">
        <f>HYPERLINK("http://www.twitter.com/Ugo_Roux/status/715558587595010048", "715558587595010048")</f>
        <v>715558587595010048</v>
      </c>
      <c r="B2365" t="s">
        <v>370</v>
      </c>
      <c r="C2365" s="3">
        <v>42460.636990740742</v>
      </c>
      <c r="D2365" s="5" t="s">
        <v>41</v>
      </c>
      <c r="E2365">
        <v>0</v>
      </c>
      <c r="F2365">
        <v>0</v>
      </c>
      <c r="G2365">
        <v>0</v>
      </c>
      <c r="I2365" t="s">
        <v>2402</v>
      </c>
      <c r="J2365" t="str">
        <f>HYPERLINK("http://pbs.twimg.com/media/Ce4svjpUIAAkOdb.jpg", "http://pbs.twimg.com/media/Ce4svjpUIAAkOdb.jpg")</f>
        <v>http://pbs.twimg.com/media/Ce4svjpUIAAkOdb.jpg</v>
      </c>
      <c r="N2365">
        <v>0</v>
      </c>
      <c r="O2365">
        <v>0</v>
      </c>
      <c r="P2365">
        <v>1</v>
      </c>
      <c r="Q2365">
        <v>0</v>
      </c>
    </row>
    <row r="2366" spans="1:17" x14ac:dyDescent="0.2">
      <c r="A2366" s="1" t="str">
        <f>HYPERLINK("http://www.twitter.com/Ugo_Roux/status/715556158686138369", "715556158686138369")</f>
        <v>715556158686138369</v>
      </c>
      <c r="B2366" t="s">
        <v>370</v>
      </c>
      <c r="C2366" s="3">
        <v>42460.630289351851</v>
      </c>
      <c r="D2366" s="5" t="s">
        <v>28</v>
      </c>
      <c r="E2366">
        <v>0</v>
      </c>
      <c r="F2366">
        <v>0</v>
      </c>
      <c r="G2366">
        <v>0</v>
      </c>
      <c r="I2366" t="s">
        <v>2403</v>
      </c>
      <c r="J2366" t="str">
        <f>HYPERLINK("http://pbs.twimg.com/media/Ce4qiLkUYAALUyM.jpg", "http://pbs.twimg.com/media/Ce4qiLkUYAALUyM.jpg")</f>
        <v>http://pbs.twimg.com/media/Ce4qiLkUYAALUyM.jpg</v>
      </c>
      <c r="N2366">
        <v>0</v>
      </c>
      <c r="O2366">
        <v>0</v>
      </c>
      <c r="P2366">
        <v>1</v>
      </c>
      <c r="Q2366">
        <v>0</v>
      </c>
    </row>
    <row r="2367" spans="1:17" x14ac:dyDescent="0.2">
      <c r="A2367" s="1" t="str">
        <f>HYPERLINK("http://www.twitter.com/Ugo_Roux/status/715550244763607041", "715550244763607041")</f>
        <v>715550244763607041</v>
      </c>
      <c r="B2367" t="s">
        <v>370</v>
      </c>
      <c r="C2367" s="3">
        <v>42460.613969907397</v>
      </c>
      <c r="D2367" s="5" t="s">
        <v>17</v>
      </c>
      <c r="E2367">
        <v>0</v>
      </c>
      <c r="F2367">
        <v>0</v>
      </c>
      <c r="G2367">
        <v>0</v>
      </c>
      <c r="I2367" t="s">
        <v>2404</v>
      </c>
      <c r="J2367" t="str">
        <f>HYPERLINK("http://pbs.twimg.com/media/Ce4lJ8gUUAIS-fN.jpg", "http://pbs.twimg.com/media/Ce4lJ8gUUAIS-fN.jpg")</f>
        <v>http://pbs.twimg.com/media/Ce4lJ8gUUAIS-fN.jpg</v>
      </c>
      <c r="N2367">
        <v>0</v>
      </c>
      <c r="O2367">
        <v>0</v>
      </c>
      <c r="P2367">
        <v>1</v>
      </c>
      <c r="Q2367">
        <v>0</v>
      </c>
    </row>
    <row r="2368" spans="1:17" x14ac:dyDescent="0.2">
      <c r="A2368" s="1" t="str">
        <f>HYPERLINK("http://www.twitter.com/Ugo_Roux/status/715549365318713344", "715549365318713344")</f>
        <v>715549365318713344</v>
      </c>
      <c r="B2368" t="s">
        <v>370</v>
      </c>
      <c r="C2368" s="3">
        <v>42460.611539351848</v>
      </c>
      <c r="D2368" s="5" t="s">
        <v>28</v>
      </c>
      <c r="E2368">
        <v>0</v>
      </c>
      <c r="F2368">
        <v>0</v>
      </c>
      <c r="G2368">
        <v>0</v>
      </c>
      <c r="I2368" t="s">
        <v>2405</v>
      </c>
      <c r="N2368">
        <v>0</v>
      </c>
      <c r="O2368">
        <v>0</v>
      </c>
      <c r="P2368">
        <v>1</v>
      </c>
      <c r="Q2368">
        <v>0</v>
      </c>
    </row>
    <row r="2369" spans="1:17" x14ac:dyDescent="0.2">
      <c r="A2369" s="1" t="str">
        <f>HYPERLINK("http://www.twitter.com/Ugo_Roux/status/715540988815622145", "715540988815622145")</f>
        <v>715540988815622145</v>
      </c>
      <c r="B2369" t="s">
        <v>130</v>
      </c>
      <c r="C2369" s="3">
        <v>42460.588425925933</v>
      </c>
      <c r="D2369" s="5" t="s">
        <v>41</v>
      </c>
      <c r="E2369">
        <v>0</v>
      </c>
      <c r="F2369">
        <v>0</v>
      </c>
      <c r="G2369">
        <v>0</v>
      </c>
      <c r="I2369" t="s">
        <v>2406</v>
      </c>
      <c r="N2369">
        <v>0</v>
      </c>
      <c r="O2369">
        <v>0</v>
      </c>
      <c r="P2369">
        <v>1</v>
      </c>
      <c r="Q2369">
        <v>0</v>
      </c>
    </row>
    <row r="2370" spans="1:17" x14ac:dyDescent="0.2">
      <c r="A2370" s="1" t="str">
        <f>HYPERLINK("http://www.twitter.com/Ugo_Roux/status/715118213206515712", "715118213206515712")</f>
        <v>715118213206515712</v>
      </c>
      <c r="B2370" t="s">
        <v>16</v>
      </c>
      <c r="C2370" s="3">
        <v>42459.421782407408</v>
      </c>
      <c r="D2370" s="3" t="s">
        <v>17</v>
      </c>
      <c r="E2370">
        <v>4</v>
      </c>
      <c r="F2370">
        <v>0</v>
      </c>
      <c r="G2370">
        <v>0</v>
      </c>
      <c r="I2370" t="s">
        <v>2407</v>
      </c>
      <c r="N2370">
        <v>0</v>
      </c>
      <c r="O2370">
        <v>0</v>
      </c>
      <c r="P2370">
        <v>1</v>
      </c>
      <c r="Q2370">
        <v>0</v>
      </c>
    </row>
    <row r="2371" spans="1:17" x14ac:dyDescent="0.2">
      <c r="A2371" s="1" t="str">
        <f>HYPERLINK("http://www.twitter.com/Ugo_Roux/status/714377497127882752", "714377497127882752")</f>
        <v>714377497127882752</v>
      </c>
      <c r="B2371" t="s">
        <v>16</v>
      </c>
      <c r="C2371" s="3">
        <v>42457.377800925933</v>
      </c>
      <c r="D2371" s="3" t="s">
        <v>41</v>
      </c>
      <c r="E2371">
        <v>6</v>
      </c>
      <c r="F2371">
        <v>0</v>
      </c>
      <c r="G2371">
        <v>0</v>
      </c>
      <c r="I2371" t="s">
        <v>2408</v>
      </c>
      <c r="N2371">
        <v>0</v>
      </c>
      <c r="O2371">
        <v>0</v>
      </c>
      <c r="P2371">
        <v>1</v>
      </c>
      <c r="Q2371">
        <v>0</v>
      </c>
    </row>
    <row r="2372" spans="1:17" x14ac:dyDescent="0.2">
      <c r="A2372" s="1" t="str">
        <f>HYPERLINK("http://www.twitter.com/Ugo_Roux/status/713466181378777088", "713466181378777088")</f>
        <v>713466181378777088</v>
      </c>
      <c r="B2372" t="s">
        <v>16</v>
      </c>
      <c r="C2372" s="3">
        <v>42454.863043981481</v>
      </c>
      <c r="D2372" s="3" t="s">
        <v>28</v>
      </c>
      <c r="E2372">
        <v>2</v>
      </c>
      <c r="F2372">
        <v>0</v>
      </c>
      <c r="G2372">
        <v>0</v>
      </c>
      <c r="I2372" t="s">
        <v>2409</v>
      </c>
      <c r="N2372">
        <v>0</v>
      </c>
      <c r="O2372">
        <v>0</v>
      </c>
      <c r="P2372">
        <v>1</v>
      </c>
      <c r="Q2372">
        <v>0</v>
      </c>
    </row>
    <row r="2373" spans="1:17" x14ac:dyDescent="0.2">
      <c r="A2373" s="1" t="str">
        <f>HYPERLINK("http://www.twitter.com/Ugo_Roux/status/713353055593312256", "713353055593312256")</f>
        <v>713353055593312256</v>
      </c>
      <c r="B2373" t="s">
        <v>97</v>
      </c>
      <c r="C2373" s="3">
        <v>42454.550879629627</v>
      </c>
      <c r="D2373" s="5" t="s">
        <v>41</v>
      </c>
      <c r="E2373">
        <v>0</v>
      </c>
      <c r="F2373">
        <v>0</v>
      </c>
      <c r="G2373">
        <v>0</v>
      </c>
      <c r="I2373" t="s">
        <v>2410</v>
      </c>
      <c r="J2373" t="str">
        <f>HYPERLINK("http://pbs.twimg.com/media/CeZW0tFUEAAC1wI.jpg", "http://pbs.twimg.com/media/CeZW0tFUEAAC1wI.jpg")</f>
        <v>http://pbs.twimg.com/media/CeZW0tFUEAAC1wI.jpg</v>
      </c>
      <c r="N2373">
        <v>0</v>
      </c>
      <c r="O2373">
        <v>0</v>
      </c>
      <c r="P2373">
        <v>1</v>
      </c>
      <c r="Q2373">
        <v>0</v>
      </c>
    </row>
    <row r="2374" spans="1:17" x14ac:dyDescent="0.2">
      <c r="A2374" s="1" t="str">
        <f>HYPERLINK("http://www.twitter.com/Ugo_Roux/status/713321723127590912", "713321723127590912")</f>
        <v>713321723127590912</v>
      </c>
      <c r="B2374" t="s">
        <v>47</v>
      </c>
      <c r="C2374" s="3">
        <v>42454.464421296303</v>
      </c>
      <c r="D2374" s="5" t="s">
        <v>41</v>
      </c>
      <c r="E2374">
        <v>7</v>
      </c>
      <c r="F2374">
        <v>1</v>
      </c>
      <c r="G2374">
        <v>0</v>
      </c>
      <c r="I2374" t="s">
        <v>2411</v>
      </c>
      <c r="J2374" t="str">
        <f>HYPERLINK("http://pbs.twimg.com/media/CeY6UgvWwAAfra8.jpg", "http://pbs.twimg.com/media/CeY6UgvWwAAfra8.jpg")</f>
        <v>http://pbs.twimg.com/media/CeY6UgvWwAAfra8.jpg</v>
      </c>
      <c r="N2374">
        <v>0</v>
      </c>
      <c r="O2374">
        <v>0</v>
      </c>
      <c r="P2374">
        <v>1</v>
      </c>
      <c r="Q2374">
        <v>0</v>
      </c>
    </row>
    <row r="2375" spans="1:17" x14ac:dyDescent="0.2">
      <c r="A2375" s="1" t="str">
        <f>HYPERLINK("http://www.twitter.com/Ugo_Roux/status/713080332325666816", "713080332325666816")</f>
        <v>713080332325666816</v>
      </c>
      <c r="B2375" t="s">
        <v>16</v>
      </c>
      <c r="C2375" s="3">
        <v>42453.798310185193</v>
      </c>
      <c r="D2375" s="3" t="s">
        <v>17</v>
      </c>
      <c r="E2375">
        <v>0</v>
      </c>
      <c r="F2375">
        <v>0</v>
      </c>
      <c r="G2375">
        <v>0</v>
      </c>
      <c r="I2375" t="s">
        <v>2412</v>
      </c>
      <c r="N2375">
        <v>0</v>
      </c>
      <c r="O2375">
        <v>0</v>
      </c>
      <c r="P2375">
        <v>1</v>
      </c>
      <c r="Q2375">
        <v>0</v>
      </c>
    </row>
    <row r="2376" spans="1:17" x14ac:dyDescent="0.2">
      <c r="A2376" s="1" t="str">
        <f>HYPERLINK("http://www.twitter.com/Ugo_Roux/status/713079407448080386", "713079407448080386")</f>
        <v>713079407448080386</v>
      </c>
      <c r="B2376" t="s">
        <v>16</v>
      </c>
      <c r="C2376" s="3">
        <v>42453.795752314807</v>
      </c>
      <c r="D2376" s="3" t="s">
        <v>41</v>
      </c>
      <c r="E2376">
        <v>1</v>
      </c>
      <c r="F2376">
        <v>1</v>
      </c>
      <c r="G2376">
        <v>0</v>
      </c>
      <c r="I2376" t="s">
        <v>2413</v>
      </c>
      <c r="J2376" t="str">
        <f>HYPERLINK("http://pbs.twimg.com/media/CeVd7qNWsAIN46y.jpg", "http://pbs.twimg.com/media/CeVd7qNWsAIN46y.jpg")</f>
        <v>http://pbs.twimg.com/media/CeVd7qNWsAIN46y.jpg</v>
      </c>
      <c r="N2376">
        <v>0</v>
      </c>
      <c r="O2376">
        <v>0</v>
      </c>
      <c r="P2376">
        <v>1</v>
      </c>
      <c r="Q2376">
        <v>0</v>
      </c>
    </row>
    <row r="2377" spans="1:17" x14ac:dyDescent="0.2">
      <c r="A2377" s="1" t="str">
        <f>HYPERLINK("http://www.twitter.com/Ugo_Roux/status/713009735470080002", "713009735470080002")</f>
        <v>713009735470080002</v>
      </c>
      <c r="B2377" t="s">
        <v>47</v>
      </c>
      <c r="C2377" s="3">
        <v>42453.603495370371</v>
      </c>
      <c r="D2377" s="5" t="s">
        <v>17</v>
      </c>
      <c r="E2377">
        <v>1</v>
      </c>
      <c r="F2377">
        <v>0</v>
      </c>
      <c r="G2377">
        <v>0</v>
      </c>
      <c r="I2377" t="s">
        <v>2414</v>
      </c>
      <c r="N2377">
        <v>0</v>
      </c>
      <c r="O2377">
        <v>0</v>
      </c>
      <c r="P2377">
        <v>1</v>
      </c>
      <c r="Q2377">
        <v>0</v>
      </c>
    </row>
    <row r="2378" spans="1:17" x14ac:dyDescent="0.2">
      <c r="A2378" s="1" t="str">
        <f>HYPERLINK("http://www.twitter.com/Ugo_Roux/status/712944238292504577", "712944238292504577")</f>
        <v>712944238292504577</v>
      </c>
      <c r="B2378" t="s">
        <v>16</v>
      </c>
      <c r="C2378" s="3">
        <v>42453.422754629632</v>
      </c>
      <c r="D2378" s="3" t="s">
        <v>17</v>
      </c>
      <c r="E2378">
        <v>2</v>
      </c>
      <c r="F2378">
        <v>0</v>
      </c>
      <c r="G2378">
        <v>0</v>
      </c>
      <c r="I2378" t="s">
        <v>2415</v>
      </c>
      <c r="N2378">
        <v>0.50929999999999997</v>
      </c>
      <c r="O2378">
        <v>0</v>
      </c>
      <c r="P2378">
        <v>0.86399999999999999</v>
      </c>
      <c r="Q2378">
        <v>0.13600000000000001</v>
      </c>
    </row>
    <row r="2379" spans="1:17" x14ac:dyDescent="0.2">
      <c r="A2379" s="1" t="str">
        <f>HYPERLINK("http://www.twitter.com/Ugo_Roux/status/712694595956654081", "712694595956654081")</f>
        <v>712694595956654081</v>
      </c>
      <c r="B2379" t="s">
        <v>47</v>
      </c>
      <c r="C2379" s="3">
        <v>42452.733877314808</v>
      </c>
      <c r="D2379" s="5" t="s">
        <v>17</v>
      </c>
      <c r="E2379">
        <v>4</v>
      </c>
      <c r="F2379">
        <v>1</v>
      </c>
      <c r="G2379">
        <v>0</v>
      </c>
      <c r="I2379" t="s">
        <v>2416</v>
      </c>
      <c r="N2379">
        <v>-0.20030000000000001</v>
      </c>
      <c r="O2379">
        <v>0.16600000000000001</v>
      </c>
      <c r="P2379">
        <v>0.83399999999999996</v>
      </c>
      <c r="Q2379">
        <v>0</v>
      </c>
    </row>
    <row r="2380" spans="1:17" x14ac:dyDescent="0.2">
      <c r="A2380" s="1" t="str">
        <f>HYPERLINK("http://www.twitter.com/Ugo_Roux/status/712639543149772801", "712639543149772801")</f>
        <v>712639543149772801</v>
      </c>
      <c r="B2380" t="s">
        <v>47</v>
      </c>
      <c r="C2380" s="3">
        <v>42452.581956018519</v>
      </c>
      <c r="D2380" s="5" t="s">
        <v>41</v>
      </c>
      <c r="E2380">
        <v>2</v>
      </c>
      <c r="F2380">
        <v>0</v>
      </c>
      <c r="G2380">
        <v>0</v>
      </c>
      <c r="I2380" t="s">
        <v>2417</v>
      </c>
      <c r="J2380" t="str">
        <f>HYPERLINK("http://pbs.twimg.com/media/CePN1c-W8AAh2LO.jpg", "http://pbs.twimg.com/media/CePN1c-W8AAh2LO.jpg")</f>
        <v>http://pbs.twimg.com/media/CePN1c-W8AAh2LO.jpg</v>
      </c>
      <c r="N2380">
        <v>0</v>
      </c>
      <c r="O2380">
        <v>0</v>
      </c>
      <c r="P2380">
        <v>1</v>
      </c>
      <c r="Q2380">
        <v>0</v>
      </c>
    </row>
    <row r="2381" spans="1:17" x14ac:dyDescent="0.2">
      <c r="A2381" s="1" t="str">
        <f>HYPERLINK("http://www.twitter.com/Ugo_Roux/status/712282890575306753", "712282890575306753")</f>
        <v>712282890575306753</v>
      </c>
      <c r="B2381" t="s">
        <v>97</v>
      </c>
      <c r="C2381" s="3">
        <v>42451.59778935185</v>
      </c>
      <c r="D2381" s="5" t="s">
        <v>17</v>
      </c>
      <c r="E2381">
        <v>1</v>
      </c>
      <c r="F2381">
        <v>1</v>
      </c>
      <c r="G2381">
        <v>0</v>
      </c>
      <c r="I2381" t="s">
        <v>2418</v>
      </c>
      <c r="J2381" t="str">
        <f>HYPERLINK("http://pbs.twimg.com/media/CeKJg5-UIAAN_PM.jpg", "http://pbs.twimg.com/media/CeKJg5-UIAAN_PM.jpg")</f>
        <v>http://pbs.twimg.com/media/CeKJg5-UIAAN_PM.jpg</v>
      </c>
      <c r="N2381">
        <v>0</v>
      </c>
      <c r="O2381">
        <v>0</v>
      </c>
      <c r="P2381">
        <v>1</v>
      </c>
      <c r="Q2381">
        <v>0</v>
      </c>
    </row>
    <row r="2382" spans="1:17" x14ac:dyDescent="0.2">
      <c r="A2382" s="1" t="str">
        <f>HYPERLINK("http://www.twitter.com/Ugo_Roux/status/711181003922939905", "711181003922939905")</f>
        <v>711181003922939905</v>
      </c>
      <c r="B2382" t="s">
        <v>97</v>
      </c>
      <c r="C2382" s="3">
        <v>42448.557164351849</v>
      </c>
      <c r="D2382" s="5" t="s">
        <v>17</v>
      </c>
      <c r="E2382">
        <v>0</v>
      </c>
      <c r="F2382">
        <v>0</v>
      </c>
      <c r="G2382">
        <v>0</v>
      </c>
      <c r="I2382" t="s">
        <v>2419</v>
      </c>
      <c r="J2382" t="str">
        <f>HYPERLINK("http://pbs.twimg.com/media/Cd6fWp2UMAE29Ij.jpg", "http://pbs.twimg.com/media/Cd6fWp2UMAE29Ij.jpg")</f>
        <v>http://pbs.twimg.com/media/Cd6fWp2UMAE29Ij.jpg</v>
      </c>
      <c r="N2382">
        <v>0</v>
      </c>
      <c r="O2382">
        <v>0</v>
      </c>
      <c r="P2382">
        <v>1</v>
      </c>
      <c r="Q2382">
        <v>0</v>
      </c>
    </row>
    <row r="2383" spans="1:17" x14ac:dyDescent="0.2">
      <c r="A2383" s="1" t="str">
        <f>HYPERLINK("http://www.twitter.com/Ugo_Roux/status/711127871947939840", "711127871947939840")</f>
        <v>711127871947939840</v>
      </c>
      <c r="B2383" t="s">
        <v>16</v>
      </c>
      <c r="C2383" s="3">
        <v>42448.410543981481</v>
      </c>
      <c r="D2383" s="3" t="s">
        <v>17</v>
      </c>
      <c r="E2383">
        <v>6</v>
      </c>
      <c r="F2383">
        <v>0</v>
      </c>
      <c r="G2383">
        <v>0</v>
      </c>
      <c r="I2383" t="s">
        <v>2420</v>
      </c>
      <c r="J2383" t="str">
        <f>HYPERLINK("http://pbs.twimg.com/media/Cd5vB7mW0AEUZVo.jpg", "http://pbs.twimg.com/media/Cd5vB7mW0AEUZVo.jpg")</f>
        <v>http://pbs.twimg.com/media/Cd5vB7mW0AEUZVo.jpg</v>
      </c>
      <c r="K2383" t="str">
        <f>HYPERLINK("http://pbs.twimg.com/media/Cd5vB7ZW8AAdBRH.jpg", "http://pbs.twimg.com/media/Cd5vB7ZW8AAdBRH.jpg")</f>
        <v>http://pbs.twimg.com/media/Cd5vB7ZW8AAdBRH.jpg</v>
      </c>
      <c r="L2383" t="str">
        <f>HYPERLINK("http://pbs.twimg.com/media/Cd5vBs_XIAAT5aP.jpg", "http://pbs.twimg.com/media/Cd5vBs_XIAAT5aP.jpg")</f>
        <v>http://pbs.twimg.com/media/Cd5vBs_XIAAT5aP.jpg</v>
      </c>
      <c r="N2383">
        <v>0</v>
      </c>
      <c r="O2383">
        <v>0</v>
      </c>
      <c r="P2383">
        <v>1</v>
      </c>
      <c r="Q2383">
        <v>0</v>
      </c>
    </row>
    <row r="2384" spans="1:17" x14ac:dyDescent="0.2">
      <c r="A2384" s="1" t="str">
        <f>HYPERLINK("http://www.twitter.com/Ugo_Roux/status/710766336427753472", "710766336427753472")</f>
        <v>710766336427753472</v>
      </c>
      <c r="B2384" t="s">
        <v>97</v>
      </c>
      <c r="C2384" s="3">
        <v>42447.412893518522</v>
      </c>
      <c r="D2384" s="5" t="s">
        <v>41</v>
      </c>
      <c r="E2384">
        <v>0</v>
      </c>
      <c r="F2384">
        <v>0</v>
      </c>
      <c r="G2384">
        <v>0</v>
      </c>
      <c r="I2384" t="s">
        <v>2421</v>
      </c>
      <c r="J2384" t="str">
        <f>HYPERLINK("http://pbs.twimg.com/media/Cd0mN0pUsAAPZ_J.jpg", "http://pbs.twimg.com/media/Cd0mN0pUsAAPZ_J.jpg")</f>
        <v>http://pbs.twimg.com/media/Cd0mN0pUsAAPZ_J.jpg</v>
      </c>
      <c r="N2384">
        <v>0</v>
      </c>
      <c r="O2384">
        <v>0</v>
      </c>
      <c r="P2384">
        <v>1</v>
      </c>
      <c r="Q2384">
        <v>0</v>
      </c>
    </row>
    <row r="2385" spans="1:17" x14ac:dyDescent="0.2">
      <c r="A2385" s="1" t="str">
        <f>HYPERLINK("http://www.twitter.com/Ugo_Roux/status/710095375919673344", "710095375919673344")</f>
        <v>710095375919673344</v>
      </c>
      <c r="B2385" t="s">
        <v>16</v>
      </c>
      <c r="C2385" s="3">
        <v>42445.561400462961</v>
      </c>
      <c r="D2385" s="3" t="s">
        <v>17</v>
      </c>
      <c r="E2385">
        <v>1</v>
      </c>
      <c r="F2385">
        <v>0</v>
      </c>
      <c r="G2385">
        <v>0</v>
      </c>
      <c r="I2385" t="s">
        <v>2422</v>
      </c>
      <c r="J2385" t="str">
        <f>HYPERLINK("http://pbs.twimg.com/media/CdrD-toWIAAJ1_m.jpg", "http://pbs.twimg.com/media/CdrD-toWIAAJ1_m.jpg")</f>
        <v>http://pbs.twimg.com/media/CdrD-toWIAAJ1_m.jpg</v>
      </c>
      <c r="N2385">
        <v>0</v>
      </c>
      <c r="O2385">
        <v>0</v>
      </c>
      <c r="P2385">
        <v>1</v>
      </c>
      <c r="Q2385">
        <v>0</v>
      </c>
    </row>
    <row r="2386" spans="1:17" x14ac:dyDescent="0.2">
      <c r="A2386" s="1" t="str">
        <f>HYPERLINK("http://www.twitter.com/Ugo_Roux/status/710085704651554816", "710085704651554816")</f>
        <v>710085704651554816</v>
      </c>
      <c r="B2386" t="s">
        <v>47</v>
      </c>
      <c r="C2386" s="3">
        <v>42445.534710648149</v>
      </c>
      <c r="D2386" s="5" t="s">
        <v>625</v>
      </c>
      <c r="E2386">
        <v>1</v>
      </c>
      <c r="F2386">
        <v>1</v>
      </c>
      <c r="G2386">
        <v>0</v>
      </c>
      <c r="I2386" t="s">
        <v>2423</v>
      </c>
      <c r="N2386">
        <v>0</v>
      </c>
      <c r="O2386">
        <v>0</v>
      </c>
      <c r="P2386">
        <v>1</v>
      </c>
      <c r="Q2386">
        <v>0</v>
      </c>
    </row>
    <row r="2387" spans="1:17" x14ac:dyDescent="0.2">
      <c r="A2387" s="1" t="str">
        <f>HYPERLINK("http://www.twitter.com/Ugo_Roux/status/710034511170502657", "710034511170502657")</f>
        <v>710034511170502657</v>
      </c>
      <c r="B2387" t="s">
        <v>16</v>
      </c>
      <c r="C2387" s="3">
        <v>42445.393437500003</v>
      </c>
      <c r="D2387" s="3" t="s">
        <v>28</v>
      </c>
      <c r="E2387">
        <v>0</v>
      </c>
      <c r="F2387">
        <v>1</v>
      </c>
      <c r="G2387">
        <v>0</v>
      </c>
      <c r="I2387" t="s">
        <v>2424</v>
      </c>
      <c r="J2387" t="str">
        <f>HYPERLINK("http://pbs.twimg.com/media/CdqMmfaUMAA08DM.jpg", "http://pbs.twimg.com/media/CdqMmfaUMAA08DM.jpg")</f>
        <v>http://pbs.twimg.com/media/CdqMmfaUMAA08DM.jpg</v>
      </c>
      <c r="N2387">
        <v>0</v>
      </c>
      <c r="O2387">
        <v>0</v>
      </c>
      <c r="P2387">
        <v>1</v>
      </c>
      <c r="Q2387">
        <v>0</v>
      </c>
    </row>
    <row r="2388" spans="1:17" x14ac:dyDescent="0.2">
      <c r="A2388" s="1" t="str">
        <f>HYPERLINK("http://www.twitter.com/Ugo_Roux/status/710024635585335296", "710024635585335296")</f>
        <v>710024635585335296</v>
      </c>
      <c r="B2388" t="s">
        <v>414</v>
      </c>
      <c r="C2388" s="3">
        <v>42445.36619212963</v>
      </c>
      <c r="D2388" s="5" t="s">
        <v>28</v>
      </c>
      <c r="E2388">
        <v>0</v>
      </c>
      <c r="F2388">
        <v>0</v>
      </c>
      <c r="G2388">
        <v>0</v>
      </c>
      <c r="I2388" t="s">
        <v>2425</v>
      </c>
      <c r="J2388" t="str">
        <f>HYPERLINK("http://pbs.twimg.com/media/CdqDpJ4WoAEg40n.jpg", "http://pbs.twimg.com/media/CdqDpJ4WoAEg40n.jpg")</f>
        <v>http://pbs.twimg.com/media/CdqDpJ4WoAEg40n.jpg</v>
      </c>
      <c r="K2388" t="str">
        <f>HYPERLINK("http://pbs.twimg.com/media/CdqDpJYW4AES2wi.jpg", "http://pbs.twimg.com/media/CdqDpJYW4AES2wi.jpg")</f>
        <v>http://pbs.twimg.com/media/CdqDpJYW4AES2wi.jpg</v>
      </c>
      <c r="L2388" t="str">
        <f>HYPERLINK("http://pbs.twimg.com/media/CdqDpKSW0AAVXFB.jpg", "http://pbs.twimg.com/media/CdqDpKSW0AAVXFB.jpg")</f>
        <v>http://pbs.twimg.com/media/CdqDpKSW0AAVXFB.jpg</v>
      </c>
      <c r="M2388" t="str">
        <f>HYPERLINK("http://pbs.twimg.com/media/CdqDpKvW4AAWgp7.jpg", "http://pbs.twimg.com/media/CdqDpKvW4AAWgp7.jpg")</f>
        <v>http://pbs.twimg.com/media/CdqDpKvW4AAWgp7.jpg</v>
      </c>
      <c r="N2388">
        <v>0</v>
      </c>
      <c r="O2388">
        <v>0</v>
      </c>
      <c r="P2388">
        <v>1</v>
      </c>
      <c r="Q2388">
        <v>0</v>
      </c>
    </row>
    <row r="2389" spans="1:17" x14ac:dyDescent="0.2">
      <c r="A2389" s="1" t="str">
        <f>HYPERLINK("http://www.twitter.com/Ugo_Roux/status/709725228004458496", "709725228004458496")</f>
        <v>709725228004458496</v>
      </c>
      <c r="B2389" t="s">
        <v>16</v>
      </c>
      <c r="C2389" s="3">
        <v>42444.539988425917</v>
      </c>
      <c r="D2389" s="3" t="s">
        <v>17</v>
      </c>
      <c r="E2389">
        <v>1</v>
      </c>
      <c r="F2389">
        <v>0</v>
      </c>
      <c r="G2389">
        <v>0</v>
      </c>
      <c r="I2389" t="s">
        <v>2426</v>
      </c>
      <c r="J2389" t="str">
        <f>HYPERLINK("http://pbs.twimg.com/media/CdlzTdAVAAALuOi.jpg", "http://pbs.twimg.com/media/CdlzTdAVAAALuOi.jpg")</f>
        <v>http://pbs.twimg.com/media/CdlzTdAVAAALuOi.jpg</v>
      </c>
      <c r="N2389">
        <v>0.54110000000000003</v>
      </c>
      <c r="O2389">
        <v>0</v>
      </c>
      <c r="P2389">
        <v>0.78800000000000003</v>
      </c>
      <c r="Q2389">
        <v>0.21199999999999999</v>
      </c>
    </row>
    <row r="2390" spans="1:17" x14ac:dyDescent="0.2">
      <c r="A2390" s="1" t="str">
        <f>HYPERLINK("http://www.twitter.com/Ugo_Roux/status/709710799909076992", "709710799909076992")</f>
        <v>709710799909076992</v>
      </c>
      <c r="B2390" t="s">
        <v>16</v>
      </c>
      <c r="C2390" s="3">
        <v>42444.500173611108</v>
      </c>
      <c r="D2390" s="3" t="s">
        <v>17</v>
      </c>
      <c r="E2390">
        <v>11</v>
      </c>
      <c r="F2390">
        <v>9</v>
      </c>
      <c r="G2390">
        <v>1</v>
      </c>
      <c r="I2390" t="s">
        <v>2427</v>
      </c>
      <c r="J2390" t="str">
        <f>HYPERLINK("http://pbs.twimg.com/media/CdlmNgBW4AEU7Gr.jpg", "http://pbs.twimg.com/media/CdlmNgBW4AEU7Gr.jpg")</f>
        <v>http://pbs.twimg.com/media/CdlmNgBW4AEU7Gr.jpg</v>
      </c>
      <c r="N2390">
        <v>0</v>
      </c>
      <c r="O2390">
        <v>0</v>
      </c>
      <c r="P2390">
        <v>1</v>
      </c>
      <c r="Q2390">
        <v>0</v>
      </c>
    </row>
    <row r="2391" spans="1:17" x14ac:dyDescent="0.2">
      <c r="A2391" s="1" t="str">
        <f>HYPERLINK("http://www.twitter.com/Ugo_Roux/status/709697988445085697", "709697988445085697")</f>
        <v>709697988445085697</v>
      </c>
      <c r="B2391" t="s">
        <v>97</v>
      </c>
      <c r="C2391" s="3">
        <v>42444.464814814812</v>
      </c>
      <c r="D2391" s="5" t="s">
        <v>28</v>
      </c>
      <c r="E2391">
        <v>0</v>
      </c>
      <c r="F2391">
        <v>0</v>
      </c>
      <c r="G2391">
        <v>0</v>
      </c>
      <c r="I2391" t="s">
        <v>2428</v>
      </c>
      <c r="J2391" t="str">
        <f>HYPERLINK("http://pbs.twimg.com/media/CdlajyuUsAEeW47.jpg", "http://pbs.twimg.com/media/CdlajyuUsAEeW47.jpg")</f>
        <v>http://pbs.twimg.com/media/CdlajyuUsAEeW47.jpg</v>
      </c>
      <c r="N2391">
        <v>0</v>
      </c>
      <c r="O2391">
        <v>0</v>
      </c>
      <c r="P2391">
        <v>1</v>
      </c>
      <c r="Q2391">
        <v>0</v>
      </c>
    </row>
    <row r="2392" spans="1:17" x14ac:dyDescent="0.2">
      <c r="A2392" s="1" t="str">
        <f>HYPERLINK("http://www.twitter.com/Ugo_Roux/status/708685551755460608", "708685551755460608")</f>
        <v>708685551755460608</v>
      </c>
      <c r="B2392" t="s">
        <v>47</v>
      </c>
      <c r="C2392" s="3">
        <v>42441.671018518522</v>
      </c>
      <c r="D2392" s="5" t="s">
        <v>41</v>
      </c>
      <c r="E2392">
        <v>5</v>
      </c>
      <c r="F2392">
        <v>1</v>
      </c>
      <c r="G2392">
        <v>0</v>
      </c>
      <c r="I2392" t="s">
        <v>2429</v>
      </c>
      <c r="J2392" t="str">
        <f>HYPERLINK("http://pbs.twimg.com/media/CdXBv05WAAAyQnA.jpg", "http://pbs.twimg.com/media/CdXBv05WAAAyQnA.jpg")</f>
        <v>http://pbs.twimg.com/media/CdXBv05WAAAyQnA.jpg</v>
      </c>
      <c r="K2392" t="str">
        <f>HYPERLINK("http://pbs.twimg.com/media/CdXBwLwWIAAQka5.jpg", "http://pbs.twimg.com/media/CdXBwLwWIAAQka5.jpg")</f>
        <v>http://pbs.twimg.com/media/CdXBwLwWIAAQka5.jpg</v>
      </c>
      <c r="N2392">
        <v>0</v>
      </c>
      <c r="O2392">
        <v>0</v>
      </c>
      <c r="P2392">
        <v>1</v>
      </c>
      <c r="Q2392">
        <v>0</v>
      </c>
    </row>
    <row r="2393" spans="1:17" x14ac:dyDescent="0.2">
      <c r="A2393" s="1" t="str">
        <f>HYPERLINK("http://www.twitter.com/Ugo_Roux/status/708596292000337921", "708596292000337921")</f>
        <v>708596292000337921</v>
      </c>
      <c r="B2393" t="s">
        <v>47</v>
      </c>
      <c r="C2393" s="3">
        <v>42441.424710648149</v>
      </c>
      <c r="D2393" s="5" t="s">
        <v>17</v>
      </c>
      <c r="E2393">
        <v>2</v>
      </c>
      <c r="F2393">
        <v>0</v>
      </c>
      <c r="G2393">
        <v>0</v>
      </c>
      <c r="I2393" t="s">
        <v>2430</v>
      </c>
      <c r="N2393">
        <v>0.45879999999999999</v>
      </c>
      <c r="O2393">
        <v>0</v>
      </c>
      <c r="P2393">
        <v>0.66700000000000004</v>
      </c>
      <c r="Q2393">
        <v>0.33300000000000002</v>
      </c>
    </row>
    <row r="2394" spans="1:17" x14ac:dyDescent="0.2">
      <c r="A2394" s="1" t="str">
        <f>HYPERLINK("http://www.twitter.com/Ugo_Roux/status/708275639695048708", "708275639695048708")</f>
        <v>708275639695048708</v>
      </c>
      <c r="B2394" t="s">
        <v>16</v>
      </c>
      <c r="C2394" s="3">
        <v>42440.539884259262</v>
      </c>
      <c r="D2394" s="3" t="s">
        <v>28</v>
      </c>
      <c r="E2394">
        <v>1</v>
      </c>
      <c r="F2394">
        <v>1</v>
      </c>
      <c r="G2394">
        <v>0</v>
      </c>
      <c r="I2394" t="s">
        <v>2431</v>
      </c>
      <c r="J2394" t="str">
        <f>HYPERLINK("http://pbs.twimg.com/media/CdRM8KYXEAAuwAd.jpg", "http://pbs.twimg.com/media/CdRM8KYXEAAuwAd.jpg")</f>
        <v>http://pbs.twimg.com/media/CdRM8KYXEAAuwAd.jpg</v>
      </c>
      <c r="N2394">
        <v>0.49390000000000001</v>
      </c>
      <c r="O2394">
        <v>0</v>
      </c>
      <c r="P2394">
        <v>0.84199999999999997</v>
      </c>
      <c r="Q2394">
        <v>0.158</v>
      </c>
    </row>
    <row r="2395" spans="1:17" x14ac:dyDescent="0.2">
      <c r="A2395" s="1" t="str">
        <f>HYPERLINK("http://www.twitter.com/Ugo_Roux/status/708260199241551872", "708260199241551872")</f>
        <v>708260199241551872</v>
      </c>
      <c r="B2395" t="s">
        <v>16</v>
      </c>
      <c r="C2395" s="3">
        <v>42440.49726851852</v>
      </c>
      <c r="D2395" s="3" t="s">
        <v>41</v>
      </c>
      <c r="E2395">
        <v>1</v>
      </c>
      <c r="F2395">
        <v>1</v>
      </c>
      <c r="G2395">
        <v>1</v>
      </c>
      <c r="I2395" t="s">
        <v>2432</v>
      </c>
      <c r="N2395">
        <v>0</v>
      </c>
      <c r="O2395">
        <v>0</v>
      </c>
      <c r="P2395">
        <v>1</v>
      </c>
      <c r="Q2395">
        <v>0</v>
      </c>
    </row>
    <row r="2396" spans="1:17" x14ac:dyDescent="0.2">
      <c r="A2396" s="1" t="str">
        <f>HYPERLINK("http://www.twitter.com/Ugo_Roux/status/708215318267564033", "708215318267564033")</f>
        <v>708215318267564033</v>
      </c>
      <c r="B2396" t="s">
        <v>370</v>
      </c>
      <c r="C2396" s="3">
        <v>42440.373425925929</v>
      </c>
      <c r="D2396" s="3" t="s">
        <v>41</v>
      </c>
      <c r="E2396">
        <v>1</v>
      </c>
      <c r="F2396">
        <v>0</v>
      </c>
      <c r="G2396">
        <v>0</v>
      </c>
      <c r="I2396" t="s">
        <v>2433</v>
      </c>
      <c r="N2396">
        <v>0</v>
      </c>
      <c r="O2396">
        <v>0</v>
      </c>
      <c r="P2396">
        <v>1</v>
      </c>
      <c r="Q2396">
        <v>0</v>
      </c>
    </row>
    <row r="2397" spans="1:17" x14ac:dyDescent="0.2">
      <c r="A2397" s="1" t="str">
        <f>HYPERLINK("http://www.twitter.com/Ugo_Roux/status/707116565326635008", "707116565326635008")</f>
        <v>707116565326635008</v>
      </c>
      <c r="B2397" t="s">
        <v>16</v>
      </c>
      <c r="C2397" s="3">
        <v>42437.341446759259</v>
      </c>
      <c r="D2397" s="3" t="s">
        <v>17</v>
      </c>
      <c r="E2397">
        <v>1</v>
      </c>
      <c r="F2397">
        <v>0</v>
      </c>
      <c r="G2397">
        <v>0</v>
      </c>
      <c r="I2397" t="s">
        <v>2434</v>
      </c>
      <c r="N2397">
        <v>0</v>
      </c>
      <c r="O2397">
        <v>0</v>
      </c>
      <c r="P2397">
        <v>1</v>
      </c>
      <c r="Q2397">
        <v>0</v>
      </c>
    </row>
    <row r="2398" spans="1:17" x14ac:dyDescent="0.2">
      <c r="A2398" s="1" t="str">
        <f>HYPERLINK("http://www.twitter.com/Ugo_Roux/status/705809341924974592", "705809341924974592")</f>
        <v>705809341924974592</v>
      </c>
      <c r="B2398" t="s">
        <v>16</v>
      </c>
      <c r="C2398" s="3">
        <v>42433.734201388892</v>
      </c>
      <c r="D2398" s="3" t="s">
        <v>41</v>
      </c>
      <c r="E2398">
        <v>2</v>
      </c>
      <c r="F2398">
        <v>0</v>
      </c>
      <c r="G2398">
        <v>0</v>
      </c>
      <c r="I2398" t="s">
        <v>2435</v>
      </c>
      <c r="J2398" t="str">
        <f>HYPERLINK("http://pbs.twimg.com/media/CcuJ1DoWoAQU7an.jpg", "http://pbs.twimg.com/media/CcuJ1DoWoAQU7an.jpg")</f>
        <v>http://pbs.twimg.com/media/CcuJ1DoWoAQU7an.jpg</v>
      </c>
      <c r="N2398">
        <v>0</v>
      </c>
      <c r="O2398">
        <v>0</v>
      </c>
      <c r="P2398">
        <v>1</v>
      </c>
      <c r="Q2398">
        <v>0</v>
      </c>
    </row>
    <row r="2399" spans="1:17" x14ac:dyDescent="0.2">
      <c r="A2399" s="1" t="str">
        <f>HYPERLINK("http://www.twitter.com/Ugo_Roux/status/705734497984237568", "705734497984237568")</f>
        <v>705734497984237568</v>
      </c>
      <c r="B2399" t="s">
        <v>130</v>
      </c>
      <c r="C2399" s="3">
        <v>42433.527662037042</v>
      </c>
      <c r="D2399" s="5" t="s">
        <v>28</v>
      </c>
      <c r="E2399">
        <v>0</v>
      </c>
      <c r="F2399">
        <v>0</v>
      </c>
      <c r="G2399">
        <v>0</v>
      </c>
      <c r="I2399" t="s">
        <v>2436</v>
      </c>
      <c r="N2399">
        <v>0</v>
      </c>
      <c r="O2399">
        <v>0</v>
      </c>
      <c r="P2399">
        <v>1</v>
      </c>
      <c r="Q2399">
        <v>0</v>
      </c>
    </row>
    <row r="2400" spans="1:17" x14ac:dyDescent="0.2">
      <c r="A2400" s="1" t="str">
        <f>HYPERLINK("http://www.twitter.com/Ugo_Roux/status/705723234986151936", "705723234986151936")</f>
        <v>705723234986151936</v>
      </c>
      <c r="B2400" t="s">
        <v>16</v>
      </c>
      <c r="C2400" s="3">
        <v>42433.49658564815</v>
      </c>
      <c r="D2400" s="3" t="s">
        <v>28</v>
      </c>
      <c r="E2400">
        <v>0</v>
      </c>
      <c r="F2400">
        <v>0</v>
      </c>
      <c r="G2400">
        <v>1</v>
      </c>
      <c r="I2400" t="s">
        <v>2437</v>
      </c>
      <c r="J2400" t="str">
        <f>HYPERLINK("http://pbs.twimg.com/media/Ccs7ispXEAAuSzA.jpg", "http://pbs.twimg.com/media/Ccs7ispXEAAuSzA.jpg")</f>
        <v>http://pbs.twimg.com/media/Ccs7ispXEAAuSzA.jpg</v>
      </c>
      <c r="N2400">
        <v>0</v>
      </c>
      <c r="O2400">
        <v>0</v>
      </c>
      <c r="P2400">
        <v>1</v>
      </c>
      <c r="Q2400">
        <v>0</v>
      </c>
    </row>
    <row r="2401" spans="1:17" x14ac:dyDescent="0.2">
      <c r="A2401" s="1" t="str">
        <f>HYPERLINK("http://www.twitter.com/Ugo_Roux/status/704671438456889345", "704671438456889345")</f>
        <v>704671438456889345</v>
      </c>
      <c r="B2401" t="s">
        <v>16</v>
      </c>
      <c r="C2401" s="3">
        <v>42430.594178240739</v>
      </c>
      <c r="D2401" s="3" t="s">
        <v>17</v>
      </c>
      <c r="E2401">
        <v>2</v>
      </c>
      <c r="F2401">
        <v>1</v>
      </c>
      <c r="G2401">
        <v>0</v>
      </c>
      <c r="I2401" t="s">
        <v>2438</v>
      </c>
      <c r="N2401">
        <v>-0.44040000000000001</v>
      </c>
      <c r="O2401">
        <v>0.14599999999999999</v>
      </c>
      <c r="P2401">
        <v>0.85399999999999998</v>
      </c>
      <c r="Q2401">
        <v>0</v>
      </c>
    </row>
    <row r="2402" spans="1:17" x14ac:dyDescent="0.2">
      <c r="A2402" s="1" t="str">
        <f>HYPERLINK("http://www.twitter.com/Ugo_Roux/status/704664734386233345", "704664734386233345")</f>
        <v>704664734386233345</v>
      </c>
      <c r="B2402" t="s">
        <v>414</v>
      </c>
      <c r="C2402" s="3">
        <v>42430.575682870367</v>
      </c>
      <c r="D2402" s="5" t="s">
        <v>28</v>
      </c>
      <c r="E2402">
        <v>1</v>
      </c>
      <c r="F2402">
        <v>0</v>
      </c>
      <c r="G2402">
        <v>0</v>
      </c>
      <c r="I2402" t="s">
        <v>2439</v>
      </c>
      <c r="J2402" t="str">
        <f>HYPERLINK("http://pbs.twimg.com/media/Ccd413BWEAAhgGj.jpg", "http://pbs.twimg.com/media/Ccd413BWEAAhgGj.jpg")</f>
        <v>http://pbs.twimg.com/media/Ccd413BWEAAhgGj.jpg</v>
      </c>
      <c r="N2402">
        <v>0</v>
      </c>
      <c r="O2402">
        <v>0</v>
      </c>
      <c r="P2402">
        <v>1</v>
      </c>
      <c r="Q2402">
        <v>0</v>
      </c>
    </row>
    <row r="2403" spans="1:17" x14ac:dyDescent="0.2">
      <c r="A2403" s="1" t="str">
        <f>HYPERLINK("http://www.twitter.com/Ugo_Roux/status/704663150839341056", "704663150839341056")</f>
        <v>704663150839341056</v>
      </c>
      <c r="B2403" t="s">
        <v>414</v>
      </c>
      <c r="C2403" s="3">
        <v>42430.57130787037</v>
      </c>
      <c r="D2403" s="5" t="s">
        <v>28</v>
      </c>
      <c r="E2403">
        <v>1</v>
      </c>
      <c r="F2403">
        <v>0</v>
      </c>
      <c r="G2403">
        <v>0</v>
      </c>
      <c r="I2403" t="s">
        <v>2440</v>
      </c>
      <c r="J2403" t="str">
        <f>HYPERLINK("http://pbs.twimg.com/media/Ccd3ZqMW8AApiQT.jpg", "http://pbs.twimg.com/media/Ccd3ZqMW8AApiQT.jpg")</f>
        <v>http://pbs.twimg.com/media/Ccd3ZqMW8AApiQT.jpg</v>
      </c>
      <c r="N2403">
        <v>0</v>
      </c>
      <c r="O2403">
        <v>0</v>
      </c>
      <c r="P2403">
        <v>1</v>
      </c>
      <c r="Q2403">
        <v>0</v>
      </c>
    </row>
    <row r="2404" spans="1:17" x14ac:dyDescent="0.2">
      <c r="A2404" s="1" t="str">
        <f>HYPERLINK("http://www.twitter.com/Ugo_Roux/status/703607337437806593", "703607337437806593")</f>
        <v>703607337437806593</v>
      </c>
      <c r="B2404" t="s">
        <v>130</v>
      </c>
      <c r="C2404" s="3">
        <v>42427.657824074071</v>
      </c>
      <c r="D2404" s="5" t="s">
        <v>41</v>
      </c>
      <c r="E2404">
        <v>0</v>
      </c>
      <c r="F2404">
        <v>0</v>
      </c>
      <c r="G2404">
        <v>0</v>
      </c>
      <c r="I2404" t="s">
        <v>2441</v>
      </c>
      <c r="N2404">
        <v>0</v>
      </c>
      <c r="O2404">
        <v>0</v>
      </c>
      <c r="P2404">
        <v>1</v>
      </c>
      <c r="Q2404">
        <v>0</v>
      </c>
    </row>
    <row r="2405" spans="1:17" x14ac:dyDescent="0.2">
      <c r="A2405" s="1" t="str">
        <f>HYPERLINK("http://www.twitter.com/Ugo_Roux/status/703551218979831809", "703551218979831809")</f>
        <v>703551218979831809</v>
      </c>
      <c r="B2405" t="s">
        <v>47</v>
      </c>
      <c r="C2405" s="3">
        <v>42427.502962962957</v>
      </c>
      <c r="D2405" s="3" t="s">
        <v>17</v>
      </c>
      <c r="E2405">
        <v>2</v>
      </c>
      <c r="F2405">
        <v>0</v>
      </c>
      <c r="G2405">
        <v>0</v>
      </c>
      <c r="I2405" t="s">
        <v>2442</v>
      </c>
      <c r="N2405">
        <v>-0.27139999999999997</v>
      </c>
      <c r="O2405">
        <v>0.11</v>
      </c>
      <c r="P2405">
        <v>0.89</v>
      </c>
      <c r="Q2405">
        <v>0</v>
      </c>
    </row>
    <row r="2406" spans="1:17" x14ac:dyDescent="0.2">
      <c r="A2406" s="1" t="str">
        <f>HYPERLINK("http://www.twitter.com/Ugo_Roux/status/703228042194378752", "703228042194378752")</f>
        <v>703228042194378752</v>
      </c>
      <c r="B2406" t="s">
        <v>16</v>
      </c>
      <c r="C2406" s="3">
        <v>42426.611168981479</v>
      </c>
      <c r="D2406" s="3" t="s">
        <v>28</v>
      </c>
      <c r="E2406">
        <v>1</v>
      </c>
      <c r="F2406">
        <v>2</v>
      </c>
      <c r="G2406">
        <v>0</v>
      </c>
      <c r="I2406" t="s">
        <v>2443</v>
      </c>
      <c r="J2406" t="str">
        <f>HYPERLINK("https://video.twimg.com/ext_tw_video/703225055896068097/pu/vid/480x360/cKG9sF5Fwei2PTTb.mp4", "https://video.twimg.com/ext_tw_video/703225055896068097/pu/vid/480x360/cKG9sF5Fwei2PTTb.mp4")</f>
        <v>https://video.twimg.com/ext_tw_video/703225055896068097/pu/vid/480x360/cKG9sF5Fwei2PTTb.mp4</v>
      </c>
      <c r="N2406">
        <v>0.2263</v>
      </c>
      <c r="O2406">
        <v>0</v>
      </c>
      <c r="P2406">
        <v>0.89900000000000002</v>
      </c>
      <c r="Q2406">
        <v>0.10100000000000001</v>
      </c>
    </row>
    <row r="2407" spans="1:17" x14ac:dyDescent="0.2">
      <c r="A2407" s="1" t="str">
        <f>HYPERLINK("http://www.twitter.com/Ugo_Roux/status/703218390647894017", "703218390647894017")</f>
        <v>703218390647894017</v>
      </c>
      <c r="B2407" t="s">
        <v>16</v>
      </c>
      <c r="C2407" s="3">
        <v>42426.584537037037</v>
      </c>
      <c r="D2407" s="3" t="s">
        <v>24</v>
      </c>
      <c r="E2407">
        <v>2</v>
      </c>
      <c r="F2407">
        <v>0</v>
      </c>
      <c r="G2407">
        <v>0</v>
      </c>
      <c r="I2407" t="s">
        <v>2444</v>
      </c>
      <c r="J2407" t="str">
        <f>HYPERLINK("http://pbs.twimg.com/media/CcJVZhfWIAA-J4t.jpg", "http://pbs.twimg.com/media/CcJVZhfWIAA-J4t.jpg")</f>
        <v>http://pbs.twimg.com/media/CcJVZhfWIAA-J4t.jpg</v>
      </c>
      <c r="N2407">
        <v>0</v>
      </c>
      <c r="O2407">
        <v>0</v>
      </c>
      <c r="P2407">
        <v>1</v>
      </c>
      <c r="Q2407">
        <v>0</v>
      </c>
    </row>
    <row r="2408" spans="1:17" x14ac:dyDescent="0.2">
      <c r="A2408" s="1" t="str">
        <f>HYPERLINK("http://www.twitter.com/Ugo_Roux/status/703162099002798082", "703162099002798082")</f>
        <v>703162099002798082</v>
      </c>
      <c r="B2408" t="s">
        <v>476</v>
      </c>
      <c r="C2408" s="3">
        <v>42426.429201388892</v>
      </c>
      <c r="D2408" s="5" t="s">
        <v>28</v>
      </c>
      <c r="E2408">
        <v>0</v>
      </c>
      <c r="F2408">
        <v>0</v>
      </c>
      <c r="G2408">
        <v>0</v>
      </c>
      <c r="I2408" t="s">
        <v>2445</v>
      </c>
      <c r="J2408" t="str">
        <f>HYPERLINK("http://pbs.twimg.com/media/CcIiM5uVAAA5omQ.jpg", "http://pbs.twimg.com/media/CcIiM5uVAAA5omQ.jpg")</f>
        <v>http://pbs.twimg.com/media/CcIiM5uVAAA5omQ.jpg</v>
      </c>
      <c r="N2408">
        <v>0</v>
      </c>
      <c r="O2408">
        <v>0</v>
      </c>
      <c r="P2408">
        <v>1</v>
      </c>
      <c r="Q2408">
        <v>0</v>
      </c>
    </row>
    <row r="2409" spans="1:17" x14ac:dyDescent="0.2">
      <c r="A2409" s="1" t="str">
        <f>HYPERLINK("http://www.twitter.com/Ugo_Roux/status/703144714761928710", "703144714761928710")</f>
        <v>703144714761928710</v>
      </c>
      <c r="B2409" t="s">
        <v>414</v>
      </c>
      <c r="C2409" s="3">
        <v>42426.381226851852</v>
      </c>
      <c r="D2409" s="5" t="s">
        <v>28</v>
      </c>
      <c r="E2409">
        <v>0</v>
      </c>
      <c r="F2409">
        <v>0</v>
      </c>
      <c r="G2409">
        <v>0</v>
      </c>
      <c r="I2409" t="s">
        <v>2446</v>
      </c>
      <c r="J2409" t="str">
        <f>HYPERLINK("http://pbs.twimg.com/media/CcISZEKVIAALPWo.jpg", "http://pbs.twimg.com/media/CcISZEKVIAALPWo.jpg")</f>
        <v>http://pbs.twimg.com/media/CcISZEKVIAALPWo.jpg</v>
      </c>
      <c r="N2409">
        <v>0</v>
      </c>
      <c r="O2409">
        <v>0</v>
      </c>
      <c r="P2409">
        <v>1</v>
      </c>
      <c r="Q2409">
        <v>0</v>
      </c>
    </row>
    <row r="2410" spans="1:17" x14ac:dyDescent="0.2">
      <c r="A2410" s="1" t="str">
        <f>HYPERLINK("http://www.twitter.com/Ugo_Roux/status/703143831244419078", "703143831244419078")</f>
        <v>703143831244419078</v>
      </c>
      <c r="B2410" t="s">
        <v>414</v>
      </c>
      <c r="C2410" s="3">
        <v>42426.378784722219</v>
      </c>
      <c r="D2410" s="5" t="s">
        <v>28</v>
      </c>
      <c r="E2410">
        <v>0</v>
      </c>
      <c r="F2410">
        <v>0</v>
      </c>
      <c r="G2410">
        <v>0</v>
      </c>
      <c r="I2410" t="s">
        <v>2447</v>
      </c>
      <c r="J2410" t="str">
        <f>HYPERLINK("http://pbs.twimg.com/media/CcIRlo3UkAET7yc.png", "http://pbs.twimg.com/media/CcIRlo3UkAET7yc.png")</f>
        <v>http://pbs.twimg.com/media/CcIRlo3UkAET7yc.png</v>
      </c>
      <c r="N2410">
        <v>0</v>
      </c>
      <c r="O2410">
        <v>0</v>
      </c>
      <c r="P2410">
        <v>1</v>
      </c>
      <c r="Q2410">
        <v>0</v>
      </c>
    </row>
    <row r="2411" spans="1:17" x14ac:dyDescent="0.2">
      <c r="A2411" s="1" t="str">
        <f>HYPERLINK("http://www.twitter.com/Ugo_Roux/status/703142508138594305", "703142508138594305")</f>
        <v>703142508138594305</v>
      </c>
      <c r="B2411" t="s">
        <v>414</v>
      </c>
      <c r="C2411" s="3">
        <v>42426.375138888892</v>
      </c>
      <c r="D2411" s="5" t="s">
        <v>28</v>
      </c>
      <c r="E2411">
        <v>0</v>
      </c>
      <c r="F2411">
        <v>0</v>
      </c>
      <c r="G2411">
        <v>0</v>
      </c>
      <c r="I2411" t="s">
        <v>2448</v>
      </c>
      <c r="N2411">
        <v>0</v>
      </c>
      <c r="O2411">
        <v>0</v>
      </c>
      <c r="P2411">
        <v>1</v>
      </c>
      <c r="Q2411">
        <v>0</v>
      </c>
    </row>
    <row r="2412" spans="1:17" x14ac:dyDescent="0.2">
      <c r="A2412" s="1" t="str">
        <f>HYPERLINK("http://www.twitter.com/Ugo_Roux/status/702797889001619456", "702797889001619456")</f>
        <v>702797889001619456</v>
      </c>
      <c r="B2412" t="s">
        <v>16</v>
      </c>
      <c r="C2412" s="3">
        <v>42425.424166666657</v>
      </c>
      <c r="D2412" s="3" t="s">
        <v>17</v>
      </c>
      <c r="E2412">
        <v>2</v>
      </c>
      <c r="F2412">
        <v>2</v>
      </c>
      <c r="G2412">
        <v>1</v>
      </c>
      <c r="I2412" t="s">
        <v>2449</v>
      </c>
      <c r="J2412" t="str">
        <f>HYPERLINK("http://pbs.twimg.com/media/CcDW5zGWoAAJJ9s.jpg", "http://pbs.twimg.com/media/CcDW5zGWoAAJJ9s.jpg")</f>
        <v>http://pbs.twimg.com/media/CcDW5zGWoAAJJ9s.jpg</v>
      </c>
      <c r="K2412" t="str">
        <f>HYPERLINK("http://pbs.twimg.com/media/CcDW5zUWwAA6H7J.jpg", "http://pbs.twimg.com/media/CcDW5zUWwAA6H7J.jpg")</f>
        <v>http://pbs.twimg.com/media/CcDW5zUWwAA6H7J.jpg</v>
      </c>
      <c r="N2412">
        <v>0</v>
      </c>
      <c r="O2412">
        <v>0</v>
      </c>
      <c r="P2412">
        <v>1</v>
      </c>
      <c r="Q2412">
        <v>0</v>
      </c>
    </row>
    <row r="2413" spans="1:17" x14ac:dyDescent="0.2">
      <c r="A2413" s="1" t="str">
        <f>HYPERLINK("http://www.twitter.com/Ugo_Roux/status/702795255654051840", "702795255654051840")</f>
        <v>702795255654051840</v>
      </c>
      <c r="B2413" t="s">
        <v>414</v>
      </c>
      <c r="C2413" s="3">
        <v>42425.416898148149</v>
      </c>
      <c r="D2413" s="5" t="s">
        <v>28</v>
      </c>
      <c r="E2413">
        <v>0</v>
      </c>
      <c r="F2413">
        <v>0</v>
      </c>
      <c r="G2413">
        <v>0</v>
      </c>
      <c r="I2413" t="s">
        <v>2450</v>
      </c>
      <c r="J2413" t="str">
        <f>HYPERLINK("http://pbs.twimg.com/media/CcDUj3oXEAAN3FZ.jpg", "http://pbs.twimg.com/media/CcDUj3oXEAAN3FZ.jpg")</f>
        <v>http://pbs.twimg.com/media/CcDUj3oXEAAN3FZ.jpg</v>
      </c>
      <c r="N2413">
        <v>0</v>
      </c>
      <c r="O2413">
        <v>0</v>
      </c>
      <c r="P2413">
        <v>1</v>
      </c>
      <c r="Q2413">
        <v>0</v>
      </c>
    </row>
    <row r="2414" spans="1:17" x14ac:dyDescent="0.2">
      <c r="A2414" s="1" t="str">
        <f>HYPERLINK("http://www.twitter.com/Ugo_Roux/status/702791151628230656", "702791151628230656")</f>
        <v>702791151628230656</v>
      </c>
      <c r="B2414" t="s">
        <v>130</v>
      </c>
      <c r="C2414" s="3">
        <v>42425.405578703707</v>
      </c>
      <c r="D2414" s="5" t="s">
        <v>28</v>
      </c>
      <c r="E2414">
        <v>0</v>
      </c>
      <c r="F2414">
        <v>0</v>
      </c>
      <c r="G2414">
        <v>0</v>
      </c>
      <c r="I2414" t="s">
        <v>2451</v>
      </c>
      <c r="N2414">
        <v>0</v>
      </c>
      <c r="O2414">
        <v>0</v>
      </c>
      <c r="P2414">
        <v>1</v>
      </c>
      <c r="Q2414">
        <v>0</v>
      </c>
    </row>
    <row r="2415" spans="1:17" x14ac:dyDescent="0.2">
      <c r="A2415" s="1" t="str">
        <f>HYPERLINK("http://www.twitter.com/Ugo_Roux/status/702512230676492288", "702512230676492288")</f>
        <v>702512230676492288</v>
      </c>
      <c r="B2415" t="s">
        <v>16</v>
      </c>
      <c r="C2415" s="3">
        <v>42424.63590277778</v>
      </c>
      <c r="D2415" s="3" t="s">
        <v>17</v>
      </c>
      <c r="E2415">
        <v>1</v>
      </c>
      <c r="F2415">
        <v>2</v>
      </c>
      <c r="G2415">
        <v>0</v>
      </c>
      <c r="I2415" t="s">
        <v>2452</v>
      </c>
      <c r="N2415">
        <v>0</v>
      </c>
      <c r="O2415">
        <v>0</v>
      </c>
      <c r="P2415">
        <v>1</v>
      </c>
      <c r="Q2415">
        <v>0</v>
      </c>
    </row>
    <row r="2416" spans="1:17" x14ac:dyDescent="0.2">
      <c r="A2416" s="1" t="str">
        <f>HYPERLINK("http://www.twitter.com/Ugo_Roux/status/702415648505393152", "702415648505393152")</f>
        <v>702415648505393152</v>
      </c>
      <c r="B2416" t="s">
        <v>476</v>
      </c>
      <c r="C2416" s="3">
        <v>42424.369386574072</v>
      </c>
      <c r="D2416" s="5" t="s">
        <v>17</v>
      </c>
      <c r="E2416">
        <v>0</v>
      </c>
      <c r="F2416">
        <v>0</v>
      </c>
      <c r="G2416">
        <v>0</v>
      </c>
      <c r="I2416" t="s">
        <v>2453</v>
      </c>
      <c r="N2416">
        <v>0</v>
      </c>
      <c r="O2416">
        <v>0</v>
      </c>
      <c r="P2416">
        <v>1</v>
      </c>
      <c r="Q2416">
        <v>0</v>
      </c>
    </row>
    <row r="2417" spans="1:17" x14ac:dyDescent="0.2">
      <c r="A2417" s="1" t="str">
        <f>HYPERLINK("http://www.twitter.com/Ugo_Roux/status/702070450717749248", "702070450717749248")</f>
        <v>702070450717749248</v>
      </c>
      <c r="B2417" t="s">
        <v>97</v>
      </c>
      <c r="C2417" s="3">
        <v>42423.416817129633</v>
      </c>
      <c r="D2417" s="5" t="s">
        <v>28</v>
      </c>
      <c r="E2417">
        <v>0</v>
      </c>
      <c r="F2417">
        <v>0</v>
      </c>
      <c r="G2417">
        <v>0</v>
      </c>
      <c r="I2417" t="s">
        <v>2454</v>
      </c>
      <c r="J2417" t="str">
        <f>HYPERLINK("http://pbs.twimg.com/media/Cb5BWqbUYAAf_52.jpg", "http://pbs.twimg.com/media/Cb5BWqbUYAAf_52.jpg")</f>
        <v>http://pbs.twimg.com/media/Cb5BWqbUYAAf_52.jpg</v>
      </c>
      <c r="N2417">
        <v>0</v>
      </c>
      <c r="O2417">
        <v>0</v>
      </c>
      <c r="P2417">
        <v>1</v>
      </c>
      <c r="Q2417">
        <v>0</v>
      </c>
    </row>
    <row r="2418" spans="1:17" x14ac:dyDescent="0.2">
      <c r="A2418" s="1" t="str">
        <f>HYPERLINK("http://www.twitter.com/Ugo_Roux/status/700711476240187393", "700711476240187393")</f>
        <v>700711476240187393</v>
      </c>
      <c r="B2418" t="s">
        <v>130</v>
      </c>
      <c r="C2418" s="3">
        <v>42419.666770833333</v>
      </c>
      <c r="D2418" s="5" t="s">
        <v>41</v>
      </c>
      <c r="E2418">
        <v>0</v>
      </c>
      <c r="F2418">
        <v>0</v>
      </c>
      <c r="G2418">
        <v>0</v>
      </c>
      <c r="I2418" t="s">
        <v>2455</v>
      </c>
      <c r="N2418">
        <v>0</v>
      </c>
      <c r="O2418">
        <v>0</v>
      </c>
      <c r="P2418">
        <v>1</v>
      </c>
      <c r="Q2418">
        <v>0</v>
      </c>
    </row>
    <row r="2419" spans="1:17" x14ac:dyDescent="0.2">
      <c r="A2419" s="1" t="str">
        <f>HYPERLINK("http://www.twitter.com/Ugo_Roux/status/700696418034397184", "700696418034397184")</f>
        <v>700696418034397184</v>
      </c>
      <c r="B2419" t="s">
        <v>476</v>
      </c>
      <c r="C2419" s="3">
        <v>42419.625219907408</v>
      </c>
      <c r="D2419" s="5" t="s">
        <v>28</v>
      </c>
      <c r="E2419">
        <v>0</v>
      </c>
      <c r="F2419">
        <v>0</v>
      </c>
      <c r="G2419">
        <v>0</v>
      </c>
      <c r="I2419" t="s">
        <v>2456</v>
      </c>
      <c r="N2419">
        <v>0</v>
      </c>
      <c r="O2419">
        <v>0</v>
      </c>
      <c r="P2419">
        <v>1</v>
      </c>
      <c r="Q2419">
        <v>0</v>
      </c>
    </row>
    <row r="2420" spans="1:17" x14ac:dyDescent="0.2">
      <c r="A2420" s="1" t="str">
        <f>HYPERLINK("http://www.twitter.com/Ugo_Roux/status/699991910014816256", "699991910014816256")</f>
        <v>699991910014816256</v>
      </c>
      <c r="B2420" t="s">
        <v>370</v>
      </c>
      <c r="C2420" s="3">
        <v>42417.681145833332</v>
      </c>
      <c r="D2420" s="5" t="s">
        <v>28</v>
      </c>
      <c r="E2420">
        <v>0</v>
      </c>
      <c r="F2420">
        <v>0</v>
      </c>
      <c r="G2420">
        <v>0</v>
      </c>
      <c r="I2420" t="s">
        <v>2457</v>
      </c>
      <c r="J2420" t="str">
        <f>HYPERLINK("http://pbs.twimg.com/media/Cbbe7tjVAAUXgOR.jpg", "http://pbs.twimg.com/media/Cbbe7tjVAAUXgOR.jpg")</f>
        <v>http://pbs.twimg.com/media/Cbbe7tjVAAUXgOR.jpg</v>
      </c>
      <c r="N2420">
        <v>0</v>
      </c>
      <c r="O2420">
        <v>0</v>
      </c>
      <c r="P2420">
        <v>1</v>
      </c>
      <c r="Q2420">
        <v>0</v>
      </c>
    </row>
    <row r="2421" spans="1:17" x14ac:dyDescent="0.2">
      <c r="A2421" s="1" t="str">
        <f>HYPERLINK("http://www.twitter.com/Ugo_Roux/status/699984388428148736", "699984388428148736")</f>
        <v>699984388428148736</v>
      </c>
      <c r="B2421" t="s">
        <v>370</v>
      </c>
      <c r="C2421" s="3">
        <v>42417.660381944443</v>
      </c>
      <c r="D2421" s="5" t="s">
        <v>28</v>
      </c>
      <c r="E2421">
        <v>0</v>
      </c>
      <c r="F2421">
        <v>0</v>
      </c>
      <c r="G2421">
        <v>0</v>
      </c>
      <c r="I2421" t="s">
        <v>2458</v>
      </c>
      <c r="J2421" t="str">
        <f>HYPERLINK("http://pbs.twimg.com/media/CbbYF1_UEAAOZuu.jpg", "http://pbs.twimg.com/media/CbbYF1_UEAAOZuu.jpg")</f>
        <v>http://pbs.twimg.com/media/CbbYF1_UEAAOZuu.jpg</v>
      </c>
      <c r="N2421">
        <v>0</v>
      </c>
      <c r="O2421">
        <v>0</v>
      </c>
      <c r="P2421">
        <v>1</v>
      </c>
      <c r="Q2421">
        <v>0</v>
      </c>
    </row>
    <row r="2422" spans="1:17" x14ac:dyDescent="0.2">
      <c r="A2422" s="1" t="str">
        <f>HYPERLINK("http://www.twitter.com/Ugo_Roux/status/699982232253964288", "699982232253964288")</f>
        <v>699982232253964288</v>
      </c>
      <c r="B2422" t="s">
        <v>370</v>
      </c>
      <c r="C2422" s="3">
        <v>42417.654432870368</v>
      </c>
      <c r="D2422" s="5" t="s">
        <v>17</v>
      </c>
      <c r="E2422">
        <v>0</v>
      </c>
      <c r="F2422">
        <v>0</v>
      </c>
      <c r="G2422">
        <v>0</v>
      </c>
      <c r="I2422" t="s">
        <v>2459</v>
      </c>
      <c r="J2422" t="str">
        <f>HYPERLINK("http://pbs.twimg.com/media/CbbWIWZUcAA9Gen.jpg", "http://pbs.twimg.com/media/CbbWIWZUcAA9Gen.jpg")</f>
        <v>http://pbs.twimg.com/media/CbbWIWZUcAA9Gen.jpg</v>
      </c>
      <c r="N2422">
        <v>0</v>
      </c>
      <c r="O2422">
        <v>0</v>
      </c>
      <c r="P2422">
        <v>1</v>
      </c>
      <c r="Q2422">
        <v>0</v>
      </c>
    </row>
    <row r="2423" spans="1:17" x14ac:dyDescent="0.2">
      <c r="A2423" s="1" t="str">
        <f>HYPERLINK("http://www.twitter.com/Ugo_Roux/status/699981590076616704", "699981590076616704")</f>
        <v>699981590076616704</v>
      </c>
      <c r="B2423" t="s">
        <v>370</v>
      </c>
      <c r="C2423" s="3">
        <v>42417.652662037042</v>
      </c>
      <c r="D2423" s="5" t="s">
        <v>17</v>
      </c>
      <c r="E2423">
        <v>0</v>
      </c>
      <c r="F2423">
        <v>0</v>
      </c>
      <c r="G2423">
        <v>0</v>
      </c>
      <c r="I2423" t="s">
        <v>2460</v>
      </c>
      <c r="N2423">
        <v>0</v>
      </c>
      <c r="O2423">
        <v>0</v>
      </c>
      <c r="P2423">
        <v>1</v>
      </c>
      <c r="Q2423">
        <v>0</v>
      </c>
    </row>
    <row r="2424" spans="1:17" x14ac:dyDescent="0.2">
      <c r="A2424" s="1" t="str">
        <f>HYPERLINK("http://www.twitter.com/Ugo_Roux/status/699605379441827841", "699605379441827841")</f>
        <v>699605379441827841</v>
      </c>
      <c r="B2424" t="s">
        <v>97</v>
      </c>
      <c r="C2424" s="3">
        <v>42416.614525462966</v>
      </c>
      <c r="D2424" s="5" t="s">
        <v>28</v>
      </c>
      <c r="E2424">
        <v>0</v>
      </c>
      <c r="F2424">
        <v>0</v>
      </c>
      <c r="G2424">
        <v>0</v>
      </c>
      <c r="I2424" t="s">
        <v>2461</v>
      </c>
      <c r="J2424" t="str">
        <f>HYPERLINK("http://pbs.twimg.com/media/CbV_YqiVIAAJKDV.jpg", "http://pbs.twimg.com/media/CbV_YqiVIAAJKDV.jpg")</f>
        <v>http://pbs.twimg.com/media/CbV_YqiVIAAJKDV.jpg</v>
      </c>
      <c r="N2424">
        <v>0</v>
      </c>
      <c r="O2424">
        <v>0</v>
      </c>
      <c r="P2424">
        <v>1</v>
      </c>
      <c r="Q2424">
        <v>0</v>
      </c>
    </row>
    <row r="2425" spans="1:17" x14ac:dyDescent="0.2">
      <c r="A2425" s="1" t="str">
        <f>HYPERLINK("http://www.twitter.com/Ugo_Roux/status/699506791927906304", "699506791927906304")</f>
        <v>699506791927906304</v>
      </c>
      <c r="B2425" t="s">
        <v>476</v>
      </c>
      <c r="C2425" s="3">
        <v>42416.342476851853</v>
      </c>
      <c r="D2425" s="5" t="s">
        <v>17</v>
      </c>
      <c r="E2425">
        <v>0</v>
      </c>
      <c r="F2425">
        <v>0</v>
      </c>
      <c r="G2425">
        <v>0</v>
      </c>
      <c r="I2425" t="s">
        <v>2462</v>
      </c>
      <c r="N2425">
        <v>0.44040000000000001</v>
      </c>
      <c r="O2425">
        <v>0</v>
      </c>
      <c r="P2425">
        <v>0.82799999999999996</v>
      </c>
      <c r="Q2425">
        <v>0.17199999999999999</v>
      </c>
    </row>
    <row r="2426" spans="1:17" x14ac:dyDescent="0.2">
      <c r="A2426" s="1" t="str">
        <f>HYPERLINK("http://www.twitter.com/Ugo_Roux/status/699233040522997760", "699233040522997760")</f>
        <v>699233040522997760</v>
      </c>
      <c r="B2426" t="s">
        <v>47</v>
      </c>
      <c r="C2426" s="3">
        <v>42415.587060185193</v>
      </c>
      <c r="D2426" s="5" t="s">
        <v>41</v>
      </c>
      <c r="E2426">
        <v>1</v>
      </c>
      <c r="F2426">
        <v>0</v>
      </c>
      <c r="G2426">
        <v>0</v>
      </c>
      <c r="I2426" t="s">
        <v>2463</v>
      </c>
      <c r="N2426">
        <v>0.2263</v>
      </c>
      <c r="O2426">
        <v>0</v>
      </c>
      <c r="P2426">
        <v>0.872</v>
      </c>
      <c r="Q2426">
        <v>0.128</v>
      </c>
    </row>
    <row r="2427" spans="1:17" x14ac:dyDescent="0.2">
      <c r="A2427" s="1" t="str">
        <f>HYPERLINK("http://www.twitter.com/Ugo_Roux/status/698531961535668226", "698531961535668226")</f>
        <v>698531961535668226</v>
      </c>
      <c r="B2427" t="s">
        <v>130</v>
      </c>
      <c r="C2427" s="3">
        <v>42413.652453703697</v>
      </c>
      <c r="D2427" s="5" t="s">
        <v>28</v>
      </c>
      <c r="E2427">
        <v>0</v>
      </c>
      <c r="F2427">
        <v>0</v>
      </c>
      <c r="G2427">
        <v>0</v>
      </c>
      <c r="I2427" t="s">
        <v>2464</v>
      </c>
      <c r="N2427">
        <v>0</v>
      </c>
      <c r="O2427">
        <v>0</v>
      </c>
      <c r="P2427">
        <v>1</v>
      </c>
      <c r="Q2427">
        <v>0</v>
      </c>
    </row>
    <row r="2428" spans="1:17" x14ac:dyDescent="0.2">
      <c r="A2428" s="1" t="str">
        <f>HYPERLINK("http://www.twitter.com/Ugo_Roux/status/698174011843481600", "698174011843481600")</f>
        <v>698174011843481600</v>
      </c>
      <c r="B2428" t="s">
        <v>130</v>
      </c>
      <c r="C2428" s="3">
        <v>42412.664699074077</v>
      </c>
      <c r="D2428" s="5" t="s">
        <v>41</v>
      </c>
      <c r="E2428">
        <v>0</v>
      </c>
      <c r="F2428">
        <v>0</v>
      </c>
      <c r="G2428">
        <v>0</v>
      </c>
      <c r="I2428" t="s">
        <v>2465</v>
      </c>
      <c r="N2428">
        <v>0</v>
      </c>
      <c r="O2428">
        <v>0</v>
      </c>
      <c r="P2428">
        <v>1</v>
      </c>
      <c r="Q2428">
        <v>0</v>
      </c>
    </row>
    <row r="2429" spans="1:17" x14ac:dyDescent="0.2">
      <c r="A2429" s="1" t="str">
        <f>HYPERLINK("http://www.twitter.com/Ugo_Roux/status/698100877459132416", "698100877459132416")</f>
        <v>698100877459132416</v>
      </c>
      <c r="B2429" t="s">
        <v>16</v>
      </c>
      <c r="C2429" s="3">
        <v>42412.462881944448</v>
      </c>
      <c r="D2429" s="3" t="s">
        <v>28</v>
      </c>
      <c r="E2429">
        <v>2</v>
      </c>
      <c r="F2429">
        <v>2</v>
      </c>
      <c r="G2429">
        <v>0</v>
      </c>
      <c r="I2429" t="s">
        <v>2466</v>
      </c>
      <c r="J2429" t="str">
        <f>HYPERLINK("http://pbs.twimg.com/media/CbAnDCUXIAQda52.jpg", "http://pbs.twimg.com/media/CbAnDCUXIAQda52.jpg")</f>
        <v>http://pbs.twimg.com/media/CbAnDCUXIAQda52.jpg</v>
      </c>
      <c r="N2429">
        <v>0</v>
      </c>
      <c r="O2429">
        <v>0</v>
      </c>
      <c r="P2429">
        <v>1</v>
      </c>
      <c r="Q2429">
        <v>0</v>
      </c>
    </row>
    <row r="2430" spans="1:17" x14ac:dyDescent="0.2">
      <c r="A2430" s="1" t="str">
        <f>HYPERLINK("http://www.twitter.com/Ugo_Roux/status/697795418609074178", "697795418609074178")</f>
        <v>697795418609074178</v>
      </c>
      <c r="B2430" t="s">
        <v>47</v>
      </c>
      <c r="C2430" s="3">
        <v>42411.619976851849</v>
      </c>
      <c r="D2430" s="5" t="s">
        <v>17</v>
      </c>
      <c r="E2430">
        <v>2</v>
      </c>
      <c r="F2430">
        <v>0</v>
      </c>
      <c r="G2430">
        <v>0</v>
      </c>
      <c r="I2430" t="s">
        <v>2467</v>
      </c>
      <c r="N2430">
        <v>0</v>
      </c>
      <c r="O2430">
        <v>0</v>
      </c>
      <c r="P2430">
        <v>1</v>
      </c>
      <c r="Q2430">
        <v>0</v>
      </c>
    </row>
    <row r="2431" spans="1:17" x14ac:dyDescent="0.2">
      <c r="A2431" s="1" t="str">
        <f>HYPERLINK("http://www.twitter.com/Ugo_Roux/status/697352447707234304", "697352447707234304")</f>
        <v>697352447707234304</v>
      </c>
      <c r="B2431" t="s">
        <v>47</v>
      </c>
      <c r="C2431" s="3">
        <v>42410.397615740738</v>
      </c>
      <c r="D2431" s="5" t="s">
        <v>17</v>
      </c>
      <c r="E2431">
        <v>2</v>
      </c>
      <c r="F2431">
        <v>3</v>
      </c>
      <c r="G2431">
        <v>0</v>
      </c>
      <c r="I2431" t="s">
        <v>2468</v>
      </c>
      <c r="N2431">
        <v>0.2263</v>
      </c>
      <c r="O2431">
        <v>0</v>
      </c>
      <c r="P2431">
        <v>0.84</v>
      </c>
      <c r="Q2431">
        <v>0.16</v>
      </c>
    </row>
    <row r="2432" spans="1:17" x14ac:dyDescent="0.2">
      <c r="A2432" s="1" t="str">
        <f>HYPERLINK("http://www.twitter.com/Ugo_Roux/status/695637336760193024", "695637336760193024")</f>
        <v>695637336760193024</v>
      </c>
      <c r="B2432" t="s">
        <v>16</v>
      </c>
      <c r="C2432" s="3">
        <v>42405.664814814823</v>
      </c>
      <c r="D2432" s="3" t="s">
        <v>28</v>
      </c>
      <c r="E2432">
        <v>1</v>
      </c>
      <c r="F2432">
        <v>0</v>
      </c>
      <c r="G2432">
        <v>0</v>
      </c>
      <c r="I2432" t="s">
        <v>2469</v>
      </c>
      <c r="N2432">
        <v>0</v>
      </c>
      <c r="O2432">
        <v>0</v>
      </c>
      <c r="P2432">
        <v>1</v>
      </c>
      <c r="Q2432">
        <v>0</v>
      </c>
    </row>
    <row r="2433" spans="1:17" x14ac:dyDescent="0.2">
      <c r="A2433" s="1" t="str">
        <f>HYPERLINK("http://www.twitter.com/Ugo_Roux/status/693444713215586304", "693444713215586304")</f>
        <v>693444713215586304</v>
      </c>
      <c r="B2433" t="s">
        <v>47</v>
      </c>
      <c r="C2433" s="3">
        <v>42399.614317129628</v>
      </c>
      <c r="D2433" s="5" t="s">
        <v>41</v>
      </c>
      <c r="E2433">
        <v>5</v>
      </c>
      <c r="F2433">
        <v>3</v>
      </c>
      <c r="G2433">
        <v>0</v>
      </c>
      <c r="I2433" t="s">
        <v>2470</v>
      </c>
      <c r="J2433" t="str">
        <f>HYPERLINK("http://pbs.twimg.com/media/CZ-cSaYWEAAt0Jp.jpg", "http://pbs.twimg.com/media/CZ-cSaYWEAAt0Jp.jpg")</f>
        <v>http://pbs.twimg.com/media/CZ-cSaYWEAAt0Jp.jpg</v>
      </c>
      <c r="N2433">
        <v>0</v>
      </c>
      <c r="O2433">
        <v>0</v>
      </c>
      <c r="P2433">
        <v>1</v>
      </c>
      <c r="Q2433">
        <v>0</v>
      </c>
    </row>
    <row r="2434" spans="1:17" x14ac:dyDescent="0.2">
      <c r="A2434" s="1" t="str">
        <f>HYPERLINK("http://www.twitter.com/Ugo_Roux/status/693380646706790400", "693380646706790400")</f>
        <v>693380646706790400</v>
      </c>
      <c r="B2434" t="s">
        <v>130</v>
      </c>
      <c r="C2434" s="3">
        <v>42399.437534722223</v>
      </c>
      <c r="D2434" s="5" t="s">
        <v>28</v>
      </c>
      <c r="E2434">
        <v>0</v>
      </c>
      <c r="F2434">
        <v>1</v>
      </c>
      <c r="G2434">
        <v>0</v>
      </c>
      <c r="I2434" t="s">
        <v>2471</v>
      </c>
      <c r="N2434">
        <v>0</v>
      </c>
      <c r="O2434">
        <v>0</v>
      </c>
      <c r="P2434">
        <v>1</v>
      </c>
      <c r="Q2434">
        <v>0</v>
      </c>
    </row>
    <row r="2435" spans="1:17" x14ac:dyDescent="0.2">
      <c r="A2435" s="1" t="str">
        <f>HYPERLINK("http://www.twitter.com/Ugo_Roux/status/692689810692149248", "692689810692149248")</f>
        <v>692689810692149248</v>
      </c>
      <c r="B2435" t="s">
        <v>47</v>
      </c>
      <c r="C2435" s="3">
        <v>42397.531192129631</v>
      </c>
      <c r="D2435" s="5" t="s">
        <v>17</v>
      </c>
      <c r="E2435">
        <v>2</v>
      </c>
      <c r="F2435">
        <v>0</v>
      </c>
      <c r="G2435">
        <v>1</v>
      </c>
      <c r="I2435" t="s">
        <v>2472</v>
      </c>
      <c r="N2435">
        <v>0</v>
      </c>
      <c r="O2435">
        <v>0</v>
      </c>
      <c r="P2435">
        <v>1</v>
      </c>
      <c r="Q2435">
        <v>0</v>
      </c>
    </row>
    <row r="2436" spans="1:17" x14ac:dyDescent="0.2">
      <c r="A2436" s="1" t="str">
        <f>HYPERLINK("http://www.twitter.com/Ugo_Roux/status/692641763475877888", "692641763475877888")</f>
        <v>692641763475877888</v>
      </c>
      <c r="B2436" t="s">
        <v>370</v>
      </c>
      <c r="C2436" s="3">
        <v>42397.398599537039</v>
      </c>
      <c r="D2436" s="5" t="s">
        <v>28</v>
      </c>
      <c r="E2436">
        <v>1</v>
      </c>
      <c r="F2436">
        <v>0</v>
      </c>
      <c r="G2436">
        <v>0</v>
      </c>
      <c r="I2436" t="s">
        <v>2473</v>
      </c>
      <c r="J2436" t="str">
        <f>HYPERLINK("http://pbs.twimg.com/media/CZzCA1XUAAAEXc9.jpg", "http://pbs.twimg.com/media/CZzCA1XUAAAEXc9.jpg")</f>
        <v>http://pbs.twimg.com/media/CZzCA1XUAAAEXc9.jpg</v>
      </c>
      <c r="N2436">
        <v>0</v>
      </c>
      <c r="O2436">
        <v>0</v>
      </c>
      <c r="P2436">
        <v>1</v>
      </c>
      <c r="Q2436">
        <v>0</v>
      </c>
    </row>
    <row r="2437" spans="1:17" x14ac:dyDescent="0.2">
      <c r="A2437" s="1" t="str">
        <f>HYPERLINK("http://www.twitter.com/Ugo_Roux/status/692354813972090882", "692354813972090882")</f>
        <v>692354813972090882</v>
      </c>
      <c r="B2437" t="s">
        <v>16</v>
      </c>
      <c r="C2437" s="3">
        <v>42396.606770833343</v>
      </c>
      <c r="D2437" s="3" t="s">
        <v>41</v>
      </c>
      <c r="E2437">
        <v>5</v>
      </c>
      <c r="F2437">
        <v>0</v>
      </c>
      <c r="G2437">
        <v>1</v>
      </c>
      <c r="I2437" t="s">
        <v>2474</v>
      </c>
      <c r="J2437" t="str">
        <f>HYPERLINK("http://pbs.twimg.com/media/CZu9CGQWwAAXGUC.jpg", "http://pbs.twimg.com/media/CZu9CGQWwAAXGUC.jpg")</f>
        <v>http://pbs.twimg.com/media/CZu9CGQWwAAXGUC.jpg</v>
      </c>
      <c r="N2437">
        <v>0.45590000000000003</v>
      </c>
      <c r="O2437">
        <v>0</v>
      </c>
      <c r="P2437">
        <v>0.77</v>
      </c>
      <c r="Q2437">
        <v>0.23</v>
      </c>
    </row>
    <row r="2438" spans="1:17" x14ac:dyDescent="0.2">
      <c r="A2438" s="1" t="str">
        <f>HYPERLINK("http://www.twitter.com/Ugo_Roux/status/692352535500296192", "692352535500296192")</f>
        <v>692352535500296192</v>
      </c>
      <c r="B2438" t="s">
        <v>47</v>
      </c>
      <c r="C2438" s="3">
        <v>42396.600486111107</v>
      </c>
      <c r="D2438" s="5" t="s">
        <v>28</v>
      </c>
      <c r="E2438">
        <v>3</v>
      </c>
      <c r="F2438">
        <v>1</v>
      </c>
      <c r="G2438">
        <v>0</v>
      </c>
      <c r="I2438" t="s">
        <v>2475</v>
      </c>
      <c r="J2438" t="str">
        <f>HYPERLINK("http://pbs.twimg.com/media/CZu69hjW0AA8Hao.jpg", "http://pbs.twimg.com/media/CZu69hjW0AA8Hao.jpg")</f>
        <v>http://pbs.twimg.com/media/CZu69hjW0AA8Hao.jpg</v>
      </c>
      <c r="N2438">
        <v>0</v>
      </c>
      <c r="O2438">
        <v>0</v>
      </c>
      <c r="P2438">
        <v>1</v>
      </c>
      <c r="Q2438">
        <v>0</v>
      </c>
    </row>
    <row r="2439" spans="1:17" x14ac:dyDescent="0.2">
      <c r="A2439" s="1" t="str">
        <f>HYPERLINK("http://www.twitter.com/Ugo_Roux/status/692309519838375936", "692309519838375936")</f>
        <v>692309519838375936</v>
      </c>
      <c r="B2439" t="s">
        <v>16</v>
      </c>
      <c r="C2439" s="3">
        <v>42396.481782407413</v>
      </c>
      <c r="D2439" s="3" t="s">
        <v>17</v>
      </c>
      <c r="E2439">
        <v>2</v>
      </c>
      <c r="F2439">
        <v>0</v>
      </c>
      <c r="G2439">
        <v>0</v>
      </c>
      <c r="I2439" t="s">
        <v>2476</v>
      </c>
      <c r="N2439">
        <v>0</v>
      </c>
      <c r="O2439">
        <v>0</v>
      </c>
      <c r="P2439">
        <v>1</v>
      </c>
      <c r="Q2439">
        <v>0</v>
      </c>
    </row>
    <row r="2440" spans="1:17" x14ac:dyDescent="0.2">
      <c r="A2440" s="1" t="str">
        <f>HYPERLINK("http://www.twitter.com/Ugo_Roux/status/692289624543227904", "692289624543227904")</f>
        <v>692289624543227904</v>
      </c>
      <c r="B2440" t="s">
        <v>16</v>
      </c>
      <c r="C2440" s="3">
        <v>42396.426886574067</v>
      </c>
      <c r="D2440" s="3" t="s">
        <v>28</v>
      </c>
      <c r="E2440">
        <v>3</v>
      </c>
      <c r="F2440">
        <v>0</v>
      </c>
      <c r="G2440">
        <v>0</v>
      </c>
      <c r="I2440" t="s">
        <v>2477</v>
      </c>
      <c r="J2440" t="str">
        <f>HYPERLINK("http://pbs.twimg.com/media/CZuBvlNWwAE1Y37.jpg", "http://pbs.twimg.com/media/CZuBvlNWwAE1Y37.jpg")</f>
        <v>http://pbs.twimg.com/media/CZuBvlNWwAE1Y37.jpg</v>
      </c>
      <c r="N2440">
        <v>0</v>
      </c>
      <c r="O2440">
        <v>0</v>
      </c>
      <c r="P2440">
        <v>1</v>
      </c>
      <c r="Q2440">
        <v>0</v>
      </c>
    </row>
    <row r="2441" spans="1:17" x14ac:dyDescent="0.2">
      <c r="A2441" s="1" t="str">
        <f>HYPERLINK("http://www.twitter.com/Ugo_Roux/status/691918412004618240", "691918412004618240")</f>
        <v>691918412004618240</v>
      </c>
      <c r="B2441" t="s">
        <v>97</v>
      </c>
      <c r="C2441" s="3">
        <v>42395.40253472222</v>
      </c>
      <c r="D2441" s="5" t="s">
        <v>41</v>
      </c>
      <c r="E2441">
        <v>0</v>
      </c>
      <c r="F2441">
        <v>0</v>
      </c>
      <c r="G2441">
        <v>0</v>
      </c>
      <c r="I2441" t="s">
        <v>2478</v>
      </c>
      <c r="J2441" t="str">
        <f>HYPERLINK("http://pbs.twimg.com/media/CZowIQuWcAAO9yW.jpg", "http://pbs.twimg.com/media/CZowIQuWcAAO9yW.jpg")</f>
        <v>http://pbs.twimg.com/media/CZowIQuWcAAO9yW.jpg</v>
      </c>
      <c r="N2441">
        <v>0</v>
      </c>
      <c r="O2441">
        <v>0</v>
      </c>
      <c r="P2441">
        <v>1</v>
      </c>
      <c r="Q2441">
        <v>0</v>
      </c>
    </row>
    <row r="2442" spans="1:17" x14ac:dyDescent="0.2">
      <c r="A2442" s="1" t="str">
        <f>HYPERLINK("http://www.twitter.com/Ugo_Roux/status/690926434395774977", "690926434395774977")</f>
        <v>690926434395774977</v>
      </c>
      <c r="B2442" t="s">
        <v>16</v>
      </c>
      <c r="C2442" s="3">
        <v>42392.665196759262</v>
      </c>
      <c r="D2442" s="3" t="s">
        <v>41</v>
      </c>
      <c r="E2442">
        <v>6</v>
      </c>
      <c r="F2442">
        <v>0</v>
      </c>
      <c r="G2442">
        <v>0</v>
      </c>
      <c r="I2442" t="s">
        <v>2479</v>
      </c>
      <c r="J2442" t="str">
        <f>HYPERLINK("http://pbs.twimg.com/media/CZap7f_WEAAGp3k.jpg", "http://pbs.twimg.com/media/CZap7f_WEAAGp3k.jpg")</f>
        <v>http://pbs.twimg.com/media/CZap7f_WEAAGp3k.jpg</v>
      </c>
      <c r="N2442">
        <v>0</v>
      </c>
      <c r="O2442">
        <v>0</v>
      </c>
      <c r="P2442">
        <v>1</v>
      </c>
      <c r="Q2442">
        <v>0</v>
      </c>
    </row>
    <row r="2443" spans="1:17" x14ac:dyDescent="0.2">
      <c r="A2443" s="1" t="str">
        <f>HYPERLINK("http://www.twitter.com/Ugo_Roux/status/690598864357888002", "690598864357888002")</f>
        <v>690598864357888002</v>
      </c>
      <c r="B2443" t="s">
        <v>47</v>
      </c>
      <c r="C2443" s="3">
        <v>42391.761273148149</v>
      </c>
      <c r="D2443" s="5" t="s">
        <v>17</v>
      </c>
      <c r="E2443">
        <v>0</v>
      </c>
      <c r="F2443">
        <v>0</v>
      </c>
      <c r="G2443">
        <v>0</v>
      </c>
      <c r="I2443" t="s">
        <v>2480</v>
      </c>
      <c r="N2443">
        <v>0</v>
      </c>
      <c r="O2443">
        <v>0</v>
      </c>
      <c r="P2443">
        <v>1</v>
      </c>
      <c r="Q2443">
        <v>0</v>
      </c>
    </row>
    <row r="2444" spans="1:17" x14ac:dyDescent="0.2">
      <c r="A2444" s="1" t="str">
        <f>HYPERLINK("http://www.twitter.com/Ugo_Roux/status/690110891728175105", "690110891728175105")</f>
        <v>690110891728175105</v>
      </c>
      <c r="B2444" t="s">
        <v>476</v>
      </c>
      <c r="C2444" s="3">
        <v>42390.414722222216</v>
      </c>
      <c r="D2444" s="5" t="s">
        <v>28</v>
      </c>
      <c r="E2444">
        <v>0</v>
      </c>
      <c r="F2444">
        <v>0</v>
      </c>
      <c r="G2444">
        <v>0</v>
      </c>
      <c r="I2444" t="s">
        <v>2481</v>
      </c>
      <c r="N2444">
        <v>0</v>
      </c>
      <c r="O2444">
        <v>0</v>
      </c>
      <c r="P2444">
        <v>1</v>
      </c>
      <c r="Q2444">
        <v>0</v>
      </c>
    </row>
    <row r="2445" spans="1:17" x14ac:dyDescent="0.2">
      <c r="A2445" s="1" t="str">
        <f>HYPERLINK("http://www.twitter.com/Ugo_Roux/status/689751050593701888", "689751050593701888")</f>
        <v>689751050593701888</v>
      </c>
      <c r="B2445" t="s">
        <v>47</v>
      </c>
      <c r="C2445" s="3">
        <v>42389.421759259261</v>
      </c>
      <c r="D2445" s="5" t="s">
        <v>17</v>
      </c>
      <c r="E2445">
        <v>1</v>
      </c>
      <c r="F2445">
        <v>0</v>
      </c>
      <c r="G2445">
        <v>0</v>
      </c>
      <c r="I2445" t="s">
        <v>2482</v>
      </c>
      <c r="N2445">
        <v>-0.62490000000000001</v>
      </c>
      <c r="O2445">
        <v>0.20399999999999999</v>
      </c>
      <c r="P2445">
        <v>0.79600000000000004</v>
      </c>
      <c r="Q2445">
        <v>0</v>
      </c>
    </row>
    <row r="2446" spans="1:17" x14ac:dyDescent="0.2">
      <c r="A2446" s="1" t="str">
        <f>HYPERLINK("http://www.twitter.com/Ugo_Roux/status/689734438280941568", "689734438280941568")</f>
        <v>689734438280941568</v>
      </c>
      <c r="B2446" t="s">
        <v>16</v>
      </c>
      <c r="C2446" s="3">
        <v>42389.375914351847</v>
      </c>
      <c r="D2446" s="3" t="s">
        <v>41</v>
      </c>
      <c r="E2446">
        <v>0</v>
      </c>
      <c r="F2446">
        <v>0</v>
      </c>
      <c r="G2446">
        <v>1</v>
      </c>
      <c r="I2446" t="s">
        <v>2483</v>
      </c>
      <c r="N2446">
        <v>0</v>
      </c>
      <c r="O2446">
        <v>0</v>
      </c>
      <c r="P2446">
        <v>1</v>
      </c>
      <c r="Q2446">
        <v>0</v>
      </c>
    </row>
    <row r="2447" spans="1:17" x14ac:dyDescent="0.2">
      <c r="A2447" s="1" t="str">
        <f>HYPERLINK("http://www.twitter.com/Ugo_Roux/status/689461495478910977", "689461495478910977")</f>
        <v>689461495478910977</v>
      </c>
      <c r="B2447" t="s">
        <v>16</v>
      </c>
      <c r="C2447" s="3">
        <v>42388.622731481482</v>
      </c>
      <c r="D2447" s="3" t="s">
        <v>17</v>
      </c>
      <c r="E2447">
        <v>0</v>
      </c>
      <c r="F2447">
        <v>0</v>
      </c>
      <c r="G2447">
        <v>0</v>
      </c>
      <c r="I2447" t="s">
        <v>2484</v>
      </c>
      <c r="J2447" t="str">
        <f>HYPERLINK("http://pbs.twimg.com/media/CZF1k34WAAAgnjw.png", "http://pbs.twimg.com/media/CZF1k34WAAAgnjw.png")</f>
        <v>http://pbs.twimg.com/media/CZF1k34WAAAgnjw.png</v>
      </c>
      <c r="N2447">
        <v>0</v>
      </c>
      <c r="O2447">
        <v>0</v>
      </c>
      <c r="P2447">
        <v>1</v>
      </c>
      <c r="Q2447">
        <v>0</v>
      </c>
    </row>
    <row r="2448" spans="1:17" x14ac:dyDescent="0.2">
      <c r="A2448" s="1" t="str">
        <f>HYPERLINK("http://www.twitter.com/Ugo_Roux/status/689357492615278592", "689357492615278592")</f>
        <v>689357492615278592</v>
      </c>
      <c r="B2448" t="s">
        <v>476</v>
      </c>
      <c r="C2448" s="3">
        <v>42388.335740740738</v>
      </c>
      <c r="D2448" s="5" t="s">
        <v>17</v>
      </c>
      <c r="E2448">
        <v>0</v>
      </c>
      <c r="F2448">
        <v>0</v>
      </c>
      <c r="G2448">
        <v>0</v>
      </c>
      <c r="I2448" t="s">
        <v>2485</v>
      </c>
      <c r="N2448">
        <v>0</v>
      </c>
      <c r="O2448">
        <v>0</v>
      </c>
      <c r="P2448">
        <v>1</v>
      </c>
      <c r="Q2448">
        <v>0</v>
      </c>
    </row>
    <row r="2449" spans="1:17" x14ac:dyDescent="0.2">
      <c r="A2449" s="1" t="str">
        <f>HYPERLINK("http://www.twitter.com/Ugo_Roux/status/688709703174606848", "688709703174606848")</f>
        <v>688709703174606848</v>
      </c>
      <c r="B2449" t="s">
        <v>47</v>
      </c>
      <c r="C2449" s="3">
        <v>42386.548182870371</v>
      </c>
      <c r="D2449" s="5" t="s">
        <v>41</v>
      </c>
      <c r="E2449">
        <v>6</v>
      </c>
      <c r="F2449">
        <v>1</v>
      </c>
      <c r="G2449">
        <v>0</v>
      </c>
      <c r="I2449" t="s">
        <v>2486</v>
      </c>
      <c r="N2449">
        <v>0.45879999999999999</v>
      </c>
      <c r="O2449">
        <v>0</v>
      </c>
      <c r="P2449">
        <v>0.72699999999999998</v>
      </c>
      <c r="Q2449">
        <v>0.27300000000000002</v>
      </c>
    </row>
    <row r="2450" spans="1:17" x14ac:dyDescent="0.2">
      <c r="A2450" s="1" t="str">
        <f>HYPERLINK("http://www.twitter.com/Ugo_Roux/status/687938301811122183", "687938301811122183")</f>
        <v>687938301811122183</v>
      </c>
      <c r="B2450" t="s">
        <v>47</v>
      </c>
      <c r="C2450" s="3">
        <v>42384.419525462959</v>
      </c>
      <c r="D2450" s="5" t="s">
        <v>41</v>
      </c>
      <c r="E2450">
        <v>6</v>
      </c>
      <c r="F2450">
        <v>0</v>
      </c>
      <c r="G2450">
        <v>0</v>
      </c>
      <c r="I2450" t="s">
        <v>2487</v>
      </c>
      <c r="J2450" t="str">
        <f>HYPERLINK("http://pbs.twimg.com/media/CYwML_6WMAA2Xx2.jpg", "http://pbs.twimg.com/media/CYwML_6WMAA2Xx2.jpg")</f>
        <v>http://pbs.twimg.com/media/CYwML_6WMAA2Xx2.jpg</v>
      </c>
      <c r="N2450">
        <v>0</v>
      </c>
      <c r="O2450">
        <v>0</v>
      </c>
      <c r="P2450">
        <v>1</v>
      </c>
      <c r="Q2450">
        <v>0</v>
      </c>
    </row>
    <row r="2451" spans="1:17" x14ac:dyDescent="0.2">
      <c r="A2451" s="1" t="str">
        <f>HYPERLINK("http://www.twitter.com/Ugo_Roux/status/687658965866561536", "687658965866561536")</f>
        <v>687658965866561536</v>
      </c>
      <c r="B2451" t="s">
        <v>47</v>
      </c>
      <c r="C2451" s="3">
        <v>42383.6487037037</v>
      </c>
      <c r="D2451" s="5" t="s">
        <v>28</v>
      </c>
      <c r="E2451">
        <v>1</v>
      </c>
      <c r="F2451">
        <v>0</v>
      </c>
      <c r="G2451">
        <v>0</v>
      </c>
      <c r="I2451" t="s">
        <v>2488</v>
      </c>
      <c r="N2451">
        <v>0</v>
      </c>
      <c r="O2451">
        <v>0</v>
      </c>
      <c r="P2451">
        <v>1</v>
      </c>
      <c r="Q2451">
        <v>0</v>
      </c>
    </row>
    <row r="2452" spans="1:17" x14ac:dyDescent="0.2">
      <c r="A2452" s="1" t="str">
        <f>HYPERLINK("http://www.twitter.com/Ugo_Roux/status/687625808471584768", "687625808471584768")</f>
        <v>687625808471584768</v>
      </c>
      <c r="B2452" t="s">
        <v>47</v>
      </c>
      <c r="C2452" s="3">
        <v>42383.557199074072</v>
      </c>
      <c r="D2452" s="5" t="s">
        <v>41</v>
      </c>
      <c r="E2452">
        <v>2</v>
      </c>
      <c r="F2452">
        <v>0</v>
      </c>
      <c r="G2452">
        <v>0</v>
      </c>
      <c r="I2452" t="s">
        <v>2489</v>
      </c>
      <c r="J2452" t="str">
        <f>HYPERLINK("http://pbs.twimg.com/media/CYrwB1DWwAAiROQ.jpg", "http://pbs.twimg.com/media/CYrwB1DWwAAiROQ.jpg")</f>
        <v>http://pbs.twimg.com/media/CYrwB1DWwAAiROQ.jpg</v>
      </c>
      <c r="N2452">
        <v>0</v>
      </c>
      <c r="O2452">
        <v>0</v>
      </c>
      <c r="P2452">
        <v>1</v>
      </c>
      <c r="Q2452">
        <v>0</v>
      </c>
    </row>
    <row r="2453" spans="1:17" x14ac:dyDescent="0.2">
      <c r="A2453" s="1" t="str">
        <f>HYPERLINK("http://www.twitter.com/Ugo_Roux/status/687618540791279616", "687618540791279616")</f>
        <v>687618540791279616</v>
      </c>
      <c r="B2453" t="s">
        <v>47</v>
      </c>
      <c r="C2453" s="3">
        <v>42383.537152777782</v>
      </c>
      <c r="D2453" s="5" t="s">
        <v>17</v>
      </c>
      <c r="E2453">
        <v>1</v>
      </c>
      <c r="F2453">
        <v>0</v>
      </c>
      <c r="G2453">
        <v>1</v>
      </c>
      <c r="I2453" t="s">
        <v>2490</v>
      </c>
      <c r="N2453">
        <v>0.64859999999999995</v>
      </c>
      <c r="O2453">
        <v>0</v>
      </c>
      <c r="P2453">
        <v>0.629</v>
      </c>
      <c r="Q2453">
        <v>0.371</v>
      </c>
    </row>
    <row r="2454" spans="1:17" x14ac:dyDescent="0.2">
      <c r="A2454" s="1" t="str">
        <f>HYPERLINK("http://www.twitter.com/Ugo_Roux/status/687584623455514624", "687584623455514624")</f>
        <v>687584623455514624</v>
      </c>
      <c r="B2454" t="s">
        <v>16</v>
      </c>
      <c r="C2454" s="3">
        <v>42383.443553240737</v>
      </c>
      <c r="D2454" s="3" t="s">
        <v>41</v>
      </c>
      <c r="E2454">
        <v>1</v>
      </c>
      <c r="F2454">
        <v>0</v>
      </c>
      <c r="G2454">
        <v>0</v>
      </c>
      <c r="I2454" t="s">
        <v>2491</v>
      </c>
      <c r="N2454">
        <v>0.2263</v>
      </c>
      <c r="O2454">
        <v>0</v>
      </c>
      <c r="P2454">
        <v>0.89900000000000002</v>
      </c>
      <c r="Q2454">
        <v>0.10100000000000001</v>
      </c>
    </row>
    <row r="2455" spans="1:17" x14ac:dyDescent="0.2">
      <c r="A2455" s="1" t="str">
        <f>HYPERLINK("http://www.twitter.com/Ugo_Roux/status/687580894727659520", "687580894727659520")</f>
        <v>687580894727659520</v>
      </c>
      <c r="B2455" t="s">
        <v>476</v>
      </c>
      <c r="C2455" s="3">
        <v>42383.433263888888</v>
      </c>
      <c r="D2455" s="5" t="s">
        <v>17</v>
      </c>
      <c r="E2455">
        <v>0</v>
      </c>
      <c r="F2455">
        <v>0</v>
      </c>
      <c r="G2455">
        <v>0</v>
      </c>
      <c r="I2455" t="s">
        <v>2492</v>
      </c>
      <c r="N2455">
        <v>0</v>
      </c>
      <c r="O2455">
        <v>0</v>
      </c>
      <c r="P2455">
        <v>1</v>
      </c>
      <c r="Q2455">
        <v>0</v>
      </c>
    </row>
    <row r="2456" spans="1:17" x14ac:dyDescent="0.2">
      <c r="A2456" s="1" t="str">
        <f>HYPERLINK("http://www.twitter.com/Ugo_Roux/status/685496953426317312", "685496953426317312")</f>
        <v>685496953426317312</v>
      </c>
      <c r="B2456" t="s">
        <v>16</v>
      </c>
      <c r="C2456" s="3">
        <v>42377.682685185187</v>
      </c>
      <c r="D2456" s="3" t="s">
        <v>17</v>
      </c>
      <c r="E2456">
        <v>0</v>
      </c>
      <c r="F2456">
        <v>1</v>
      </c>
      <c r="G2456">
        <v>0</v>
      </c>
      <c r="I2456" t="s">
        <v>2493</v>
      </c>
      <c r="J2456" t="str">
        <f>HYPERLINK("http://pbs.twimg.com/media/CYNf2HUWQAENQaB.jpg", "http://pbs.twimg.com/media/CYNf2HUWQAENQaB.jpg")</f>
        <v>http://pbs.twimg.com/media/CYNf2HUWQAENQaB.jpg</v>
      </c>
      <c r="N2456">
        <v>0</v>
      </c>
      <c r="O2456">
        <v>0</v>
      </c>
      <c r="P2456">
        <v>1</v>
      </c>
      <c r="Q2456">
        <v>0</v>
      </c>
    </row>
    <row r="2457" spans="1:17" x14ac:dyDescent="0.2">
      <c r="A2457" s="1" t="str">
        <f>HYPERLINK("http://www.twitter.com/Ugo_Roux/status/685005248876916736", "685005248876916736")</f>
        <v>685005248876916736</v>
      </c>
      <c r="B2457" t="s">
        <v>476</v>
      </c>
      <c r="C2457" s="3">
        <v>42376.325833333343</v>
      </c>
      <c r="D2457" s="5" t="s">
        <v>28</v>
      </c>
      <c r="E2457">
        <v>0</v>
      </c>
      <c r="F2457">
        <v>0</v>
      </c>
      <c r="G2457">
        <v>0</v>
      </c>
      <c r="I2457" t="s">
        <v>2494</v>
      </c>
      <c r="N2457">
        <v>0</v>
      </c>
      <c r="O2457">
        <v>0</v>
      </c>
      <c r="P2457">
        <v>1</v>
      </c>
      <c r="Q2457">
        <v>0</v>
      </c>
    </row>
    <row r="2458" spans="1:17" x14ac:dyDescent="0.2">
      <c r="A2458" s="1" t="str">
        <f>HYPERLINK("http://www.twitter.com/Ugo_Roux/status/684754696762966017", "684754696762966017")</f>
        <v>684754696762966017</v>
      </c>
      <c r="B2458" t="s">
        <v>47</v>
      </c>
      <c r="C2458" s="3">
        <v>42375.634444444448</v>
      </c>
      <c r="D2458" s="5" t="s">
        <v>41</v>
      </c>
      <c r="E2458">
        <v>1</v>
      </c>
      <c r="F2458">
        <v>0</v>
      </c>
      <c r="G2458">
        <v>1</v>
      </c>
      <c r="I2458" t="s">
        <v>2495</v>
      </c>
      <c r="N2458">
        <v>0.50929999999999997</v>
      </c>
      <c r="O2458">
        <v>0</v>
      </c>
      <c r="P2458">
        <v>0.70799999999999996</v>
      </c>
      <c r="Q2458">
        <v>0.29199999999999998</v>
      </c>
    </row>
    <row r="2459" spans="1:17" x14ac:dyDescent="0.2">
      <c r="A2459" s="1" t="str">
        <f>HYPERLINK("http://www.twitter.com/Ugo_Roux/status/684668548631801856", "684668548631801856")</f>
        <v>684668548631801856</v>
      </c>
      <c r="B2459" t="s">
        <v>370</v>
      </c>
      <c r="C2459" s="3">
        <v>42375.396724537037</v>
      </c>
      <c r="D2459" s="5" t="s">
        <v>41</v>
      </c>
      <c r="E2459">
        <v>0</v>
      </c>
      <c r="F2459">
        <v>0</v>
      </c>
      <c r="G2459">
        <v>0</v>
      </c>
      <c r="I2459" t="s">
        <v>2496</v>
      </c>
      <c r="N2459">
        <v>0</v>
      </c>
      <c r="O2459">
        <v>0</v>
      </c>
      <c r="P2459">
        <v>1</v>
      </c>
      <c r="Q2459">
        <v>0</v>
      </c>
    </row>
    <row r="2460" spans="1:17" x14ac:dyDescent="0.2">
      <c r="A2460" s="1" t="str">
        <f>HYPERLINK("http://www.twitter.com/Ugo_Roux/status/684317282009387008", "684317282009387008")</f>
        <v>684317282009387008</v>
      </c>
      <c r="B2460" t="s">
        <v>370</v>
      </c>
      <c r="C2460" s="3">
        <v>42374.427407407413</v>
      </c>
      <c r="D2460" s="5" t="s">
        <v>41</v>
      </c>
      <c r="E2460">
        <v>0</v>
      </c>
      <c r="F2460">
        <v>0</v>
      </c>
      <c r="G2460">
        <v>0</v>
      </c>
      <c r="I2460" t="s">
        <v>2497</v>
      </c>
      <c r="J2460" t="str">
        <f>HYPERLINK("http://pbs.twimg.com/media/CX8u8NnUwAA0EUf.jpg", "http://pbs.twimg.com/media/CX8u8NnUwAA0EUf.jpg")</f>
        <v>http://pbs.twimg.com/media/CX8u8NnUwAA0EUf.jpg</v>
      </c>
      <c r="N2460">
        <v>0</v>
      </c>
      <c r="O2460">
        <v>0</v>
      </c>
      <c r="P2460">
        <v>1</v>
      </c>
      <c r="Q2460">
        <v>0</v>
      </c>
    </row>
    <row r="2461" spans="1:17" x14ac:dyDescent="0.2">
      <c r="A2461" s="1" t="str">
        <f>HYPERLINK("http://www.twitter.com/Ugo_Roux/status/684309338362490880", "684309338362490880")</f>
        <v>684309338362490880</v>
      </c>
      <c r="B2461" t="s">
        <v>370</v>
      </c>
      <c r="C2461" s="3">
        <v>42374.405486111107</v>
      </c>
      <c r="D2461" s="5" t="s">
        <v>28</v>
      </c>
      <c r="E2461">
        <v>0</v>
      </c>
      <c r="F2461">
        <v>0</v>
      </c>
      <c r="G2461">
        <v>0</v>
      </c>
      <c r="I2461" t="s">
        <v>2498</v>
      </c>
      <c r="N2461">
        <v>0</v>
      </c>
      <c r="O2461">
        <v>0</v>
      </c>
      <c r="P2461">
        <v>1</v>
      </c>
      <c r="Q2461">
        <v>0</v>
      </c>
    </row>
    <row r="2462" spans="1:17" x14ac:dyDescent="0.2">
      <c r="A2462" s="1" t="str">
        <f>HYPERLINK("http://www.twitter.com/Ugo_Roux/status/680037045180448768", "680037045180448768")</f>
        <v>680037045180448768</v>
      </c>
      <c r="B2462" t="s">
        <v>47</v>
      </c>
      <c r="C2462" s="3">
        <v>42362.616203703707</v>
      </c>
      <c r="D2462" s="5" t="s">
        <v>41</v>
      </c>
      <c r="E2462">
        <v>3</v>
      </c>
      <c r="F2462">
        <v>0</v>
      </c>
      <c r="G2462">
        <v>0</v>
      </c>
      <c r="I2462" t="s">
        <v>2499</v>
      </c>
      <c r="J2462" t="str">
        <f>HYPERLINK("http://pbs.twimg.com/media/CW_6FrSWAAATteK.jpg", "http://pbs.twimg.com/media/CW_6FrSWAAATteK.jpg")</f>
        <v>http://pbs.twimg.com/media/CW_6FrSWAAATteK.jpg</v>
      </c>
      <c r="N2462">
        <v>0.29420000000000002</v>
      </c>
      <c r="O2462">
        <v>0</v>
      </c>
      <c r="P2462">
        <v>0.89100000000000001</v>
      </c>
      <c r="Q2462">
        <v>0.109</v>
      </c>
    </row>
    <row r="2463" spans="1:17" x14ac:dyDescent="0.2">
      <c r="A2463" s="1" t="str">
        <f>HYPERLINK("http://www.twitter.com/Ugo_Roux/status/680029486788808704", "680029486788808704")</f>
        <v>680029486788808704</v>
      </c>
      <c r="B2463" t="s">
        <v>47</v>
      </c>
      <c r="C2463" s="3">
        <v>42362.595347222217</v>
      </c>
      <c r="D2463" s="5" t="s">
        <v>17</v>
      </c>
      <c r="E2463">
        <v>3</v>
      </c>
      <c r="F2463">
        <v>0</v>
      </c>
      <c r="G2463">
        <v>0</v>
      </c>
      <c r="I2463" t="s">
        <v>2500</v>
      </c>
      <c r="N2463">
        <v>0</v>
      </c>
      <c r="O2463">
        <v>0</v>
      </c>
      <c r="P2463">
        <v>1</v>
      </c>
      <c r="Q2463">
        <v>0</v>
      </c>
    </row>
    <row r="2464" spans="1:17" x14ac:dyDescent="0.2">
      <c r="A2464" s="1" t="str">
        <f>HYPERLINK("http://www.twitter.com/Ugo_Roux/status/679372795713855488", "679372795713855488")</f>
        <v>679372795713855488</v>
      </c>
      <c r="B2464" t="s">
        <v>47</v>
      </c>
      <c r="C2464" s="3">
        <v>42360.783229166656</v>
      </c>
      <c r="D2464" s="5" t="s">
        <v>17</v>
      </c>
      <c r="E2464">
        <v>1</v>
      </c>
      <c r="F2464">
        <v>1</v>
      </c>
      <c r="G2464">
        <v>0</v>
      </c>
      <c r="I2464" t="s">
        <v>2501</v>
      </c>
      <c r="N2464">
        <v>0.64859999999999995</v>
      </c>
      <c r="O2464">
        <v>0</v>
      </c>
      <c r="P2464">
        <v>0.65400000000000003</v>
      </c>
      <c r="Q2464">
        <v>0.34599999999999997</v>
      </c>
    </row>
    <row r="2465" spans="1:17" x14ac:dyDescent="0.2">
      <c r="A2465" s="1" t="str">
        <f>HYPERLINK("http://www.twitter.com/Ugo_Roux/status/679306967479926784", "679306967479926784")</f>
        <v>679306967479926784</v>
      </c>
      <c r="B2465" t="s">
        <v>16</v>
      </c>
      <c r="C2465" s="3">
        <v>42360.601574074077</v>
      </c>
      <c r="D2465" s="3" t="s">
        <v>17</v>
      </c>
      <c r="E2465">
        <v>5</v>
      </c>
      <c r="F2465">
        <v>3</v>
      </c>
      <c r="G2465">
        <v>0</v>
      </c>
      <c r="I2465" t="s">
        <v>2502</v>
      </c>
      <c r="J2465" t="str">
        <f>HYPERLINK("http://pbs.twimg.com/media/CW1iFijWoAAToDP.jpg", "http://pbs.twimg.com/media/CW1iFijWoAAToDP.jpg")</f>
        <v>http://pbs.twimg.com/media/CW1iFijWoAAToDP.jpg</v>
      </c>
      <c r="N2465">
        <v>0</v>
      </c>
      <c r="O2465">
        <v>0</v>
      </c>
      <c r="P2465">
        <v>1</v>
      </c>
      <c r="Q2465">
        <v>0</v>
      </c>
    </row>
    <row r="2466" spans="1:17" x14ac:dyDescent="0.2">
      <c r="A2466" s="1" t="str">
        <f>HYPERLINK("http://www.twitter.com/Ugo_Roux/status/678146079813169152", "678146079813169152")</f>
        <v>678146079813169152</v>
      </c>
      <c r="B2466" t="s">
        <v>16</v>
      </c>
      <c r="C2466" s="3">
        <v>42357.398136574076</v>
      </c>
      <c r="D2466" s="3" t="s">
        <v>28</v>
      </c>
      <c r="E2466">
        <v>1</v>
      </c>
      <c r="F2466">
        <v>0</v>
      </c>
      <c r="G2466">
        <v>0</v>
      </c>
      <c r="I2466" t="s">
        <v>2503</v>
      </c>
      <c r="N2466">
        <v>0</v>
      </c>
      <c r="O2466">
        <v>0</v>
      </c>
      <c r="P2466">
        <v>1</v>
      </c>
      <c r="Q2466">
        <v>0</v>
      </c>
    </row>
    <row r="2467" spans="1:17" x14ac:dyDescent="0.2">
      <c r="A2467" s="1" t="str">
        <f>HYPERLINK("http://www.twitter.com/Ugo_Roux/status/677867990855979008", "677867990855979008")</f>
        <v>677867990855979008</v>
      </c>
      <c r="B2467" t="s">
        <v>16</v>
      </c>
      <c r="C2467" s="3">
        <v>42356.630752314813</v>
      </c>
      <c r="D2467" s="3" t="s">
        <v>41</v>
      </c>
      <c r="E2467">
        <v>1</v>
      </c>
      <c r="F2467">
        <v>0</v>
      </c>
      <c r="G2467">
        <v>0</v>
      </c>
      <c r="I2467" t="s">
        <v>2504</v>
      </c>
      <c r="J2467" t="str">
        <f>HYPERLINK("http://pbs.twimg.com/media/CWhFVVcUkAA-ONO.jpg", "http://pbs.twimg.com/media/CWhFVVcUkAA-ONO.jpg")</f>
        <v>http://pbs.twimg.com/media/CWhFVVcUkAA-ONO.jpg</v>
      </c>
      <c r="N2467">
        <v>0</v>
      </c>
      <c r="O2467">
        <v>0</v>
      </c>
      <c r="P2467">
        <v>1</v>
      </c>
      <c r="Q2467">
        <v>0</v>
      </c>
    </row>
    <row r="2468" spans="1:17" x14ac:dyDescent="0.2">
      <c r="A2468" s="1" t="str">
        <f>HYPERLINK("http://www.twitter.com/Ugo_Roux/status/674896271619063809", "674896271619063809")</f>
        <v>674896271619063809</v>
      </c>
      <c r="B2468" t="s">
        <v>47</v>
      </c>
      <c r="C2468" s="3">
        <v>42348.43037037037</v>
      </c>
      <c r="D2468" s="5" t="s">
        <v>625</v>
      </c>
      <c r="E2468">
        <v>2</v>
      </c>
      <c r="F2468">
        <v>0</v>
      </c>
      <c r="G2468">
        <v>0</v>
      </c>
      <c r="I2468" t="s">
        <v>2505</v>
      </c>
      <c r="N2468">
        <v>0.45879999999999999</v>
      </c>
      <c r="O2468">
        <v>0</v>
      </c>
      <c r="P2468">
        <v>0.75</v>
      </c>
      <c r="Q2468">
        <v>0.25</v>
      </c>
    </row>
    <row r="2469" spans="1:17" x14ac:dyDescent="0.2">
      <c r="A2469" s="1" t="str">
        <f>HYPERLINK("http://www.twitter.com/Ugo_Roux/status/674877651291623424", "674877651291623424")</f>
        <v>674877651291623424</v>
      </c>
      <c r="B2469" t="s">
        <v>16</v>
      </c>
      <c r="C2469" s="3">
        <v>42348.378993055558</v>
      </c>
      <c r="D2469" s="3" t="s">
        <v>41</v>
      </c>
      <c r="E2469">
        <v>0</v>
      </c>
      <c r="F2469">
        <v>0</v>
      </c>
      <c r="G2469">
        <v>0</v>
      </c>
      <c r="I2469" t="s">
        <v>2506</v>
      </c>
      <c r="N2469">
        <v>0</v>
      </c>
      <c r="O2469">
        <v>0</v>
      </c>
      <c r="P2469">
        <v>1</v>
      </c>
      <c r="Q2469">
        <v>0</v>
      </c>
    </row>
    <row r="2470" spans="1:17" x14ac:dyDescent="0.2">
      <c r="A2470" s="1" t="str">
        <f>HYPERLINK("http://www.twitter.com/Ugo_Roux/status/674533135778885637", "674533135778885637")</f>
        <v>674533135778885637</v>
      </c>
      <c r="B2470" t="s">
        <v>97</v>
      </c>
      <c r="C2470" s="3">
        <v>42347.428310185183</v>
      </c>
      <c r="D2470" s="5" t="s">
        <v>24</v>
      </c>
      <c r="E2470">
        <v>0</v>
      </c>
      <c r="F2470">
        <v>0</v>
      </c>
      <c r="G2470">
        <v>0</v>
      </c>
      <c r="I2470" t="s">
        <v>2507</v>
      </c>
      <c r="N2470">
        <v>0</v>
      </c>
      <c r="O2470">
        <v>0</v>
      </c>
      <c r="P2470">
        <v>1</v>
      </c>
      <c r="Q2470">
        <v>0</v>
      </c>
    </row>
    <row r="2471" spans="1:17" x14ac:dyDescent="0.2">
      <c r="A2471" s="1" t="str">
        <f>HYPERLINK("http://www.twitter.com/Ugo_Roux/status/673063752267362304", "673063752267362304")</f>
        <v>673063752267362304</v>
      </c>
      <c r="B2471" t="s">
        <v>16</v>
      </c>
      <c r="C2471" s="3">
        <v>42343.37358796296</v>
      </c>
      <c r="D2471" s="3" t="s">
        <v>17</v>
      </c>
      <c r="E2471">
        <v>1</v>
      </c>
      <c r="F2471">
        <v>2</v>
      </c>
      <c r="G2471">
        <v>0</v>
      </c>
      <c r="I2471" t="s">
        <v>2508</v>
      </c>
      <c r="J2471" t="str">
        <f>HYPERLINK("http://pbs.twimg.com/media/CVcz6gkWcAA8vta.png", "http://pbs.twimg.com/media/CVcz6gkWcAA8vta.png")</f>
        <v>http://pbs.twimg.com/media/CVcz6gkWcAA8vta.png</v>
      </c>
      <c r="K2471" t="str">
        <f>HYPERLINK("http://pbs.twimg.com/media/CVcz6WRW4AAP1bP.jpg", "http://pbs.twimg.com/media/CVcz6WRW4AAP1bP.jpg")</f>
        <v>http://pbs.twimg.com/media/CVcz6WRW4AAP1bP.jpg</v>
      </c>
      <c r="N2471">
        <v>0</v>
      </c>
      <c r="O2471">
        <v>0</v>
      </c>
      <c r="P2471">
        <v>1</v>
      </c>
      <c r="Q2471">
        <v>0</v>
      </c>
    </row>
    <row r="2472" spans="1:17" x14ac:dyDescent="0.2">
      <c r="A2472" s="1" t="str">
        <f>HYPERLINK("http://www.twitter.com/Ugo_Roux/status/673063636450021376", "673063636450021376")</f>
        <v>673063636450021376</v>
      </c>
      <c r="B2472" t="s">
        <v>476</v>
      </c>
      <c r="C2472" s="3">
        <v>42343.373263888891</v>
      </c>
      <c r="D2472" s="5" t="s">
        <v>41</v>
      </c>
      <c r="E2472">
        <v>0</v>
      </c>
      <c r="F2472">
        <v>0</v>
      </c>
      <c r="G2472">
        <v>0</v>
      </c>
      <c r="I2472" t="s">
        <v>2509</v>
      </c>
      <c r="N2472">
        <v>0</v>
      </c>
      <c r="O2472">
        <v>0</v>
      </c>
      <c r="P2472">
        <v>1</v>
      </c>
      <c r="Q2472">
        <v>0</v>
      </c>
    </row>
    <row r="2473" spans="1:17" x14ac:dyDescent="0.2">
      <c r="A2473" s="1" t="str">
        <f>HYPERLINK("http://www.twitter.com/Ugo_Roux/status/673057925687037952", "673057925687037952")</f>
        <v>673057925687037952</v>
      </c>
      <c r="B2473" t="s">
        <v>476</v>
      </c>
      <c r="C2473" s="3">
        <v>42343.357499999998</v>
      </c>
      <c r="D2473" s="5" t="s">
        <v>41</v>
      </c>
      <c r="E2473">
        <v>1</v>
      </c>
      <c r="F2473">
        <v>0</v>
      </c>
      <c r="G2473">
        <v>0</v>
      </c>
      <c r="I2473" t="s">
        <v>2510</v>
      </c>
      <c r="N2473">
        <v>0</v>
      </c>
      <c r="O2473">
        <v>0</v>
      </c>
      <c r="P2473">
        <v>1</v>
      </c>
      <c r="Q2473">
        <v>0</v>
      </c>
    </row>
    <row r="2474" spans="1:17" x14ac:dyDescent="0.2">
      <c r="A2474" s="1" t="str">
        <f>HYPERLINK("http://www.twitter.com/Ugo_Roux/status/671991838258106368", "671991838258106368")</f>
        <v>671991838258106368</v>
      </c>
      <c r="B2474" t="s">
        <v>476</v>
      </c>
      <c r="C2474" s="3">
        <v>42340.415659722217</v>
      </c>
      <c r="D2474" s="5" t="s">
        <v>17</v>
      </c>
      <c r="E2474">
        <v>0</v>
      </c>
      <c r="F2474">
        <v>0</v>
      </c>
      <c r="G2474">
        <v>0</v>
      </c>
      <c r="I2474" t="s">
        <v>2511</v>
      </c>
      <c r="J2474" t="str">
        <f>HYPERLINK("http://pbs.twimg.com/media/CVNlBAiWUAAcMAW.jpg", "http://pbs.twimg.com/media/CVNlBAiWUAAcMAW.jpg")</f>
        <v>http://pbs.twimg.com/media/CVNlBAiWUAAcMAW.jpg</v>
      </c>
      <c r="K2474" t="str">
        <f>HYPERLINK("http://pbs.twimg.com/media/CVNlBAyXAAAkVFc.jpg", "http://pbs.twimg.com/media/CVNlBAyXAAAkVFc.jpg")</f>
        <v>http://pbs.twimg.com/media/CVNlBAyXAAAkVFc.jpg</v>
      </c>
      <c r="L2474" t="str">
        <f>HYPERLINK("http://pbs.twimg.com/media/CVNlA9FW4AAtSQi.jpg", "http://pbs.twimg.com/media/CVNlA9FW4AAtSQi.jpg")</f>
        <v>http://pbs.twimg.com/media/CVNlA9FW4AAtSQi.jpg</v>
      </c>
      <c r="N2474">
        <v>0</v>
      </c>
      <c r="O2474">
        <v>0</v>
      </c>
      <c r="P2474">
        <v>1</v>
      </c>
      <c r="Q2474">
        <v>0</v>
      </c>
    </row>
    <row r="2475" spans="1:17" x14ac:dyDescent="0.2">
      <c r="A2475" s="1" t="str">
        <f>HYPERLINK("http://www.twitter.com/Ugo_Roux/status/671729988551348227", "671729988551348227")</f>
        <v>671729988551348227</v>
      </c>
      <c r="B2475" t="s">
        <v>97</v>
      </c>
      <c r="C2475" s="3">
        <v>42339.693101851852</v>
      </c>
      <c r="D2475" s="5" t="s">
        <v>17</v>
      </c>
      <c r="E2475">
        <v>0</v>
      </c>
      <c r="F2475">
        <v>0</v>
      </c>
      <c r="G2475">
        <v>0</v>
      </c>
      <c r="I2475" t="s">
        <v>2512</v>
      </c>
      <c r="J2475" t="str">
        <f>HYPERLINK("http://pbs.twimg.com/media/CVJ23VQUYAE-t0_.jpg", "http://pbs.twimg.com/media/CVJ23VQUYAE-t0_.jpg")</f>
        <v>http://pbs.twimg.com/media/CVJ23VQUYAE-t0_.jpg</v>
      </c>
      <c r="N2475">
        <v>0</v>
      </c>
      <c r="O2475">
        <v>0</v>
      </c>
      <c r="P2475">
        <v>1</v>
      </c>
      <c r="Q2475">
        <v>0</v>
      </c>
    </row>
    <row r="2476" spans="1:17" x14ac:dyDescent="0.2">
      <c r="A2476" s="1" t="str">
        <f>HYPERLINK("http://www.twitter.com/Ugo_Roux/status/671407641688678402", "671407641688678402")</f>
        <v>671407641688678402</v>
      </c>
      <c r="B2476" t="s">
        <v>47</v>
      </c>
      <c r="C2476" s="3">
        <v>42338.803587962961</v>
      </c>
      <c r="D2476" s="5" t="s">
        <v>17</v>
      </c>
      <c r="E2476">
        <v>2</v>
      </c>
      <c r="F2476">
        <v>0</v>
      </c>
      <c r="G2476">
        <v>0</v>
      </c>
      <c r="I2476" t="s">
        <v>2513</v>
      </c>
      <c r="N2476">
        <v>0</v>
      </c>
      <c r="O2476">
        <v>0</v>
      </c>
      <c r="P2476">
        <v>1</v>
      </c>
      <c r="Q2476">
        <v>0</v>
      </c>
    </row>
    <row r="2477" spans="1:17" x14ac:dyDescent="0.2">
      <c r="A2477" s="1" t="str">
        <f>HYPERLINK("http://www.twitter.com/Ugo_Roux/status/671284909768503296", "671284909768503296")</f>
        <v>671284909768503296</v>
      </c>
      <c r="B2477" t="s">
        <v>97</v>
      </c>
      <c r="C2477" s="3">
        <v>42338.464918981481</v>
      </c>
      <c r="D2477" s="5" t="s">
        <v>28</v>
      </c>
      <c r="E2477">
        <v>0</v>
      </c>
      <c r="F2477">
        <v>0</v>
      </c>
      <c r="G2477">
        <v>0</v>
      </c>
      <c r="I2477" t="s">
        <v>2514</v>
      </c>
      <c r="J2477" t="str">
        <f>HYPERLINK("http://pbs.twimg.com/media/CVDiEVVUwAE_qg7.jpg", "http://pbs.twimg.com/media/CVDiEVVUwAE_qg7.jpg")</f>
        <v>http://pbs.twimg.com/media/CVDiEVVUwAE_qg7.jpg</v>
      </c>
      <c r="N2477">
        <v>0.49259999999999998</v>
      </c>
      <c r="O2477">
        <v>0</v>
      </c>
      <c r="P2477">
        <v>0.75800000000000001</v>
      </c>
      <c r="Q2477">
        <v>0.24199999999999999</v>
      </c>
    </row>
    <row r="2478" spans="1:17" x14ac:dyDescent="0.2">
      <c r="A2478" s="1" t="str">
        <f>HYPERLINK("http://www.twitter.com/Ugo_Roux/status/670314807275487233", "670314807275487233")</f>
        <v>670314807275487233</v>
      </c>
      <c r="B2478" t="s">
        <v>16</v>
      </c>
      <c r="C2478" s="3">
        <v>42335.787939814807</v>
      </c>
      <c r="D2478" s="3" t="s">
        <v>17</v>
      </c>
      <c r="E2478">
        <v>0</v>
      </c>
      <c r="F2478">
        <v>0</v>
      </c>
      <c r="G2478">
        <v>0</v>
      </c>
      <c r="I2478" t="s">
        <v>2515</v>
      </c>
      <c r="J2478" t="str">
        <f>HYPERLINK("http://pbs.twimg.com/media/CU1vvENWwAAJ02y.jpg", "http://pbs.twimg.com/media/CU1vvENWwAAJ02y.jpg")</f>
        <v>http://pbs.twimg.com/media/CU1vvENWwAAJ02y.jpg</v>
      </c>
      <c r="N2478">
        <v>0</v>
      </c>
      <c r="O2478">
        <v>0</v>
      </c>
      <c r="P2478">
        <v>1</v>
      </c>
      <c r="Q2478">
        <v>0</v>
      </c>
    </row>
    <row r="2479" spans="1:17" x14ac:dyDescent="0.2">
      <c r="A2479" s="1" t="str">
        <f>HYPERLINK("http://www.twitter.com/Ugo_Roux/status/669853686361751556", "669853686361751556")</f>
        <v>669853686361751556</v>
      </c>
      <c r="B2479" t="s">
        <v>97</v>
      </c>
      <c r="C2479" s="3">
        <v>42334.515486111108</v>
      </c>
      <c r="D2479" s="5" t="s">
        <v>28</v>
      </c>
      <c r="E2479">
        <v>0</v>
      </c>
      <c r="F2479">
        <v>0</v>
      </c>
      <c r="G2479">
        <v>0</v>
      </c>
      <c r="I2479" t="s">
        <v>2516</v>
      </c>
      <c r="J2479" t="str">
        <f>HYPERLINK("http://pbs.twimg.com/media/CUvMYKRVAAI0QRZ.jpg", "http://pbs.twimg.com/media/CUvMYKRVAAI0QRZ.jpg")</f>
        <v>http://pbs.twimg.com/media/CUvMYKRVAAI0QRZ.jpg</v>
      </c>
      <c r="N2479">
        <v>0</v>
      </c>
      <c r="O2479">
        <v>0</v>
      </c>
      <c r="P2479">
        <v>1</v>
      </c>
      <c r="Q2479">
        <v>0</v>
      </c>
    </row>
    <row r="2480" spans="1:17" x14ac:dyDescent="0.2">
      <c r="A2480" s="1" t="str">
        <f>HYPERLINK("http://www.twitter.com/Ugo_Roux/status/669807929218887680", "669807929218887680")</f>
        <v>669807929218887680</v>
      </c>
      <c r="B2480" t="s">
        <v>370</v>
      </c>
      <c r="C2480" s="3">
        <v>42334.389224537037</v>
      </c>
      <c r="D2480" s="5" t="s">
        <v>41</v>
      </c>
      <c r="E2480">
        <v>0</v>
      </c>
      <c r="F2480">
        <v>0</v>
      </c>
      <c r="G2480">
        <v>0</v>
      </c>
      <c r="I2480" t="s">
        <v>2517</v>
      </c>
      <c r="J2480" t="str">
        <f>HYPERLINK("http://pbs.twimg.com/media/CUuiwwBUsAAXmhN.jpg", "http://pbs.twimg.com/media/CUuiwwBUsAAXmhN.jpg")</f>
        <v>http://pbs.twimg.com/media/CUuiwwBUsAAXmhN.jpg</v>
      </c>
      <c r="N2480">
        <v>0</v>
      </c>
      <c r="O2480">
        <v>0</v>
      </c>
      <c r="P2480">
        <v>1</v>
      </c>
      <c r="Q2480">
        <v>0</v>
      </c>
    </row>
    <row r="2481" spans="1:17" x14ac:dyDescent="0.2">
      <c r="A2481" s="1" t="str">
        <f>HYPERLINK("http://www.twitter.com/Ugo_Roux/status/669443787056406529", "669443787056406529")</f>
        <v>669443787056406529</v>
      </c>
      <c r="B2481" t="s">
        <v>476</v>
      </c>
      <c r="C2481" s="3">
        <v>42333.384386574071</v>
      </c>
      <c r="D2481" s="5" t="s">
        <v>41</v>
      </c>
      <c r="E2481">
        <v>0</v>
      </c>
      <c r="F2481">
        <v>1</v>
      </c>
      <c r="G2481">
        <v>0</v>
      </c>
      <c r="I2481" t="s">
        <v>2518</v>
      </c>
      <c r="J2481" t="str">
        <f>HYPERLINK("http://pbs.twimg.com/media/CUpXkSTWIAAkOMP.jpg", "http://pbs.twimg.com/media/CUpXkSTWIAAkOMP.jpg")</f>
        <v>http://pbs.twimg.com/media/CUpXkSTWIAAkOMP.jpg</v>
      </c>
      <c r="K2481" t="str">
        <f>HYPERLINK("http://pbs.twimg.com/media/CUpXk2RWoAALtN9.jpg", "http://pbs.twimg.com/media/CUpXk2RWoAALtN9.jpg")</f>
        <v>http://pbs.twimg.com/media/CUpXk2RWoAALtN9.jpg</v>
      </c>
      <c r="L2481" t="str">
        <f>HYPERLINK("http://pbs.twimg.com/media/CUpXkYEWUAAVP8s.jpg", "http://pbs.twimg.com/media/CUpXkYEWUAAVP8s.jpg")</f>
        <v>http://pbs.twimg.com/media/CUpXkYEWUAAVP8s.jpg</v>
      </c>
      <c r="M2481" t="str">
        <f>HYPERLINK("http://pbs.twimg.com/media/CUpXkhlW4AA7znp.jpg", "http://pbs.twimg.com/media/CUpXkhlW4AA7znp.jpg")</f>
        <v>http://pbs.twimg.com/media/CUpXkhlW4AA7znp.jpg</v>
      </c>
      <c r="N2481">
        <v>0</v>
      </c>
      <c r="O2481">
        <v>0</v>
      </c>
      <c r="P2481">
        <v>1</v>
      </c>
      <c r="Q2481">
        <v>0</v>
      </c>
    </row>
    <row r="2482" spans="1:17" x14ac:dyDescent="0.2">
      <c r="A2482" s="1" t="str">
        <f>HYPERLINK("http://www.twitter.com/Ugo_Roux/status/669186877690241024", "669186877690241024")</f>
        <v>669186877690241024</v>
      </c>
      <c r="B2482" t="s">
        <v>370</v>
      </c>
      <c r="C2482" s="3">
        <v>42332.675451388888</v>
      </c>
      <c r="D2482" s="5" t="s">
        <v>24</v>
      </c>
      <c r="E2482">
        <v>0</v>
      </c>
      <c r="F2482">
        <v>0</v>
      </c>
      <c r="G2482">
        <v>0</v>
      </c>
      <c r="I2482" t="s">
        <v>2519</v>
      </c>
      <c r="N2482">
        <v>0</v>
      </c>
      <c r="O2482">
        <v>0</v>
      </c>
      <c r="P2482">
        <v>1</v>
      </c>
      <c r="Q2482">
        <v>0</v>
      </c>
    </row>
    <row r="2483" spans="1:17" x14ac:dyDescent="0.2">
      <c r="A2483" s="1" t="str">
        <f>HYPERLINK("http://www.twitter.com/Ugo_Roux/status/669186422432141312", "669186422432141312")</f>
        <v>669186422432141312</v>
      </c>
      <c r="B2483" t="s">
        <v>370</v>
      </c>
      <c r="C2483" s="3">
        <v>42332.674189814818</v>
      </c>
      <c r="D2483" s="5" t="s">
        <v>28</v>
      </c>
      <c r="E2483">
        <v>0</v>
      </c>
      <c r="F2483">
        <v>0</v>
      </c>
      <c r="G2483">
        <v>0</v>
      </c>
      <c r="I2483" t="s">
        <v>2520</v>
      </c>
      <c r="N2483">
        <v>0</v>
      </c>
      <c r="O2483">
        <v>0</v>
      </c>
      <c r="P2483">
        <v>1</v>
      </c>
      <c r="Q2483">
        <v>0</v>
      </c>
    </row>
    <row r="2484" spans="1:17" x14ac:dyDescent="0.2">
      <c r="A2484" s="1" t="str">
        <f>HYPERLINK("http://www.twitter.com/Ugo_Roux/status/669092760528404480", "669092760528404480")</f>
        <v>669092760528404480</v>
      </c>
      <c r="B2484" t="s">
        <v>97</v>
      </c>
      <c r="C2484" s="3">
        <v>42332.415729166663</v>
      </c>
      <c r="D2484" s="5" t="s">
        <v>41</v>
      </c>
      <c r="E2484">
        <v>0</v>
      </c>
      <c r="F2484">
        <v>0</v>
      </c>
      <c r="G2484">
        <v>0</v>
      </c>
      <c r="I2484" t="s">
        <v>2521</v>
      </c>
      <c r="J2484" t="str">
        <f>HYPERLINK("http://pbs.twimg.com/media/CUkYUczUAAAYuD6.jpg", "http://pbs.twimg.com/media/CUkYUczUAAAYuD6.jpg")</f>
        <v>http://pbs.twimg.com/media/CUkYUczUAAAYuD6.jpg</v>
      </c>
      <c r="N2484">
        <v>0</v>
      </c>
      <c r="O2484">
        <v>0</v>
      </c>
      <c r="P2484">
        <v>1</v>
      </c>
      <c r="Q2484">
        <v>0</v>
      </c>
    </row>
    <row r="2485" spans="1:17" x14ac:dyDescent="0.2">
      <c r="A2485" s="1" t="str">
        <f>HYPERLINK("http://www.twitter.com/Ugo_Roux/status/668092123045044225", "668092123045044225")</f>
        <v>668092123045044225</v>
      </c>
      <c r="B2485" t="s">
        <v>47</v>
      </c>
      <c r="C2485" s="3">
        <v>42329.654502314806</v>
      </c>
      <c r="D2485" s="5" t="s">
        <v>41</v>
      </c>
      <c r="E2485">
        <v>7</v>
      </c>
      <c r="F2485">
        <v>6</v>
      </c>
      <c r="G2485">
        <v>1</v>
      </c>
      <c r="I2485" t="s">
        <v>2522</v>
      </c>
      <c r="J2485" t="str">
        <f>HYPERLINK("http://pbs.twimg.com/media/CUWKPqlXAAE9fEQ.jpg", "http://pbs.twimg.com/media/CUWKPqlXAAE9fEQ.jpg")</f>
        <v>http://pbs.twimg.com/media/CUWKPqlXAAE9fEQ.jpg</v>
      </c>
      <c r="K2485" t="str">
        <f>HYPERLINK("http://pbs.twimg.com/media/CUWKPc_XIAAt_Zz.jpg", "http://pbs.twimg.com/media/CUWKPc_XIAAt_Zz.jpg")</f>
        <v>http://pbs.twimg.com/media/CUWKPc_XIAAt_Zz.jpg</v>
      </c>
      <c r="N2485">
        <v>0</v>
      </c>
      <c r="O2485">
        <v>0</v>
      </c>
      <c r="P2485">
        <v>1</v>
      </c>
      <c r="Q2485">
        <v>0</v>
      </c>
    </row>
    <row r="2486" spans="1:17" x14ac:dyDescent="0.2">
      <c r="A2486" s="1" t="str">
        <f>HYPERLINK("http://www.twitter.com/Ugo_Roux/status/667724827999019008", "667724827999019008")</f>
        <v>667724827999019008</v>
      </c>
      <c r="B2486" t="s">
        <v>16</v>
      </c>
      <c r="C2486" s="3">
        <v>42328.640960648147</v>
      </c>
      <c r="D2486" s="3" t="s">
        <v>28</v>
      </c>
      <c r="E2486">
        <v>1</v>
      </c>
      <c r="F2486">
        <v>1</v>
      </c>
      <c r="G2486">
        <v>0</v>
      </c>
      <c r="I2486" t="s">
        <v>2523</v>
      </c>
      <c r="J2486" t="str">
        <f>HYPERLINK("http://pbs.twimg.com/media/CUQ8MLXW4AAAQNu.jpg", "http://pbs.twimg.com/media/CUQ8MLXW4AAAQNu.jpg")</f>
        <v>http://pbs.twimg.com/media/CUQ8MLXW4AAAQNu.jpg</v>
      </c>
      <c r="K2486" t="str">
        <f>HYPERLINK("http://pbs.twimg.com/media/CUQ8MTpXIAAuxGk.jpg", "http://pbs.twimg.com/media/CUQ8MTpXIAAuxGk.jpg")</f>
        <v>http://pbs.twimg.com/media/CUQ8MTpXIAAuxGk.jpg</v>
      </c>
      <c r="N2486">
        <v>0</v>
      </c>
      <c r="O2486">
        <v>0</v>
      </c>
      <c r="P2486">
        <v>1</v>
      </c>
      <c r="Q2486">
        <v>0</v>
      </c>
    </row>
    <row r="2487" spans="1:17" x14ac:dyDescent="0.2">
      <c r="A2487" s="1" t="str">
        <f>HYPERLINK("http://www.twitter.com/Ugo_Roux/status/667635695687741440", "667635695687741440")</f>
        <v>667635695687741440</v>
      </c>
      <c r="B2487" t="s">
        <v>476</v>
      </c>
      <c r="C2487" s="3">
        <v>42328.394999999997</v>
      </c>
      <c r="D2487" s="5" t="s">
        <v>17</v>
      </c>
      <c r="E2487">
        <v>0</v>
      </c>
      <c r="F2487">
        <v>0</v>
      </c>
      <c r="G2487">
        <v>0</v>
      </c>
      <c r="I2487" t="s">
        <v>2524</v>
      </c>
      <c r="J2487" t="str">
        <f>HYPERLINK("http://pbs.twimg.com/media/CUPrIIeWIAAosvw.jpg", "http://pbs.twimg.com/media/CUPrIIeWIAAosvw.jpg")</f>
        <v>http://pbs.twimg.com/media/CUPrIIeWIAAosvw.jpg</v>
      </c>
      <c r="N2487">
        <v>0</v>
      </c>
      <c r="O2487">
        <v>0</v>
      </c>
      <c r="P2487">
        <v>1</v>
      </c>
      <c r="Q2487">
        <v>0</v>
      </c>
    </row>
    <row r="2488" spans="1:17" x14ac:dyDescent="0.2">
      <c r="A2488" s="1" t="str">
        <f>HYPERLINK("http://www.twitter.com/Ugo_Roux/status/667263515070226432", "667263515070226432")</f>
        <v>667263515070226432</v>
      </c>
      <c r="B2488" t="s">
        <v>476</v>
      </c>
      <c r="C2488" s="3">
        <v>42327.367974537039</v>
      </c>
      <c r="D2488" s="5" t="s">
        <v>28</v>
      </c>
      <c r="E2488">
        <v>1</v>
      </c>
      <c r="F2488">
        <v>0</v>
      </c>
      <c r="G2488">
        <v>0</v>
      </c>
      <c r="I2488" t="s">
        <v>2525</v>
      </c>
      <c r="J2488" t="str">
        <f>HYPERLINK("http://pbs.twimg.com/media/CUKYoO4WoAAJM68.jpg", "http://pbs.twimg.com/media/CUKYoO4WoAAJM68.jpg")</f>
        <v>http://pbs.twimg.com/media/CUKYoO4WoAAJM68.jpg</v>
      </c>
      <c r="N2488">
        <v>0</v>
      </c>
      <c r="O2488">
        <v>0</v>
      </c>
      <c r="P2488">
        <v>1</v>
      </c>
      <c r="Q2488">
        <v>0</v>
      </c>
    </row>
    <row r="2489" spans="1:17" x14ac:dyDescent="0.2">
      <c r="A2489" s="1" t="str">
        <f>HYPERLINK("http://www.twitter.com/Ugo_Roux/status/666894423071043584", "666894423071043584")</f>
        <v>666894423071043584</v>
      </c>
      <c r="B2489" t="s">
        <v>476</v>
      </c>
      <c r="C2489" s="3">
        <v>42326.349479166667</v>
      </c>
      <c r="D2489" s="5" t="s">
        <v>24</v>
      </c>
      <c r="E2489">
        <v>2</v>
      </c>
      <c r="F2489">
        <v>2</v>
      </c>
      <c r="G2489">
        <v>0</v>
      </c>
      <c r="I2489" t="s">
        <v>2526</v>
      </c>
      <c r="J2489" t="str">
        <f>HYPERLINK("http://pbs.twimg.com/media/CUFI8WbWcAAKcN8.jpg", "http://pbs.twimg.com/media/CUFI8WbWcAAKcN8.jpg")</f>
        <v>http://pbs.twimg.com/media/CUFI8WbWcAAKcN8.jpg</v>
      </c>
      <c r="N2489">
        <v>0</v>
      </c>
      <c r="O2489">
        <v>0</v>
      </c>
      <c r="P2489">
        <v>1</v>
      </c>
      <c r="Q2489">
        <v>0</v>
      </c>
    </row>
    <row r="2490" spans="1:17" x14ac:dyDescent="0.2">
      <c r="A2490" s="1" t="str">
        <f>HYPERLINK("http://www.twitter.com/Ugo_Roux/status/666589826670567424", "666589826670567424")</f>
        <v>666589826670567424</v>
      </c>
      <c r="B2490" t="s">
        <v>476</v>
      </c>
      <c r="C2490" s="3">
        <v>42325.508946759262</v>
      </c>
      <c r="D2490" s="5" t="s">
        <v>239</v>
      </c>
      <c r="E2490">
        <v>0</v>
      </c>
      <c r="F2490">
        <v>0</v>
      </c>
      <c r="G2490">
        <v>0</v>
      </c>
      <c r="I2490" t="s">
        <v>2527</v>
      </c>
      <c r="J2490" t="str">
        <f>HYPERLINK("http://pbs.twimg.com/media/CUAz6gTWwAAy-2Z.jpg", "http://pbs.twimg.com/media/CUAz6gTWwAAy-2Z.jpg")</f>
        <v>http://pbs.twimg.com/media/CUAz6gTWwAAy-2Z.jpg</v>
      </c>
      <c r="N2490">
        <v>0</v>
      </c>
      <c r="O2490">
        <v>0</v>
      </c>
      <c r="P2490">
        <v>1</v>
      </c>
      <c r="Q2490">
        <v>0</v>
      </c>
    </row>
    <row r="2491" spans="1:17" x14ac:dyDescent="0.2">
      <c r="A2491" s="1" t="str">
        <f>HYPERLINK("http://www.twitter.com/Ugo_Roux/status/666588031239999488", "666588031239999488")</f>
        <v>666588031239999488</v>
      </c>
      <c r="B2491" t="s">
        <v>16</v>
      </c>
      <c r="C2491" s="3">
        <v>42325.503993055558</v>
      </c>
      <c r="D2491" s="3" t="s">
        <v>17</v>
      </c>
      <c r="E2491">
        <v>0</v>
      </c>
      <c r="F2491">
        <v>1</v>
      </c>
      <c r="G2491">
        <v>0</v>
      </c>
      <c r="I2491" t="s">
        <v>2528</v>
      </c>
      <c r="N2491">
        <v>0</v>
      </c>
      <c r="O2491">
        <v>0</v>
      </c>
      <c r="P2491">
        <v>1</v>
      </c>
      <c r="Q2491">
        <v>0</v>
      </c>
    </row>
    <row r="2492" spans="1:17" x14ac:dyDescent="0.2">
      <c r="A2492" s="1" t="str">
        <f>HYPERLINK("http://www.twitter.com/Ugo_Roux/status/665444489188810752", "665444489188810752")</f>
        <v>665444489188810752</v>
      </c>
      <c r="B2492" t="s">
        <v>16</v>
      </c>
      <c r="C2492" s="3">
        <v>42322.348425925928</v>
      </c>
      <c r="D2492" s="3" t="s">
        <v>41</v>
      </c>
      <c r="E2492">
        <v>2</v>
      </c>
      <c r="F2492">
        <v>2</v>
      </c>
      <c r="G2492">
        <v>0</v>
      </c>
      <c r="I2492" t="s">
        <v>2529</v>
      </c>
      <c r="J2492" t="str">
        <f>HYPERLINK("http://pbs.twimg.com/media/CTwiPD_XAAAU5q-.jpg", "http://pbs.twimg.com/media/CTwiPD_XAAAU5q-.jpg")</f>
        <v>http://pbs.twimg.com/media/CTwiPD_XAAAU5q-.jpg</v>
      </c>
      <c r="N2492">
        <v>0</v>
      </c>
      <c r="O2492">
        <v>0</v>
      </c>
      <c r="P2492">
        <v>1</v>
      </c>
      <c r="Q2492">
        <v>0</v>
      </c>
    </row>
    <row r="2493" spans="1:17" x14ac:dyDescent="0.2">
      <c r="A2493" s="1" t="str">
        <f>HYPERLINK("http://www.twitter.com/Ugo_Roux/status/665188937510596608", "665188937510596608")</f>
        <v>665188937510596608</v>
      </c>
      <c r="B2493" t="s">
        <v>47</v>
      </c>
      <c r="C2493" s="3">
        <v>42321.643229166657</v>
      </c>
      <c r="D2493" s="5" t="s">
        <v>41</v>
      </c>
      <c r="E2493">
        <v>0</v>
      </c>
      <c r="F2493">
        <v>0</v>
      </c>
      <c r="G2493">
        <v>0</v>
      </c>
      <c r="I2493" t="s">
        <v>2530</v>
      </c>
      <c r="N2493">
        <v>0.45879999999999999</v>
      </c>
      <c r="O2493">
        <v>0</v>
      </c>
      <c r="P2493">
        <v>0.5</v>
      </c>
      <c r="Q2493">
        <v>0.5</v>
      </c>
    </row>
    <row r="2494" spans="1:17" x14ac:dyDescent="0.2">
      <c r="A2494" s="1" t="str">
        <f>HYPERLINK("http://www.twitter.com/Ugo_Roux/status/665188193252282368", "665188193252282368")</f>
        <v>665188193252282368</v>
      </c>
      <c r="B2494" t="s">
        <v>16</v>
      </c>
      <c r="C2494" s="3">
        <v>42321.641180555547</v>
      </c>
      <c r="D2494" s="3" t="s">
        <v>17</v>
      </c>
      <c r="E2494">
        <v>0</v>
      </c>
      <c r="F2494">
        <v>0</v>
      </c>
      <c r="G2494">
        <v>0</v>
      </c>
      <c r="I2494" t="s">
        <v>2531</v>
      </c>
      <c r="J2494" t="str">
        <f>HYPERLINK("http://pbs.twimg.com/media/CTs5IVpWIAA1A_T.jpg", "http://pbs.twimg.com/media/CTs5IVpWIAA1A_T.jpg")</f>
        <v>http://pbs.twimg.com/media/CTs5IVpWIAA1A_T.jpg</v>
      </c>
      <c r="N2494">
        <v>0.2263</v>
      </c>
      <c r="O2494">
        <v>0</v>
      </c>
      <c r="P2494">
        <v>0.90900000000000003</v>
      </c>
      <c r="Q2494">
        <v>9.0999999999999998E-2</v>
      </c>
    </row>
    <row r="2495" spans="1:17" x14ac:dyDescent="0.2">
      <c r="A2495" s="1" t="str">
        <f>HYPERLINK("http://www.twitter.com/Ugo_Roux/status/665160733588459520", "665160733588459520")</f>
        <v>665160733588459520</v>
      </c>
      <c r="B2495" t="s">
        <v>47</v>
      </c>
      <c r="C2495" s="3">
        <v>42321.565405092602</v>
      </c>
      <c r="D2495" s="5" t="s">
        <v>28</v>
      </c>
      <c r="E2495">
        <v>1</v>
      </c>
      <c r="F2495">
        <v>2</v>
      </c>
      <c r="G2495">
        <v>0</v>
      </c>
      <c r="I2495" t="s">
        <v>2532</v>
      </c>
      <c r="N2495">
        <v>0</v>
      </c>
      <c r="O2495">
        <v>0</v>
      </c>
      <c r="P2495">
        <v>1</v>
      </c>
      <c r="Q2495">
        <v>0</v>
      </c>
    </row>
    <row r="2496" spans="1:17" x14ac:dyDescent="0.2">
      <c r="A2496" s="1" t="str">
        <f>HYPERLINK("http://www.twitter.com/Ugo_Roux/status/665115074147835904", "665115074147835904")</f>
        <v>665115074147835904</v>
      </c>
      <c r="B2496" t="s">
        <v>476</v>
      </c>
      <c r="C2496" s="3">
        <v>42321.439409722218</v>
      </c>
      <c r="D2496" s="5" t="s">
        <v>28</v>
      </c>
      <c r="E2496">
        <v>0</v>
      </c>
      <c r="F2496">
        <v>0</v>
      </c>
      <c r="G2496">
        <v>0</v>
      </c>
      <c r="I2496" t="s">
        <v>2533</v>
      </c>
      <c r="N2496">
        <v>0</v>
      </c>
      <c r="O2496">
        <v>0</v>
      </c>
      <c r="P2496">
        <v>1</v>
      </c>
      <c r="Q2496">
        <v>0</v>
      </c>
    </row>
    <row r="2497" spans="1:17" x14ac:dyDescent="0.2">
      <c r="A2497" s="1" t="str">
        <f>HYPERLINK("http://www.twitter.com/Ugo_Roux/status/664811615959797760", "664811615959797760")</f>
        <v>664811615959797760</v>
      </c>
      <c r="B2497" t="s">
        <v>476</v>
      </c>
      <c r="C2497" s="3">
        <v>42320.602025462962</v>
      </c>
      <c r="D2497" s="5" t="s">
        <v>28</v>
      </c>
      <c r="E2497">
        <v>0</v>
      </c>
      <c r="F2497">
        <v>0</v>
      </c>
      <c r="G2497">
        <v>0</v>
      </c>
      <c r="I2497" t="s">
        <v>2534</v>
      </c>
      <c r="N2497">
        <v>0</v>
      </c>
      <c r="O2497">
        <v>0</v>
      </c>
      <c r="P2497">
        <v>1</v>
      </c>
      <c r="Q2497">
        <v>0</v>
      </c>
    </row>
    <row r="2498" spans="1:17" x14ac:dyDescent="0.2">
      <c r="A2498" s="1" t="str">
        <f>HYPERLINK("http://www.twitter.com/Ugo_Roux/status/663763176039706624", "663763176039706624")</f>
        <v>663763176039706624</v>
      </c>
      <c r="B2498" t="s">
        <v>97</v>
      </c>
      <c r="C2498" s="3">
        <v>42317.708877314813</v>
      </c>
      <c r="D2498" s="5" t="s">
        <v>28</v>
      </c>
      <c r="E2498">
        <v>0</v>
      </c>
      <c r="F2498">
        <v>0</v>
      </c>
      <c r="G2498">
        <v>0</v>
      </c>
      <c r="I2498" t="s">
        <v>2535</v>
      </c>
      <c r="J2498" t="str">
        <f>HYPERLINK("http://pbs.twimg.com/media/CTYpFz4VAAEGvWI.jpg", "http://pbs.twimg.com/media/CTYpFz4VAAEGvWI.jpg")</f>
        <v>http://pbs.twimg.com/media/CTYpFz4VAAEGvWI.jpg</v>
      </c>
      <c r="N2498">
        <v>0</v>
      </c>
      <c r="O2498">
        <v>0</v>
      </c>
      <c r="P2498">
        <v>1</v>
      </c>
      <c r="Q2498">
        <v>0</v>
      </c>
    </row>
    <row r="2499" spans="1:17" x14ac:dyDescent="0.2">
      <c r="A2499" s="1" t="str">
        <f>HYPERLINK("http://www.twitter.com/Ugo_Roux/status/663016955788591104", "663016955788591104")</f>
        <v>663016955788591104</v>
      </c>
      <c r="B2499" t="s">
        <v>47</v>
      </c>
      <c r="C2499" s="3">
        <v>42315.649710648147</v>
      </c>
      <c r="D2499" s="5" t="s">
        <v>17</v>
      </c>
      <c r="E2499">
        <v>7</v>
      </c>
      <c r="F2499">
        <v>9</v>
      </c>
      <c r="G2499">
        <v>0</v>
      </c>
      <c r="I2499" t="s">
        <v>2536</v>
      </c>
      <c r="J2499" t="str">
        <f>HYPERLINK("http://pbs.twimg.com/media/CTOCaEiWsAAA7kx.jpg", "http://pbs.twimg.com/media/CTOCaEiWsAAA7kx.jpg")</f>
        <v>http://pbs.twimg.com/media/CTOCaEiWsAAA7kx.jpg</v>
      </c>
      <c r="N2499">
        <v>0</v>
      </c>
      <c r="O2499">
        <v>0</v>
      </c>
      <c r="P2499">
        <v>1</v>
      </c>
      <c r="Q2499">
        <v>0</v>
      </c>
    </row>
    <row r="2500" spans="1:17" x14ac:dyDescent="0.2">
      <c r="A2500" s="1" t="str">
        <f>HYPERLINK("http://www.twitter.com/Ugo_Roux/status/662995514451881984", "662995514451881984")</f>
        <v>662995514451881984</v>
      </c>
      <c r="B2500" t="s">
        <v>97</v>
      </c>
      <c r="C2500" s="3">
        <v>42315.590543981481</v>
      </c>
      <c r="D2500" s="5" t="s">
        <v>28</v>
      </c>
      <c r="E2500">
        <v>0</v>
      </c>
      <c r="F2500">
        <v>0</v>
      </c>
      <c r="G2500">
        <v>0</v>
      </c>
      <c r="I2500" t="s">
        <v>2537</v>
      </c>
      <c r="J2500" t="str">
        <f>HYPERLINK("http://pbs.twimg.com/media/CTNu6BKUAAE9O1U.jpg", "http://pbs.twimg.com/media/CTNu6BKUAAE9O1U.jpg")</f>
        <v>http://pbs.twimg.com/media/CTNu6BKUAAE9O1U.jpg</v>
      </c>
      <c r="N2500">
        <v>0</v>
      </c>
      <c r="O2500">
        <v>0</v>
      </c>
      <c r="P2500">
        <v>1</v>
      </c>
      <c r="Q2500">
        <v>0</v>
      </c>
    </row>
    <row r="2501" spans="1:17" x14ac:dyDescent="0.2">
      <c r="A2501" s="1" t="str">
        <f>HYPERLINK("http://www.twitter.com/Ugo_Roux/status/662208081158213632", "662208081158213632")</f>
        <v>662208081158213632</v>
      </c>
      <c r="B2501" t="s">
        <v>370</v>
      </c>
      <c r="C2501" s="3">
        <v>42313.417638888888</v>
      </c>
      <c r="D2501" s="5" t="s">
        <v>28</v>
      </c>
      <c r="E2501">
        <v>0</v>
      </c>
      <c r="F2501">
        <v>0</v>
      </c>
      <c r="G2501">
        <v>0</v>
      </c>
      <c r="I2501" t="s">
        <v>2538</v>
      </c>
      <c r="J2501" t="str">
        <f>HYPERLINK("http://pbs.twimg.com/media/CTCivVtUEAAH34q.jpg", "http://pbs.twimg.com/media/CTCivVtUEAAH34q.jpg")</f>
        <v>http://pbs.twimg.com/media/CTCivVtUEAAH34q.jpg</v>
      </c>
      <c r="N2501">
        <v>0</v>
      </c>
      <c r="O2501">
        <v>0</v>
      </c>
      <c r="P2501">
        <v>1</v>
      </c>
      <c r="Q2501">
        <v>0</v>
      </c>
    </row>
    <row r="2502" spans="1:17" x14ac:dyDescent="0.2">
      <c r="A2502" s="1" t="str">
        <f>HYPERLINK("http://www.twitter.com/Ugo_Roux/status/662207151352377345", "662207151352377345")</f>
        <v>662207151352377345</v>
      </c>
      <c r="B2502" t="s">
        <v>370</v>
      </c>
      <c r="C2502" s="3">
        <v>42313.415069444447</v>
      </c>
      <c r="D2502" s="5" t="s">
        <v>28</v>
      </c>
      <c r="E2502">
        <v>0</v>
      </c>
      <c r="F2502">
        <v>0</v>
      </c>
      <c r="G2502">
        <v>0</v>
      </c>
      <c r="I2502" t="s">
        <v>2539</v>
      </c>
      <c r="J2502" t="str">
        <f>HYPERLINK("http://pbs.twimg.com/media/CTCh5OeUcAAOsxP.jpg", "http://pbs.twimg.com/media/CTCh5OeUcAAOsxP.jpg")</f>
        <v>http://pbs.twimg.com/media/CTCh5OeUcAAOsxP.jpg</v>
      </c>
      <c r="N2502">
        <v>0</v>
      </c>
      <c r="O2502">
        <v>0</v>
      </c>
      <c r="P2502">
        <v>1</v>
      </c>
      <c r="Q2502">
        <v>0</v>
      </c>
    </row>
    <row r="2503" spans="1:17" x14ac:dyDescent="0.2">
      <c r="A2503" s="1" t="str">
        <f>HYPERLINK("http://www.twitter.com/Ugo_Roux/status/661930461929865216", "661930461929865216")</f>
        <v>661930461929865216</v>
      </c>
      <c r="B2503" t="s">
        <v>16</v>
      </c>
      <c r="C2503" s="3">
        <v>42312.651550925933</v>
      </c>
      <c r="D2503" s="3" t="s">
        <v>17</v>
      </c>
      <c r="E2503">
        <v>1</v>
      </c>
      <c r="F2503">
        <v>1</v>
      </c>
      <c r="G2503">
        <v>0</v>
      </c>
      <c r="I2503" t="s">
        <v>2540</v>
      </c>
      <c r="N2503">
        <v>0</v>
      </c>
      <c r="O2503">
        <v>0</v>
      </c>
      <c r="P2503">
        <v>1</v>
      </c>
      <c r="Q2503">
        <v>0</v>
      </c>
    </row>
    <row r="2504" spans="1:17" x14ac:dyDescent="0.2">
      <c r="A2504" s="1" t="str">
        <f>HYPERLINK("http://www.twitter.com/Ugo_Roux/status/661518206364999680", "661518206364999680")</f>
        <v>661518206364999680</v>
      </c>
      <c r="B2504" t="s">
        <v>476</v>
      </c>
      <c r="C2504" s="3">
        <v>42311.51394675926</v>
      </c>
      <c r="D2504" s="5" t="s">
        <v>17</v>
      </c>
      <c r="E2504">
        <v>0</v>
      </c>
      <c r="F2504">
        <v>0</v>
      </c>
      <c r="G2504">
        <v>0</v>
      </c>
      <c r="I2504" t="s">
        <v>2541</v>
      </c>
      <c r="N2504">
        <v>0</v>
      </c>
      <c r="O2504">
        <v>0</v>
      </c>
      <c r="P2504">
        <v>1</v>
      </c>
      <c r="Q2504">
        <v>0</v>
      </c>
    </row>
    <row r="2505" spans="1:17" x14ac:dyDescent="0.2">
      <c r="A2505" s="1" t="str">
        <f>HYPERLINK("http://www.twitter.com/Ugo_Roux/status/661507726263099392", "661507726263099392")</f>
        <v>661507726263099392</v>
      </c>
      <c r="B2505" t="s">
        <v>476</v>
      </c>
      <c r="C2505" s="3">
        <v>42311.485023148147</v>
      </c>
      <c r="D2505" s="5" t="s">
        <v>24</v>
      </c>
      <c r="E2505">
        <v>0</v>
      </c>
      <c r="F2505">
        <v>0</v>
      </c>
      <c r="G2505">
        <v>0</v>
      </c>
      <c r="I2505" t="s">
        <v>2542</v>
      </c>
      <c r="J2505" t="str">
        <f>HYPERLINK("http://pbs.twimg.com/media/CS4lxWdXIAAJ2Ak.jpg", "http://pbs.twimg.com/media/CS4lxWdXIAAJ2Ak.jpg")</f>
        <v>http://pbs.twimg.com/media/CS4lxWdXIAAJ2Ak.jpg</v>
      </c>
      <c r="N2505">
        <v>0</v>
      </c>
      <c r="O2505">
        <v>0</v>
      </c>
      <c r="P2505">
        <v>1</v>
      </c>
      <c r="Q2505">
        <v>0</v>
      </c>
    </row>
    <row r="2506" spans="1:17" x14ac:dyDescent="0.2">
      <c r="A2506" s="1" t="str">
        <f>HYPERLINK("http://www.twitter.com/Ugo_Roux/status/661112673078218752", "661112673078218752")</f>
        <v>661112673078218752</v>
      </c>
      <c r="B2506" t="s">
        <v>47</v>
      </c>
      <c r="C2506" s="3">
        <v>42310.394884259258</v>
      </c>
      <c r="D2506" s="3" t="s">
        <v>28</v>
      </c>
      <c r="E2506">
        <v>2</v>
      </c>
      <c r="F2506">
        <v>2</v>
      </c>
      <c r="G2506">
        <v>0</v>
      </c>
      <c r="I2506" t="s">
        <v>2543</v>
      </c>
      <c r="N2506">
        <v>0</v>
      </c>
      <c r="O2506">
        <v>0</v>
      </c>
      <c r="P2506">
        <v>1</v>
      </c>
      <c r="Q2506">
        <v>0</v>
      </c>
    </row>
    <row r="2507" spans="1:17" x14ac:dyDescent="0.2">
      <c r="A2507" s="1" t="str">
        <f>HYPERLINK("http://www.twitter.com/Ugo_Roux/status/660400231973023744", "660400231973023744")</f>
        <v>660400231973023744</v>
      </c>
      <c r="B2507" t="s">
        <v>16</v>
      </c>
      <c r="C2507" s="3">
        <v>42308.428923611107</v>
      </c>
      <c r="D2507" s="3" t="s">
        <v>41</v>
      </c>
      <c r="E2507">
        <v>0</v>
      </c>
      <c r="F2507">
        <v>0</v>
      </c>
      <c r="G2507">
        <v>0</v>
      </c>
      <c r="I2507" t="s">
        <v>2544</v>
      </c>
      <c r="N2507">
        <v>0</v>
      </c>
      <c r="O2507">
        <v>0</v>
      </c>
      <c r="P2507">
        <v>1</v>
      </c>
      <c r="Q2507">
        <v>0</v>
      </c>
    </row>
    <row r="2508" spans="1:17" x14ac:dyDescent="0.2">
      <c r="A2508" s="1" t="str">
        <f>HYPERLINK("http://www.twitter.com/Ugo_Roux/status/657849807462117376", "657849807462117376")</f>
        <v>657849807462117376</v>
      </c>
      <c r="B2508" t="s">
        <v>476</v>
      </c>
      <c r="C2508" s="3">
        <v>42301.391099537039</v>
      </c>
      <c r="D2508" s="5" t="s">
        <v>28</v>
      </c>
      <c r="E2508">
        <v>0</v>
      </c>
      <c r="F2508">
        <v>0</v>
      </c>
      <c r="G2508">
        <v>0</v>
      </c>
      <c r="I2508" t="s">
        <v>2545</v>
      </c>
      <c r="N2508">
        <v>0</v>
      </c>
      <c r="O2508">
        <v>0</v>
      </c>
      <c r="P2508">
        <v>1</v>
      </c>
      <c r="Q2508">
        <v>0</v>
      </c>
    </row>
    <row r="2509" spans="1:17" x14ac:dyDescent="0.2">
      <c r="A2509" s="1" t="str">
        <f>HYPERLINK("http://www.twitter.com/Ugo_Roux/status/655322491083202560", "655322491083202560")</f>
        <v>655322491083202560</v>
      </c>
      <c r="B2509" t="s">
        <v>16</v>
      </c>
      <c r="C2509" s="3">
        <v>42294.417025462957</v>
      </c>
      <c r="D2509" s="3" t="s">
        <v>239</v>
      </c>
      <c r="E2509">
        <v>0</v>
      </c>
      <c r="F2509">
        <v>1</v>
      </c>
      <c r="G2509">
        <v>0</v>
      </c>
      <c r="I2509" t="s">
        <v>2546</v>
      </c>
      <c r="N2509">
        <v>0.2263</v>
      </c>
      <c r="O2509">
        <v>0</v>
      </c>
      <c r="P2509">
        <v>0.90500000000000003</v>
      </c>
      <c r="Q2509">
        <v>9.5000000000000001E-2</v>
      </c>
    </row>
    <row r="2510" spans="1:17" x14ac:dyDescent="0.2">
      <c r="A2510" s="1" t="str">
        <f>HYPERLINK("http://www.twitter.com/Ugo_Roux/status/655302890211381249", "655302890211381249")</f>
        <v>655302890211381249</v>
      </c>
      <c r="B2510" t="s">
        <v>476</v>
      </c>
      <c r="C2510" s="3">
        <v>42294.362939814811</v>
      </c>
      <c r="D2510" s="5" t="s">
        <v>28</v>
      </c>
      <c r="E2510">
        <v>1</v>
      </c>
      <c r="F2510">
        <v>0</v>
      </c>
      <c r="G2510">
        <v>0</v>
      </c>
      <c r="I2510" t="s">
        <v>2547</v>
      </c>
      <c r="N2510">
        <v>0</v>
      </c>
      <c r="O2510">
        <v>0</v>
      </c>
      <c r="P2510">
        <v>1</v>
      </c>
      <c r="Q2510">
        <v>0</v>
      </c>
    </row>
    <row r="2511" spans="1:17" x14ac:dyDescent="0.2">
      <c r="A2511" s="1" t="str">
        <f>HYPERLINK("http://www.twitter.com/Ugo_Roux/status/655301845288681472", "655301845288681472")</f>
        <v>655301845288681472</v>
      </c>
      <c r="B2511" t="s">
        <v>47</v>
      </c>
      <c r="C2511" s="3">
        <v>42294.36005787037</v>
      </c>
      <c r="D2511" s="5" t="s">
        <v>41</v>
      </c>
      <c r="E2511">
        <v>2</v>
      </c>
      <c r="F2511">
        <v>1</v>
      </c>
      <c r="G2511">
        <v>0</v>
      </c>
      <c r="I2511" t="s">
        <v>2548</v>
      </c>
      <c r="J2511" t="str">
        <f>HYPERLINK("http://pbs.twimg.com/media/CRgZjeoW0AAQyul.jpg", "http://pbs.twimg.com/media/CRgZjeoW0AAQyul.jpg")</f>
        <v>http://pbs.twimg.com/media/CRgZjeoW0AAQyul.jpg</v>
      </c>
      <c r="N2511">
        <v>0</v>
      </c>
      <c r="O2511">
        <v>0</v>
      </c>
      <c r="P2511">
        <v>1</v>
      </c>
      <c r="Q2511">
        <v>0</v>
      </c>
    </row>
    <row r="2512" spans="1:17" x14ac:dyDescent="0.2">
      <c r="A2512" s="1" t="str">
        <f>HYPERLINK("http://www.twitter.com/Ugo_Roux/status/654960889746071552", "654960889746071552")</f>
        <v>654960889746071552</v>
      </c>
      <c r="B2512" t="s">
        <v>16</v>
      </c>
      <c r="C2512" s="3">
        <v>42293.41920138889</v>
      </c>
      <c r="D2512" s="3" t="s">
        <v>17</v>
      </c>
      <c r="E2512">
        <v>0</v>
      </c>
      <c r="F2512">
        <v>0</v>
      </c>
      <c r="G2512">
        <v>0</v>
      </c>
      <c r="I2512" t="s">
        <v>2549</v>
      </c>
      <c r="J2512" t="str">
        <f>HYPERLINK("http://pbs.twimg.com/media/CRbjcj2UEAAws6e.jpg", "http://pbs.twimg.com/media/CRbjcj2UEAAws6e.jpg")</f>
        <v>http://pbs.twimg.com/media/CRbjcj2UEAAws6e.jpg</v>
      </c>
      <c r="N2512">
        <v>-0.2732</v>
      </c>
      <c r="O2512">
        <v>0.11</v>
      </c>
      <c r="P2512">
        <v>0.89</v>
      </c>
      <c r="Q2512">
        <v>0</v>
      </c>
    </row>
    <row r="2513" spans="1:17" x14ac:dyDescent="0.2">
      <c r="A2513" s="1" t="str">
        <f>HYPERLINK("http://www.twitter.com/Ugo_Roux/status/654204281126539265", "654204281126539265")</f>
        <v>654204281126539265</v>
      </c>
      <c r="B2513" t="s">
        <v>476</v>
      </c>
      <c r="C2513" s="3">
        <v>42291.331354166658</v>
      </c>
      <c r="D2513" s="5" t="s">
        <v>17</v>
      </c>
      <c r="E2513">
        <v>0</v>
      </c>
      <c r="F2513">
        <v>0</v>
      </c>
      <c r="G2513">
        <v>0</v>
      </c>
      <c r="I2513" t="s">
        <v>2550</v>
      </c>
      <c r="N2513">
        <v>0</v>
      </c>
      <c r="O2513">
        <v>0</v>
      </c>
      <c r="P2513">
        <v>1</v>
      </c>
      <c r="Q2513">
        <v>0</v>
      </c>
    </row>
    <row r="2514" spans="1:17" x14ac:dyDescent="0.2">
      <c r="A2514" s="1" t="str">
        <f>HYPERLINK("http://www.twitter.com/Ugo_Roux/status/654200763758039040", "654200763758039040")</f>
        <v>654200763758039040</v>
      </c>
      <c r="B2514" t="s">
        <v>476</v>
      </c>
      <c r="C2514" s="3">
        <v>42291.321655092594</v>
      </c>
      <c r="D2514" s="3" t="s">
        <v>17</v>
      </c>
      <c r="E2514">
        <v>0</v>
      </c>
      <c r="F2514">
        <v>0</v>
      </c>
      <c r="G2514">
        <v>0</v>
      </c>
      <c r="I2514" t="s">
        <v>2551</v>
      </c>
      <c r="N2514">
        <v>0</v>
      </c>
      <c r="O2514">
        <v>0</v>
      </c>
      <c r="P2514">
        <v>1</v>
      </c>
      <c r="Q2514">
        <v>0</v>
      </c>
    </row>
    <row r="2515" spans="1:17" x14ac:dyDescent="0.2">
      <c r="A2515" s="1" t="str">
        <f>HYPERLINK("http://www.twitter.com/Ugo_Roux/status/653998589480443904", "653998589480443904")</f>
        <v>653998589480443904</v>
      </c>
      <c r="B2515" t="s">
        <v>47</v>
      </c>
      <c r="C2515" s="3">
        <v>42290.763761574082</v>
      </c>
      <c r="D2515" s="5" t="s">
        <v>17</v>
      </c>
      <c r="E2515">
        <v>4</v>
      </c>
      <c r="F2515">
        <v>8</v>
      </c>
      <c r="G2515">
        <v>0</v>
      </c>
      <c r="I2515" t="s">
        <v>2552</v>
      </c>
      <c r="N2515">
        <v>0.25</v>
      </c>
      <c r="O2515">
        <v>0</v>
      </c>
      <c r="P2515">
        <v>0.88200000000000001</v>
      </c>
      <c r="Q2515">
        <v>0.11799999999999999</v>
      </c>
    </row>
    <row r="2516" spans="1:17" x14ac:dyDescent="0.2">
      <c r="A2516" s="1" t="str">
        <f>HYPERLINK("http://www.twitter.com/Ugo_Roux/status/653954852989460481", "653954852989460481")</f>
        <v>653954852989460481</v>
      </c>
      <c r="B2516" t="s">
        <v>97</v>
      </c>
      <c r="C2516" s="3">
        <v>42290.643067129633</v>
      </c>
      <c r="D2516" s="5" t="s">
        <v>17</v>
      </c>
      <c r="E2516">
        <v>0</v>
      </c>
      <c r="F2516">
        <v>2</v>
      </c>
      <c r="G2516">
        <v>0</v>
      </c>
      <c r="I2516" t="s">
        <v>2553</v>
      </c>
      <c r="J2516" t="str">
        <f>HYPERLINK("http://pbs.twimg.com/media/CRNQeQ0VAAEIpyj.jpg", "http://pbs.twimg.com/media/CRNQeQ0VAAEIpyj.jpg")</f>
        <v>http://pbs.twimg.com/media/CRNQeQ0VAAEIpyj.jpg</v>
      </c>
      <c r="N2516">
        <v>0</v>
      </c>
      <c r="O2516">
        <v>0</v>
      </c>
      <c r="P2516">
        <v>1</v>
      </c>
      <c r="Q2516">
        <v>0</v>
      </c>
    </row>
    <row r="2517" spans="1:17" x14ac:dyDescent="0.2">
      <c r="A2517" s="1" t="str">
        <f>HYPERLINK("http://www.twitter.com/Ugo_Roux/status/653907097843826688", "653907097843826688")</f>
        <v>653907097843826688</v>
      </c>
      <c r="B2517" t="s">
        <v>476</v>
      </c>
      <c r="C2517" s="3">
        <v>42290.511284722219</v>
      </c>
      <c r="D2517" s="5" t="s">
        <v>41</v>
      </c>
      <c r="E2517">
        <v>0</v>
      </c>
      <c r="F2517">
        <v>0</v>
      </c>
      <c r="G2517">
        <v>0</v>
      </c>
      <c r="I2517" t="s">
        <v>2554</v>
      </c>
      <c r="N2517">
        <v>0</v>
      </c>
      <c r="O2517">
        <v>0</v>
      </c>
      <c r="P2517">
        <v>1</v>
      </c>
      <c r="Q2517">
        <v>0</v>
      </c>
    </row>
    <row r="2518" spans="1:17" x14ac:dyDescent="0.2">
      <c r="A2518" s="1" t="str">
        <f>HYPERLINK("http://www.twitter.com/Ugo_Roux/status/653896623035166720", "653896623035166720")</f>
        <v>653896623035166720</v>
      </c>
      <c r="B2518" t="s">
        <v>476</v>
      </c>
      <c r="C2518" s="3">
        <v>42290.48238425926</v>
      </c>
      <c r="D2518" s="5" t="s">
        <v>28</v>
      </c>
      <c r="E2518">
        <v>0</v>
      </c>
      <c r="F2518">
        <v>0</v>
      </c>
      <c r="G2518">
        <v>0</v>
      </c>
      <c r="I2518" t="s">
        <v>2555</v>
      </c>
      <c r="J2518" t="str">
        <f>HYPERLINK("http://pbs.twimg.com/media/CRMbg04WIAA5JfB.jpg", "http://pbs.twimg.com/media/CRMbg04WIAA5JfB.jpg")</f>
        <v>http://pbs.twimg.com/media/CRMbg04WIAA5JfB.jpg</v>
      </c>
      <c r="N2518">
        <v>0.35949999999999999</v>
      </c>
      <c r="O2518">
        <v>0</v>
      </c>
      <c r="P2518">
        <v>0.88400000000000001</v>
      </c>
      <c r="Q2518">
        <v>0.11600000000000001</v>
      </c>
    </row>
    <row r="2519" spans="1:17" x14ac:dyDescent="0.2">
      <c r="A2519" s="1" t="str">
        <f>HYPERLINK("http://www.twitter.com/Ugo_Roux/status/653888356024197120", "653888356024197120")</f>
        <v>653888356024197120</v>
      </c>
      <c r="B2519" t="s">
        <v>476</v>
      </c>
      <c r="C2519" s="3">
        <v>42290.45957175926</v>
      </c>
      <c r="D2519" s="5" t="s">
        <v>41</v>
      </c>
      <c r="E2519">
        <v>0</v>
      </c>
      <c r="F2519">
        <v>0</v>
      </c>
      <c r="G2519">
        <v>0</v>
      </c>
      <c r="I2519" t="s">
        <v>2556</v>
      </c>
      <c r="N2519">
        <v>0</v>
      </c>
      <c r="O2519">
        <v>0</v>
      </c>
      <c r="P2519">
        <v>1</v>
      </c>
      <c r="Q2519">
        <v>0</v>
      </c>
    </row>
    <row r="2520" spans="1:17" x14ac:dyDescent="0.2">
      <c r="A2520" s="1" t="str">
        <f>HYPERLINK("http://www.twitter.com/Ugo_Roux/status/653883255742181376", "653883255742181376")</f>
        <v>653883255742181376</v>
      </c>
      <c r="B2520" t="s">
        <v>476</v>
      </c>
      <c r="C2520" s="3">
        <v>42290.445497685178</v>
      </c>
      <c r="D2520" s="5" t="s">
        <v>41</v>
      </c>
      <c r="E2520">
        <v>0</v>
      </c>
      <c r="F2520">
        <v>0</v>
      </c>
      <c r="G2520">
        <v>1</v>
      </c>
      <c r="I2520" t="s">
        <v>2557</v>
      </c>
      <c r="N2520">
        <v>0</v>
      </c>
      <c r="O2520">
        <v>0</v>
      </c>
      <c r="P2520">
        <v>1</v>
      </c>
      <c r="Q2520">
        <v>0</v>
      </c>
    </row>
    <row r="2521" spans="1:17" x14ac:dyDescent="0.2">
      <c r="A2521" s="1" t="str">
        <f>HYPERLINK("http://www.twitter.com/Ugo_Roux/status/652507592762245120", "652507592762245120")</f>
        <v>652507592762245120</v>
      </c>
      <c r="B2521" t="s">
        <v>16</v>
      </c>
      <c r="C2521" s="3">
        <v>42286.649386574078</v>
      </c>
      <c r="D2521" s="3" t="s">
        <v>17</v>
      </c>
      <c r="E2521">
        <v>5</v>
      </c>
      <c r="F2521">
        <v>12</v>
      </c>
      <c r="G2521">
        <v>0</v>
      </c>
      <c r="I2521" t="s">
        <v>2558</v>
      </c>
      <c r="J2521" t="str">
        <f>HYPERLINK("http://pbs.twimg.com/media/CQ4sMmDWwAAxUrs.jpg", "http://pbs.twimg.com/media/CQ4sMmDWwAAxUrs.jpg")</f>
        <v>http://pbs.twimg.com/media/CQ4sMmDWwAAxUrs.jpg</v>
      </c>
      <c r="N2521">
        <v>0</v>
      </c>
      <c r="O2521">
        <v>0</v>
      </c>
      <c r="P2521">
        <v>1</v>
      </c>
      <c r="Q2521">
        <v>0</v>
      </c>
    </row>
    <row r="2522" spans="1:17" x14ac:dyDescent="0.2">
      <c r="A2522" s="1" t="str">
        <f>HYPERLINK("http://www.twitter.com/Ugo_Roux/status/652043573412691969", "652043573412691969")</f>
        <v>652043573412691969</v>
      </c>
      <c r="B2522" t="s">
        <v>47</v>
      </c>
      <c r="C2522" s="3">
        <v>42285.368935185194</v>
      </c>
      <c r="D2522" s="5" t="s">
        <v>28</v>
      </c>
      <c r="E2522">
        <v>1</v>
      </c>
      <c r="F2522">
        <v>0</v>
      </c>
      <c r="G2522">
        <v>0</v>
      </c>
      <c r="I2522" t="s">
        <v>2559</v>
      </c>
      <c r="N2522">
        <v>0</v>
      </c>
      <c r="O2522">
        <v>0</v>
      </c>
      <c r="P2522">
        <v>1</v>
      </c>
      <c r="Q2522">
        <v>0</v>
      </c>
    </row>
    <row r="2523" spans="1:17" x14ac:dyDescent="0.2">
      <c r="A2523" s="1" t="str">
        <f>HYPERLINK("http://www.twitter.com/Ugo_Roux/status/651386232723795968", "651386232723795968")</f>
        <v>651386232723795968</v>
      </c>
      <c r="B2523" t="s">
        <v>370</v>
      </c>
      <c r="C2523" s="3">
        <v>42283.555023148147</v>
      </c>
      <c r="D2523" s="3" t="s">
        <v>28</v>
      </c>
      <c r="E2523">
        <v>0</v>
      </c>
      <c r="F2523">
        <v>0</v>
      </c>
      <c r="G2523">
        <v>0</v>
      </c>
      <c r="I2523" t="s">
        <v>2560</v>
      </c>
      <c r="J2523" t="str">
        <f>HYPERLINK("http://pbs.twimg.com/media/CQowU4-UwAAFOJp.jpg", "http://pbs.twimg.com/media/CQowU4-UwAAFOJp.jpg")</f>
        <v>http://pbs.twimg.com/media/CQowU4-UwAAFOJp.jpg</v>
      </c>
      <c r="N2523">
        <v>0</v>
      </c>
      <c r="O2523">
        <v>0</v>
      </c>
      <c r="P2523">
        <v>1</v>
      </c>
      <c r="Q2523">
        <v>0</v>
      </c>
    </row>
    <row r="2524" spans="1:17" x14ac:dyDescent="0.2">
      <c r="A2524" s="1" t="str">
        <f>HYPERLINK("http://www.twitter.com/Ugo_Roux/status/651383620989390848", "651383620989390848")</f>
        <v>651383620989390848</v>
      </c>
      <c r="B2524" t="s">
        <v>370</v>
      </c>
      <c r="C2524" s="3">
        <v>42283.547824074078</v>
      </c>
      <c r="D2524" s="3" t="s">
        <v>28</v>
      </c>
      <c r="E2524">
        <v>0</v>
      </c>
      <c r="F2524">
        <v>0</v>
      </c>
      <c r="G2524">
        <v>0</v>
      </c>
      <c r="I2524" t="s">
        <v>2561</v>
      </c>
      <c r="J2524" t="str">
        <f>HYPERLINK("http://pbs.twimg.com/media/CQot83MUkAAy5Kw.jpg", "http://pbs.twimg.com/media/CQot83MUkAAy5Kw.jpg")</f>
        <v>http://pbs.twimg.com/media/CQot83MUkAAy5Kw.jpg</v>
      </c>
      <c r="N2524">
        <v>0</v>
      </c>
      <c r="O2524">
        <v>0</v>
      </c>
      <c r="P2524">
        <v>1</v>
      </c>
      <c r="Q2524">
        <v>0</v>
      </c>
    </row>
    <row r="2525" spans="1:17" x14ac:dyDescent="0.2">
      <c r="A2525" s="1" t="str">
        <f>HYPERLINK("http://www.twitter.com/Ugo_Roux/status/651381485216247809", "651381485216247809")</f>
        <v>651381485216247809</v>
      </c>
      <c r="B2525" t="s">
        <v>370</v>
      </c>
      <c r="C2525" s="3">
        <v>42283.541921296302</v>
      </c>
      <c r="D2525" s="5" t="s">
        <v>239</v>
      </c>
      <c r="E2525">
        <v>0</v>
      </c>
      <c r="F2525">
        <v>0</v>
      </c>
      <c r="G2525">
        <v>0</v>
      </c>
      <c r="I2525" t="s">
        <v>2562</v>
      </c>
      <c r="J2525" t="str">
        <f>HYPERLINK("http://pbs.twimg.com/media/CQosAjCVAAAOQGQ.jpg", "http://pbs.twimg.com/media/CQosAjCVAAAOQGQ.jpg")</f>
        <v>http://pbs.twimg.com/media/CQosAjCVAAAOQGQ.jpg</v>
      </c>
      <c r="N2525">
        <v>0</v>
      </c>
      <c r="O2525">
        <v>0</v>
      </c>
      <c r="P2525">
        <v>1</v>
      </c>
      <c r="Q2525">
        <v>0</v>
      </c>
    </row>
    <row r="2526" spans="1:17" x14ac:dyDescent="0.2">
      <c r="A2526" s="1" t="str">
        <f>HYPERLINK("http://www.twitter.com/Ugo_Roux/status/649187055197646848", "649187055197646848")</f>
        <v>649187055197646848</v>
      </c>
      <c r="B2526" t="s">
        <v>16</v>
      </c>
      <c r="C2526" s="3">
        <v>42277.486446759263</v>
      </c>
      <c r="D2526" s="3" t="s">
        <v>28</v>
      </c>
      <c r="E2526">
        <v>0</v>
      </c>
      <c r="F2526">
        <v>0</v>
      </c>
      <c r="G2526">
        <v>0</v>
      </c>
      <c r="I2526" t="s">
        <v>2563</v>
      </c>
      <c r="J2526" t="str">
        <f>HYPERLINK("http://pbs.twimg.com/media/CQJgL2LW8AAQMX9.jpg", "http://pbs.twimg.com/media/CQJgL2LW8AAQMX9.jpg")</f>
        <v>http://pbs.twimg.com/media/CQJgL2LW8AAQMX9.jpg</v>
      </c>
      <c r="N2526">
        <v>0</v>
      </c>
      <c r="O2526">
        <v>0</v>
      </c>
      <c r="P2526">
        <v>1</v>
      </c>
      <c r="Q2526">
        <v>0</v>
      </c>
    </row>
    <row r="2527" spans="1:17" x14ac:dyDescent="0.2">
      <c r="A2527" s="1" t="str">
        <f>HYPERLINK("http://www.twitter.com/Ugo_Roux/status/648928863322537985", "648928863322537985")</f>
        <v>648928863322537985</v>
      </c>
      <c r="B2527" t="s">
        <v>47</v>
      </c>
      <c r="C2527" s="3">
        <v>42276.773981481478</v>
      </c>
      <c r="D2527" s="5" t="s">
        <v>41</v>
      </c>
      <c r="E2527">
        <v>3</v>
      </c>
      <c r="F2527">
        <v>3</v>
      </c>
      <c r="G2527">
        <v>0</v>
      </c>
      <c r="I2527" t="s">
        <v>2564</v>
      </c>
      <c r="N2527">
        <v>0</v>
      </c>
      <c r="O2527">
        <v>0</v>
      </c>
      <c r="P2527">
        <v>1</v>
      </c>
      <c r="Q2527">
        <v>0</v>
      </c>
    </row>
    <row r="2528" spans="1:17" x14ac:dyDescent="0.2">
      <c r="A2528" s="1" t="str">
        <f>HYPERLINK("http://www.twitter.com/Ugo_Roux/status/648771695336034304", "648771695336034304")</f>
        <v>648771695336034304</v>
      </c>
      <c r="B2528" t="s">
        <v>97</v>
      </c>
      <c r="C2528" s="3">
        <v>42276.340277777781</v>
      </c>
      <c r="D2528" s="5" t="s">
        <v>41</v>
      </c>
      <c r="E2528">
        <v>0</v>
      </c>
      <c r="F2528">
        <v>0</v>
      </c>
      <c r="G2528">
        <v>0</v>
      </c>
      <c r="I2528" t="s">
        <v>2565</v>
      </c>
      <c r="J2528" t="str">
        <f>HYPERLINK("http://pbs.twimg.com/media/CQDmayJUcAAAaIS.jpg", "http://pbs.twimg.com/media/CQDmayJUcAAAaIS.jpg")</f>
        <v>http://pbs.twimg.com/media/CQDmayJUcAAAaIS.jpg</v>
      </c>
      <c r="N2528">
        <v>0</v>
      </c>
      <c r="O2528">
        <v>0</v>
      </c>
      <c r="P2528">
        <v>1</v>
      </c>
      <c r="Q2528">
        <v>0</v>
      </c>
    </row>
    <row r="2529" spans="1:17" x14ac:dyDescent="0.2">
      <c r="A2529" s="1" t="str">
        <f>HYPERLINK("http://www.twitter.com/Ugo_Roux/status/647696927312740352", "647696927312740352")</f>
        <v>647696927312740352</v>
      </c>
      <c r="B2529" t="s">
        <v>47</v>
      </c>
      <c r="C2529" s="3">
        <v>42273.374479166669</v>
      </c>
      <c r="D2529" s="5" t="s">
        <v>28</v>
      </c>
      <c r="E2529">
        <v>0</v>
      </c>
      <c r="F2529">
        <v>0</v>
      </c>
      <c r="G2529">
        <v>0</v>
      </c>
      <c r="I2529" t="s">
        <v>2566</v>
      </c>
      <c r="N2529">
        <v>0</v>
      </c>
      <c r="O2529">
        <v>0</v>
      </c>
      <c r="P2529">
        <v>1</v>
      </c>
      <c r="Q2529">
        <v>0</v>
      </c>
    </row>
    <row r="2530" spans="1:17" x14ac:dyDescent="0.2">
      <c r="A2530" s="1" t="str">
        <f>HYPERLINK("http://www.twitter.com/Ugo_Roux/status/647428732127453184", "647428732127453184")</f>
        <v>647428732127453184</v>
      </c>
      <c r="B2530" t="s">
        <v>16</v>
      </c>
      <c r="C2530" s="3">
        <v>42272.634409722217</v>
      </c>
      <c r="D2530" s="3" t="s">
        <v>17</v>
      </c>
      <c r="E2530">
        <v>1</v>
      </c>
      <c r="F2530">
        <v>0</v>
      </c>
      <c r="G2530">
        <v>1</v>
      </c>
      <c r="I2530" t="s">
        <v>2567</v>
      </c>
      <c r="J2530" t="str">
        <f>HYPERLINK("http://pbs.twimg.com/media/CPwg_CxVEAAXiB_.jpg", "http://pbs.twimg.com/media/CPwg_CxVEAAXiB_.jpg")</f>
        <v>http://pbs.twimg.com/media/CPwg_CxVEAAXiB_.jpg</v>
      </c>
      <c r="N2530">
        <v>0</v>
      </c>
      <c r="O2530">
        <v>0</v>
      </c>
      <c r="P2530">
        <v>1</v>
      </c>
      <c r="Q2530">
        <v>0</v>
      </c>
    </row>
    <row r="2531" spans="1:17" x14ac:dyDescent="0.2">
      <c r="A2531" s="1" t="str">
        <f>HYPERLINK("http://www.twitter.com/Ugo_Roux/status/646654652604354560", "646654652604354560")</f>
        <v>646654652604354560</v>
      </c>
      <c r="B2531" t="s">
        <v>16</v>
      </c>
      <c r="C2531" s="3">
        <v>42270.498356481483</v>
      </c>
      <c r="D2531" s="3" t="s">
        <v>41</v>
      </c>
      <c r="E2531">
        <v>2</v>
      </c>
      <c r="F2531">
        <v>0</v>
      </c>
      <c r="G2531">
        <v>1</v>
      </c>
      <c r="I2531" t="s">
        <v>2568</v>
      </c>
      <c r="N2531">
        <v>0.2263</v>
      </c>
      <c r="O2531">
        <v>0</v>
      </c>
      <c r="P2531">
        <v>0.872</v>
      </c>
      <c r="Q2531">
        <v>0.128</v>
      </c>
    </row>
    <row r="2532" spans="1:17" x14ac:dyDescent="0.2">
      <c r="A2532" s="1" t="str">
        <f>HYPERLINK("http://www.twitter.com/Ugo_Roux/status/645218489079365633", "645218489079365633")</f>
        <v>645218489079365633</v>
      </c>
      <c r="B2532" t="s">
        <v>16</v>
      </c>
      <c r="C2532" s="3">
        <v>42266.535300925927</v>
      </c>
      <c r="D2532" s="3" t="s">
        <v>17</v>
      </c>
      <c r="E2532">
        <v>3</v>
      </c>
      <c r="F2532">
        <v>1</v>
      </c>
      <c r="G2532">
        <v>0</v>
      </c>
      <c r="I2532" t="s">
        <v>2569</v>
      </c>
      <c r="J2532" t="str">
        <f>HYPERLINK("http://pbs.twimg.com/media/CPRGy91WEAAWt_n.jpg", "http://pbs.twimg.com/media/CPRGy91WEAAWt_n.jpg")</f>
        <v>http://pbs.twimg.com/media/CPRGy91WEAAWt_n.jpg</v>
      </c>
      <c r="N2532">
        <v>0.31819999999999998</v>
      </c>
      <c r="O2532">
        <v>0</v>
      </c>
      <c r="P2532">
        <v>0.86699999999999999</v>
      </c>
      <c r="Q2532">
        <v>0.13300000000000001</v>
      </c>
    </row>
    <row r="2533" spans="1:17" x14ac:dyDescent="0.2">
      <c r="A2533" s="1" t="str">
        <f>HYPERLINK("http://www.twitter.com/Ugo_Roux/status/644889849799970817", "644889849799970817")</f>
        <v>644889849799970817</v>
      </c>
      <c r="B2533" t="s">
        <v>97</v>
      </c>
      <c r="C2533" s="3">
        <v>42265.628425925926</v>
      </c>
      <c r="D2533" s="5" t="s">
        <v>1187</v>
      </c>
      <c r="E2533">
        <v>1</v>
      </c>
      <c r="F2533">
        <v>0</v>
      </c>
      <c r="G2533">
        <v>0</v>
      </c>
      <c r="I2533" t="s">
        <v>2570</v>
      </c>
      <c r="J2533" t="str">
        <f>HYPERLINK("http://pbs.twimg.com/media/CPMb5kmUAAAO5iq.jpg", "http://pbs.twimg.com/media/CPMb5kmUAAAO5iq.jpg")</f>
        <v>http://pbs.twimg.com/media/CPMb5kmUAAAO5iq.jpg</v>
      </c>
      <c r="N2533">
        <v>0</v>
      </c>
      <c r="O2533">
        <v>0</v>
      </c>
      <c r="P2533">
        <v>1</v>
      </c>
      <c r="Q2533">
        <v>0</v>
      </c>
    </row>
    <row r="2534" spans="1:17" x14ac:dyDescent="0.2">
      <c r="A2534" s="1" t="str">
        <f>HYPERLINK("http://www.twitter.com/Ugo_Roux/status/644429844177137664", "644429844177137664")</f>
        <v>644429844177137664</v>
      </c>
      <c r="B2534" t="s">
        <v>16</v>
      </c>
      <c r="C2534" s="3">
        <v>42264.359050925923</v>
      </c>
      <c r="D2534" s="3" t="s">
        <v>41</v>
      </c>
      <c r="E2534">
        <v>1</v>
      </c>
      <c r="F2534">
        <v>0</v>
      </c>
      <c r="G2534">
        <v>0</v>
      </c>
      <c r="I2534" t="s">
        <v>2571</v>
      </c>
      <c r="N2534">
        <v>0</v>
      </c>
      <c r="O2534">
        <v>0</v>
      </c>
      <c r="P2534">
        <v>1</v>
      </c>
      <c r="Q2534">
        <v>0</v>
      </c>
    </row>
    <row r="2535" spans="1:17" x14ac:dyDescent="0.2">
      <c r="A2535" s="1" t="str">
        <f>HYPERLINK("http://www.twitter.com/Ugo_Roux/status/639060519182204928", "639060519182204928")</f>
        <v>639060519182204928</v>
      </c>
      <c r="B2535" t="s">
        <v>370</v>
      </c>
      <c r="C2535" s="3">
        <v>42249.542534722219</v>
      </c>
      <c r="D2535" s="5" t="s">
        <v>28</v>
      </c>
      <c r="E2535">
        <v>0</v>
      </c>
      <c r="F2535">
        <v>0</v>
      </c>
      <c r="G2535">
        <v>0</v>
      </c>
      <c r="I2535" t="s">
        <v>2572</v>
      </c>
      <c r="J2535" t="str">
        <f>HYPERLINK("http://pbs.twimg.com/media/CN5mJ8CUcAQbeYB.jpg", "http://pbs.twimg.com/media/CN5mJ8CUcAQbeYB.jpg")</f>
        <v>http://pbs.twimg.com/media/CN5mJ8CUcAQbeYB.jpg</v>
      </c>
      <c r="N2535">
        <v>0</v>
      </c>
      <c r="O2535">
        <v>0</v>
      </c>
      <c r="P2535">
        <v>1</v>
      </c>
      <c r="Q2535">
        <v>0</v>
      </c>
    </row>
    <row r="2536" spans="1:17" x14ac:dyDescent="0.2">
      <c r="A2536" s="1" t="str">
        <f>HYPERLINK("http://www.twitter.com/Ugo_Roux/status/639053923567865856", "639053923567865856")</f>
        <v>639053923567865856</v>
      </c>
      <c r="B2536" t="s">
        <v>370</v>
      </c>
      <c r="C2536" s="3">
        <v>42249.524340277778</v>
      </c>
      <c r="D2536" s="5" t="s">
        <v>41</v>
      </c>
      <c r="E2536">
        <v>0</v>
      </c>
      <c r="F2536">
        <v>0</v>
      </c>
      <c r="G2536">
        <v>0</v>
      </c>
      <c r="I2536" t="s">
        <v>2573</v>
      </c>
      <c r="N2536">
        <v>0</v>
      </c>
      <c r="O2536">
        <v>0</v>
      </c>
      <c r="P2536">
        <v>1</v>
      </c>
      <c r="Q2536">
        <v>0</v>
      </c>
    </row>
    <row r="2537" spans="1:17" x14ac:dyDescent="0.2">
      <c r="A2537" s="1" t="str">
        <f>HYPERLINK("http://www.twitter.com/Ugo_Roux/status/639050222224564224", "639050222224564224")</f>
        <v>639050222224564224</v>
      </c>
      <c r="B2537" t="s">
        <v>370</v>
      </c>
      <c r="C2537" s="3">
        <v>42249.514120370368</v>
      </c>
      <c r="D2537" s="5" t="s">
        <v>28</v>
      </c>
      <c r="E2537">
        <v>0</v>
      </c>
      <c r="F2537">
        <v>0</v>
      </c>
      <c r="G2537">
        <v>0</v>
      </c>
      <c r="I2537" t="s">
        <v>2574</v>
      </c>
      <c r="J2537" t="str">
        <f>HYPERLINK("http://pbs.twimg.com/media/CN5cybTU8AAaqe-.jpg", "http://pbs.twimg.com/media/CN5cybTU8AAaqe-.jpg")</f>
        <v>http://pbs.twimg.com/media/CN5cybTU8AAaqe-.jpg</v>
      </c>
      <c r="N2537">
        <v>0</v>
      </c>
      <c r="O2537">
        <v>0</v>
      </c>
      <c r="P2537">
        <v>1</v>
      </c>
      <c r="Q2537">
        <v>0</v>
      </c>
    </row>
    <row r="2538" spans="1:17" x14ac:dyDescent="0.2">
      <c r="A2538" s="1" t="str">
        <f>HYPERLINK("http://www.twitter.com/Ugo_Roux/status/639049294507446274", "639049294507446274")</f>
        <v>639049294507446274</v>
      </c>
      <c r="B2538" t="s">
        <v>370</v>
      </c>
      <c r="C2538" s="3">
        <v>42249.511562500003</v>
      </c>
      <c r="D2538" s="5" t="s">
        <v>17</v>
      </c>
      <c r="E2538">
        <v>0</v>
      </c>
      <c r="F2538">
        <v>0</v>
      </c>
      <c r="G2538">
        <v>0</v>
      </c>
      <c r="I2538" t="s">
        <v>2575</v>
      </c>
      <c r="J2538" t="str">
        <f>HYPERLINK("http://pbs.twimg.com/media/CN5b8lhU8AArCFJ.jpg", "http://pbs.twimg.com/media/CN5b8lhU8AArCFJ.jpg")</f>
        <v>http://pbs.twimg.com/media/CN5b8lhU8AArCFJ.jpg</v>
      </c>
      <c r="N2538">
        <v>0</v>
      </c>
      <c r="O2538">
        <v>0</v>
      </c>
      <c r="P2538">
        <v>1</v>
      </c>
      <c r="Q2538">
        <v>0</v>
      </c>
    </row>
    <row r="2539" spans="1:17" x14ac:dyDescent="0.2">
      <c r="A2539" s="1" t="str">
        <f>HYPERLINK("http://www.twitter.com/Ugo_Roux/status/638658919917707264", "638658919917707264")</f>
        <v>638658919917707264</v>
      </c>
      <c r="B2539" t="s">
        <v>97</v>
      </c>
      <c r="C2539" s="3">
        <v>42248.434328703697</v>
      </c>
      <c r="D2539" s="5" t="s">
        <v>17</v>
      </c>
      <c r="E2539">
        <v>0</v>
      </c>
      <c r="F2539">
        <v>0</v>
      </c>
      <c r="G2539">
        <v>0</v>
      </c>
      <c r="I2539" t="s">
        <v>2576</v>
      </c>
      <c r="J2539" t="str">
        <f>HYPERLINK("http://pbs.twimg.com/media/CNz45yEVEAAt2VO.jpg", "http://pbs.twimg.com/media/CNz45yEVEAAt2VO.jpg")</f>
        <v>http://pbs.twimg.com/media/CNz45yEVEAAt2VO.jpg</v>
      </c>
      <c r="N2539">
        <v>0</v>
      </c>
      <c r="O2539">
        <v>0</v>
      </c>
      <c r="P2539">
        <v>1</v>
      </c>
      <c r="Q2539">
        <v>0</v>
      </c>
    </row>
    <row r="2540" spans="1:17" x14ac:dyDescent="0.2">
      <c r="A2540" s="1" t="str">
        <f>HYPERLINK("http://www.twitter.com/Ugo_Roux/status/638633300005920768", "638633300005920768")</f>
        <v>638633300005920768</v>
      </c>
      <c r="B2540" t="s">
        <v>16</v>
      </c>
      <c r="C2540" s="3">
        <v>42248.363634259258</v>
      </c>
      <c r="D2540" s="3" t="s">
        <v>17</v>
      </c>
      <c r="E2540">
        <v>2</v>
      </c>
      <c r="F2540">
        <v>4</v>
      </c>
      <c r="G2540">
        <v>0</v>
      </c>
      <c r="I2540" t="s">
        <v>2577</v>
      </c>
      <c r="N2540">
        <v>0</v>
      </c>
      <c r="O2540">
        <v>0</v>
      </c>
      <c r="P2540">
        <v>1</v>
      </c>
      <c r="Q2540">
        <v>0</v>
      </c>
    </row>
    <row r="2541" spans="1:17" x14ac:dyDescent="0.2">
      <c r="A2541" s="1" t="str">
        <f>HYPERLINK("http://www.twitter.com/Ugo_Roux/status/638626416452632576", "638626416452632576")</f>
        <v>638626416452632576</v>
      </c>
      <c r="B2541" t="s">
        <v>16</v>
      </c>
      <c r="C2541" s="3">
        <v>42248.344641203701</v>
      </c>
      <c r="D2541" s="3" t="s">
        <v>28</v>
      </c>
      <c r="E2541">
        <v>0</v>
      </c>
      <c r="F2541">
        <v>1</v>
      </c>
      <c r="G2541">
        <v>0</v>
      </c>
      <c r="I2541" t="s">
        <v>2578</v>
      </c>
      <c r="N2541">
        <v>0</v>
      </c>
      <c r="O2541">
        <v>0</v>
      </c>
      <c r="P2541">
        <v>1</v>
      </c>
      <c r="Q2541">
        <v>0</v>
      </c>
    </row>
    <row r="2542" spans="1:17" x14ac:dyDescent="0.2">
      <c r="A2542" s="1" t="str">
        <f>HYPERLINK("http://www.twitter.com/Ugo_Roux/status/637549546864812032", "637549546864812032")</f>
        <v>637549546864812032</v>
      </c>
      <c r="B2542" t="s">
        <v>16</v>
      </c>
      <c r="C2542" s="3">
        <v>42245.373043981483</v>
      </c>
      <c r="D2542" s="3" t="s">
        <v>41</v>
      </c>
      <c r="E2542">
        <v>0</v>
      </c>
      <c r="F2542">
        <v>0</v>
      </c>
      <c r="G2542">
        <v>0</v>
      </c>
      <c r="I2542" t="s">
        <v>2579</v>
      </c>
      <c r="N2542">
        <v>0</v>
      </c>
      <c r="O2542">
        <v>0</v>
      </c>
      <c r="P2542">
        <v>1</v>
      </c>
      <c r="Q2542">
        <v>0</v>
      </c>
    </row>
    <row r="2543" spans="1:17" x14ac:dyDescent="0.2">
      <c r="A2543" s="1" t="str">
        <f>HYPERLINK("http://www.twitter.com/Ugo_Roux/status/637547686426771457", "637547686426771457")</f>
        <v>637547686426771457</v>
      </c>
      <c r="B2543" t="s">
        <v>16</v>
      </c>
      <c r="C2543" s="3">
        <v>42245.36791666667</v>
      </c>
      <c r="D2543" s="3" t="s">
        <v>41</v>
      </c>
      <c r="E2543">
        <v>0</v>
      </c>
      <c r="F2543">
        <v>0</v>
      </c>
      <c r="G2543">
        <v>0</v>
      </c>
      <c r="I2543" t="s">
        <v>2580</v>
      </c>
      <c r="N2543">
        <v>0</v>
      </c>
      <c r="O2543">
        <v>0</v>
      </c>
      <c r="P2543">
        <v>1</v>
      </c>
      <c r="Q2543">
        <v>0</v>
      </c>
    </row>
    <row r="2544" spans="1:17" x14ac:dyDescent="0.2">
      <c r="A2544" s="1" t="str">
        <f>HYPERLINK("http://www.twitter.com/Ugo_Roux/status/637181706534014976", "637181706534014976")</f>
        <v>637181706534014976</v>
      </c>
      <c r="B2544" t="s">
        <v>16</v>
      </c>
      <c r="C2544" s="3">
        <v>42244.357997685183</v>
      </c>
      <c r="D2544" s="3" t="s">
        <v>17</v>
      </c>
      <c r="E2544">
        <v>0</v>
      </c>
      <c r="F2544">
        <v>0</v>
      </c>
      <c r="G2544">
        <v>0</v>
      </c>
      <c r="I2544" t="s">
        <v>2581</v>
      </c>
      <c r="N2544">
        <v>0</v>
      </c>
      <c r="O2544">
        <v>0</v>
      </c>
      <c r="P2544">
        <v>1</v>
      </c>
      <c r="Q2544">
        <v>0</v>
      </c>
    </row>
    <row r="2545" spans="1:17" x14ac:dyDescent="0.2">
      <c r="A2545" s="1" t="str">
        <f>HYPERLINK("http://www.twitter.com/Ugo_Roux/status/637179743796875264", "637179743796875264")</f>
        <v>637179743796875264</v>
      </c>
      <c r="B2545" t="s">
        <v>16</v>
      </c>
      <c r="C2545" s="3">
        <v>42244.352581018517</v>
      </c>
      <c r="D2545" s="3" t="s">
        <v>17</v>
      </c>
      <c r="E2545">
        <v>1</v>
      </c>
      <c r="F2545">
        <v>0</v>
      </c>
      <c r="G2545">
        <v>0</v>
      </c>
      <c r="I2545" t="s">
        <v>2582</v>
      </c>
      <c r="J2545" t="str">
        <f>HYPERLINK("http://pbs.twimg.com/media/CNe3mWEUcAAhqEP.jpg", "http://pbs.twimg.com/media/CNe3mWEUcAAhqEP.jpg")</f>
        <v>http://pbs.twimg.com/media/CNe3mWEUcAAhqEP.jpg</v>
      </c>
      <c r="N2545">
        <v>0</v>
      </c>
      <c r="O2545">
        <v>0</v>
      </c>
      <c r="P2545">
        <v>1</v>
      </c>
      <c r="Q2545">
        <v>0</v>
      </c>
    </row>
    <row r="2546" spans="1:17" x14ac:dyDescent="0.2">
      <c r="A2546" s="1" t="str">
        <f>HYPERLINK("http://www.twitter.com/Ugo_Roux/status/633979094674337792", "633979094674337792")</f>
        <v>633979094674337792</v>
      </c>
      <c r="B2546" t="s">
        <v>47</v>
      </c>
      <c r="C2546" s="3">
        <v>42235.520474537043</v>
      </c>
      <c r="D2546" s="5" t="s">
        <v>41</v>
      </c>
      <c r="E2546">
        <v>1</v>
      </c>
      <c r="F2546">
        <v>1</v>
      </c>
      <c r="G2546">
        <v>0</v>
      </c>
      <c r="I2546" t="s">
        <v>2583</v>
      </c>
      <c r="N2546">
        <v>0</v>
      </c>
      <c r="O2546">
        <v>0</v>
      </c>
      <c r="P2546">
        <v>1</v>
      </c>
      <c r="Q2546">
        <v>0</v>
      </c>
    </row>
    <row r="2547" spans="1:17" x14ac:dyDescent="0.2">
      <c r="A2547" s="1" t="str">
        <f>HYPERLINK("http://www.twitter.com/Ugo_Roux/status/631093712018386947", "631093712018386947")</f>
        <v>631093712018386947</v>
      </c>
      <c r="B2547" t="s">
        <v>47</v>
      </c>
      <c r="C2547" s="3">
        <v>42227.558333333327</v>
      </c>
      <c r="D2547" s="5" t="s">
        <v>17</v>
      </c>
      <c r="E2547">
        <v>2</v>
      </c>
      <c r="F2547">
        <v>0</v>
      </c>
      <c r="G2547">
        <v>0</v>
      </c>
      <c r="I2547" t="s">
        <v>2584</v>
      </c>
      <c r="N2547">
        <v>0</v>
      </c>
      <c r="O2547">
        <v>0</v>
      </c>
      <c r="P2547">
        <v>1</v>
      </c>
      <c r="Q2547">
        <v>0</v>
      </c>
    </row>
    <row r="2548" spans="1:17" x14ac:dyDescent="0.2">
      <c r="A2548" s="1" t="str">
        <f>HYPERLINK("http://www.twitter.com/Ugo_Roux/status/631020057573859328", "631020057573859328")</f>
        <v>631020057573859328</v>
      </c>
      <c r="B2548" t="s">
        <v>16</v>
      </c>
      <c r="C2548" s="3">
        <v>42227.355092592603</v>
      </c>
      <c r="D2548" s="3" t="s">
        <v>17</v>
      </c>
      <c r="E2548">
        <v>2</v>
      </c>
      <c r="F2548">
        <v>2</v>
      </c>
      <c r="G2548">
        <v>0</v>
      </c>
      <c r="I2548" t="s">
        <v>2585</v>
      </c>
      <c r="J2548" t="str">
        <f>HYPERLINK("http://pbs.twimg.com/media/CMHVZe_WUAApKQK.jpg", "http://pbs.twimg.com/media/CMHVZe_WUAApKQK.jpg")</f>
        <v>http://pbs.twimg.com/media/CMHVZe_WUAApKQK.jpg</v>
      </c>
      <c r="N2548">
        <v>0</v>
      </c>
      <c r="O2548">
        <v>0</v>
      </c>
      <c r="P2548">
        <v>1</v>
      </c>
      <c r="Q2548">
        <v>0</v>
      </c>
    </row>
    <row r="2549" spans="1:17" x14ac:dyDescent="0.2">
      <c r="A2549" s="1" t="str">
        <f>HYPERLINK("http://www.twitter.com/Ugo_Roux/status/628934758916059136", "628934758916059136")</f>
        <v>628934758916059136</v>
      </c>
      <c r="B2549" t="s">
        <v>47</v>
      </c>
      <c r="C2549" s="3">
        <v>42221.600763888891</v>
      </c>
      <c r="D2549" s="5" t="s">
        <v>41</v>
      </c>
      <c r="E2549">
        <v>0</v>
      </c>
      <c r="F2549">
        <v>0</v>
      </c>
      <c r="G2549">
        <v>0</v>
      </c>
      <c r="I2549" t="s">
        <v>2586</v>
      </c>
      <c r="N2549">
        <v>0</v>
      </c>
      <c r="O2549">
        <v>0</v>
      </c>
      <c r="P2549">
        <v>1</v>
      </c>
      <c r="Q2549">
        <v>0</v>
      </c>
    </row>
    <row r="2550" spans="1:17" x14ac:dyDescent="0.2">
      <c r="A2550" s="1" t="str">
        <f>HYPERLINK("http://www.twitter.com/Ugo_Roux/status/628582254407716864", "628582254407716864")</f>
        <v>628582254407716864</v>
      </c>
      <c r="B2550" t="s">
        <v>16</v>
      </c>
      <c r="C2550" s="3">
        <v>42220.628032407411</v>
      </c>
      <c r="D2550" s="3" t="s">
        <v>17</v>
      </c>
      <c r="E2550">
        <v>5</v>
      </c>
      <c r="F2550">
        <v>2</v>
      </c>
      <c r="G2550">
        <v>0</v>
      </c>
      <c r="I2550" t="s">
        <v>2587</v>
      </c>
      <c r="J2550" t="str">
        <f>HYPERLINK("http://pbs.twimg.com/media/CLksLt4WoAE8EOS.jpg", "http://pbs.twimg.com/media/CLksLt4WoAE8EOS.jpg")</f>
        <v>http://pbs.twimg.com/media/CLksLt4WoAE8EOS.jpg</v>
      </c>
      <c r="N2550">
        <v>0</v>
      </c>
      <c r="O2550">
        <v>0</v>
      </c>
      <c r="P2550">
        <v>1</v>
      </c>
      <c r="Q2550">
        <v>0</v>
      </c>
    </row>
    <row r="2551" spans="1:17" x14ac:dyDescent="0.2">
      <c r="A2551" s="1" t="str">
        <f>HYPERLINK("http://www.twitter.com/Ugo_Roux/status/627450578709426177", "627450578709426177")</f>
        <v>627450578709426177</v>
      </c>
      <c r="B2551" t="s">
        <v>47</v>
      </c>
      <c r="C2551" s="3">
        <v>42217.505208333343</v>
      </c>
      <c r="D2551" s="5" t="s">
        <v>239</v>
      </c>
      <c r="E2551">
        <v>0</v>
      </c>
      <c r="F2551">
        <v>1</v>
      </c>
      <c r="G2551">
        <v>0</v>
      </c>
      <c r="I2551" t="s">
        <v>2588</v>
      </c>
      <c r="N2551">
        <v>0.45879999999999999</v>
      </c>
      <c r="O2551">
        <v>0</v>
      </c>
      <c r="P2551">
        <v>0.7</v>
      </c>
      <c r="Q2551">
        <v>0.3</v>
      </c>
    </row>
    <row r="2552" spans="1:17" x14ac:dyDescent="0.2">
      <c r="A2552" s="1" t="str">
        <f>HYPERLINK("http://www.twitter.com/Ugo_Roux/status/624936356012257280", "624936356012257280")</f>
        <v>624936356012257280</v>
      </c>
      <c r="B2552" t="s">
        <v>47</v>
      </c>
      <c r="C2552" s="3">
        <v>42210.56726851852</v>
      </c>
      <c r="D2552" s="5" t="s">
        <v>41</v>
      </c>
      <c r="E2552">
        <v>3</v>
      </c>
      <c r="F2552">
        <v>0</v>
      </c>
      <c r="G2552">
        <v>0</v>
      </c>
      <c r="I2552" t="s">
        <v>2589</v>
      </c>
      <c r="J2552" t="str">
        <f>HYPERLINK("http://pbs.twimg.com/media/CKw4TY1WEAAZmZZ.jpg", "http://pbs.twimg.com/media/CKw4TY1WEAAZmZZ.jpg")</f>
        <v>http://pbs.twimg.com/media/CKw4TY1WEAAZmZZ.jpg</v>
      </c>
      <c r="N2552">
        <v>0</v>
      </c>
      <c r="O2552">
        <v>0</v>
      </c>
      <c r="P2552">
        <v>1</v>
      </c>
      <c r="Q2552">
        <v>0</v>
      </c>
    </row>
    <row r="2553" spans="1:17" x14ac:dyDescent="0.2">
      <c r="A2553" s="1" t="str">
        <f>HYPERLINK("http://www.twitter.com/Ugo_Roux/status/623867461633486848", "623867461633486848")</f>
        <v>623867461633486848</v>
      </c>
      <c r="B2553" t="s">
        <v>16</v>
      </c>
      <c r="C2553" s="3">
        <v>42207.617685185192</v>
      </c>
      <c r="D2553" s="3" t="s">
        <v>17</v>
      </c>
      <c r="E2553">
        <v>0</v>
      </c>
      <c r="F2553">
        <v>0</v>
      </c>
      <c r="G2553">
        <v>0</v>
      </c>
      <c r="I2553" t="s">
        <v>2590</v>
      </c>
      <c r="N2553">
        <v>0</v>
      </c>
      <c r="O2553">
        <v>0</v>
      </c>
      <c r="P2553">
        <v>1</v>
      </c>
      <c r="Q2553">
        <v>0</v>
      </c>
    </row>
    <row r="2554" spans="1:17" x14ac:dyDescent="0.2">
      <c r="A2554" s="1" t="str">
        <f>HYPERLINK("http://www.twitter.com/Ugo_Roux/status/623410558792896512", "623410558792896512")</f>
        <v>623410558792896512</v>
      </c>
      <c r="B2554" t="s">
        <v>97</v>
      </c>
      <c r="C2554" s="3">
        <v>42206.356874999998</v>
      </c>
      <c r="D2554" s="5" t="s">
        <v>17</v>
      </c>
      <c r="E2554">
        <v>0</v>
      </c>
      <c r="F2554">
        <v>0</v>
      </c>
      <c r="G2554">
        <v>0</v>
      </c>
      <c r="I2554" t="s">
        <v>2591</v>
      </c>
      <c r="J2554" t="str">
        <f>HYPERLINK("http://pbs.twimg.com/media/CKbMmWHVEAAM5ge.jpg", "http://pbs.twimg.com/media/CKbMmWHVEAAM5ge.jpg")</f>
        <v>http://pbs.twimg.com/media/CKbMmWHVEAAM5ge.jpg</v>
      </c>
      <c r="N2554">
        <v>0</v>
      </c>
      <c r="O2554">
        <v>0</v>
      </c>
      <c r="P2554">
        <v>1</v>
      </c>
      <c r="Q2554">
        <v>0</v>
      </c>
    </row>
    <row r="2555" spans="1:17" x14ac:dyDescent="0.2">
      <c r="A2555" s="1" t="str">
        <f>HYPERLINK("http://www.twitter.com/Ugo_Roux/status/619841467578732544", "619841467578732544")</f>
        <v>619841467578732544</v>
      </c>
      <c r="B2555" t="s">
        <v>47</v>
      </c>
      <c r="C2555" s="3">
        <v>42196.508055555547</v>
      </c>
      <c r="D2555" s="5" t="s">
        <v>41</v>
      </c>
      <c r="E2555">
        <v>0</v>
      </c>
      <c r="F2555">
        <v>1</v>
      </c>
      <c r="G2555">
        <v>0</v>
      </c>
      <c r="I2555" t="s">
        <v>2592</v>
      </c>
      <c r="N2555">
        <v>-0.81720000000000004</v>
      </c>
      <c r="O2555">
        <v>0.71399999999999997</v>
      </c>
      <c r="P2555">
        <v>0.28599999999999998</v>
      </c>
      <c r="Q2555">
        <v>0</v>
      </c>
    </row>
    <row r="2556" spans="1:17" x14ac:dyDescent="0.2">
      <c r="A2556" s="1" t="str">
        <f>HYPERLINK("http://www.twitter.com/Ugo_Roux/status/619524301675458560", "619524301675458560")</f>
        <v>619524301675458560</v>
      </c>
      <c r="B2556" t="s">
        <v>16</v>
      </c>
      <c r="C2556" s="3">
        <v>42195.632847222223</v>
      </c>
      <c r="D2556" s="3" t="s">
        <v>17</v>
      </c>
      <c r="E2556">
        <v>0</v>
      </c>
      <c r="F2556">
        <v>0</v>
      </c>
      <c r="G2556">
        <v>0</v>
      </c>
      <c r="I2556" t="s">
        <v>2593</v>
      </c>
      <c r="N2556">
        <v>0</v>
      </c>
      <c r="O2556">
        <v>0</v>
      </c>
      <c r="P2556">
        <v>1</v>
      </c>
      <c r="Q2556">
        <v>0</v>
      </c>
    </row>
    <row r="2557" spans="1:17" x14ac:dyDescent="0.2">
      <c r="A2557" s="1" t="str">
        <f>HYPERLINK("http://www.twitter.com/Ugo_Roux/status/619143049914900484", "619143049914900484")</f>
        <v>619143049914900484</v>
      </c>
      <c r="B2557" t="s">
        <v>370</v>
      </c>
      <c r="C2557" s="3">
        <v>42194.580787037034</v>
      </c>
      <c r="D2557" s="5" t="s">
        <v>28</v>
      </c>
      <c r="E2557">
        <v>0</v>
      </c>
      <c r="F2557">
        <v>0</v>
      </c>
      <c r="G2557">
        <v>0</v>
      </c>
      <c r="I2557" t="s">
        <v>2594</v>
      </c>
      <c r="J2557" t="str">
        <f>HYPERLINK("http://pbs.twimg.com/media/CJejUpcUYAAJVhZ.jpg", "http://pbs.twimg.com/media/CJejUpcUYAAJVhZ.jpg")</f>
        <v>http://pbs.twimg.com/media/CJejUpcUYAAJVhZ.jpg</v>
      </c>
      <c r="N2557">
        <v>0</v>
      </c>
      <c r="O2557">
        <v>0</v>
      </c>
      <c r="P2557">
        <v>1</v>
      </c>
      <c r="Q2557">
        <v>0</v>
      </c>
    </row>
    <row r="2558" spans="1:17" x14ac:dyDescent="0.2">
      <c r="A2558" s="1" t="str">
        <f>HYPERLINK("http://www.twitter.com/Ugo_Roux/status/619137144532025344", "619137144532025344")</f>
        <v>619137144532025344</v>
      </c>
      <c r="B2558" t="s">
        <v>370</v>
      </c>
      <c r="C2558" s="3">
        <v>42194.56449074074</v>
      </c>
      <c r="D2558" s="5" t="s">
        <v>28</v>
      </c>
      <c r="E2558">
        <v>0</v>
      </c>
      <c r="F2558">
        <v>0</v>
      </c>
      <c r="G2558">
        <v>0</v>
      </c>
      <c r="I2558" t="s">
        <v>2595</v>
      </c>
      <c r="N2558">
        <v>0</v>
      </c>
      <c r="O2558">
        <v>0</v>
      </c>
      <c r="P2558">
        <v>1</v>
      </c>
      <c r="Q2558">
        <v>0</v>
      </c>
    </row>
    <row r="2559" spans="1:17" x14ac:dyDescent="0.2">
      <c r="A2559" s="1" t="str">
        <f>HYPERLINK("http://www.twitter.com/Ugo_Roux/status/619136164742610944", "619136164742610944")</f>
        <v>619136164742610944</v>
      </c>
      <c r="B2559" t="s">
        <v>370</v>
      </c>
      <c r="C2559" s="3">
        <v>42194.561793981477</v>
      </c>
      <c r="D2559" s="5" t="s">
        <v>24</v>
      </c>
      <c r="E2559">
        <v>0</v>
      </c>
      <c r="F2559">
        <v>0</v>
      </c>
      <c r="G2559">
        <v>0</v>
      </c>
      <c r="I2559" t="s">
        <v>2596</v>
      </c>
      <c r="J2559" t="str">
        <f>HYPERLINK("http://pbs.twimg.com/media/CJedD4QVEAEapKC.jpg", "http://pbs.twimg.com/media/CJedD4QVEAEapKC.jpg")</f>
        <v>http://pbs.twimg.com/media/CJedD4QVEAEapKC.jpg</v>
      </c>
      <c r="N2559">
        <v>0</v>
      </c>
      <c r="O2559">
        <v>0</v>
      </c>
      <c r="P2559">
        <v>1</v>
      </c>
      <c r="Q2559">
        <v>0</v>
      </c>
    </row>
    <row r="2560" spans="1:17" x14ac:dyDescent="0.2">
      <c r="A2560" s="1" t="str">
        <f>HYPERLINK("http://www.twitter.com/Ugo_Roux/status/619133963106279424", "619133963106279424")</f>
        <v>619133963106279424</v>
      </c>
      <c r="B2560" t="s">
        <v>370</v>
      </c>
      <c r="C2560" s="3">
        <v>42194.555717592593</v>
      </c>
      <c r="D2560" s="5" t="s">
        <v>28</v>
      </c>
      <c r="E2560">
        <v>0</v>
      </c>
      <c r="F2560">
        <v>0</v>
      </c>
      <c r="G2560">
        <v>0</v>
      </c>
      <c r="I2560" t="s">
        <v>2597</v>
      </c>
      <c r="N2560">
        <v>0</v>
      </c>
      <c r="O2560">
        <v>0</v>
      </c>
      <c r="P2560">
        <v>1</v>
      </c>
      <c r="Q2560">
        <v>0</v>
      </c>
    </row>
    <row r="2561" spans="1:17" x14ac:dyDescent="0.2">
      <c r="A2561" s="1" t="str">
        <f>HYPERLINK("http://www.twitter.com/Ugo_Roux/status/618773714356826112", "618773714356826112")</f>
        <v>618773714356826112</v>
      </c>
      <c r="B2561" t="s">
        <v>47</v>
      </c>
      <c r="C2561" s="3">
        <v>42193.561620370368</v>
      </c>
      <c r="D2561" s="5" t="s">
        <v>41</v>
      </c>
      <c r="E2561">
        <v>0</v>
      </c>
      <c r="F2561">
        <v>0</v>
      </c>
      <c r="G2561">
        <v>1</v>
      </c>
      <c r="I2561" t="s">
        <v>2598</v>
      </c>
      <c r="N2561">
        <v>0.50929999999999997</v>
      </c>
      <c r="O2561">
        <v>0</v>
      </c>
      <c r="P2561">
        <v>0.77</v>
      </c>
      <c r="Q2561">
        <v>0.23</v>
      </c>
    </row>
    <row r="2562" spans="1:17" x14ac:dyDescent="0.2">
      <c r="A2562" s="1" t="str">
        <f>HYPERLINK("http://www.twitter.com/Ugo_Roux/status/617340222745894913", "617340222745894913")</f>
        <v>617340222745894913</v>
      </c>
      <c r="B2562" t="s">
        <v>97</v>
      </c>
      <c r="C2562" s="3">
        <v>42189.605937499997</v>
      </c>
      <c r="D2562" s="5" t="s">
        <v>17</v>
      </c>
      <c r="E2562">
        <v>0</v>
      </c>
      <c r="F2562">
        <v>0</v>
      </c>
      <c r="G2562">
        <v>0</v>
      </c>
      <c r="I2562" t="s">
        <v>2599</v>
      </c>
      <c r="J2562" t="str">
        <f>HYPERLINK("http://pbs.twimg.com/media/CJE7qSvUYAIev1m.jpg", "http://pbs.twimg.com/media/CJE7qSvUYAIev1m.jpg")</f>
        <v>http://pbs.twimg.com/media/CJE7qSvUYAIev1m.jpg</v>
      </c>
      <c r="N2562">
        <v>0</v>
      </c>
      <c r="O2562">
        <v>0</v>
      </c>
      <c r="P2562">
        <v>1</v>
      </c>
      <c r="Q2562">
        <v>0</v>
      </c>
    </row>
    <row r="2563" spans="1:17" x14ac:dyDescent="0.2">
      <c r="A2563" s="1" t="str">
        <f>HYPERLINK("http://www.twitter.com/Ugo_Roux/status/616903753648709632", "616903753648709632")</f>
        <v>616903753648709632</v>
      </c>
      <c r="B2563" t="s">
        <v>47</v>
      </c>
      <c r="C2563" s="3">
        <v>42188.401516203703</v>
      </c>
      <c r="D2563" s="5" t="s">
        <v>41</v>
      </c>
      <c r="E2563">
        <v>0</v>
      </c>
      <c r="F2563">
        <v>0</v>
      </c>
      <c r="G2563">
        <v>0</v>
      </c>
      <c r="I2563" t="s">
        <v>2600</v>
      </c>
      <c r="N2563">
        <v>0.45879999999999999</v>
      </c>
      <c r="O2563">
        <v>0</v>
      </c>
      <c r="P2563">
        <v>0.625</v>
      </c>
      <c r="Q2563">
        <v>0.375</v>
      </c>
    </row>
    <row r="2564" spans="1:17" x14ac:dyDescent="0.2">
      <c r="A2564" s="1" t="str">
        <f>HYPERLINK("http://www.twitter.com/Ugo_Roux/status/616898571544170496", "616898571544170496")</f>
        <v>616898571544170496</v>
      </c>
      <c r="B2564" t="s">
        <v>16</v>
      </c>
      <c r="C2564" s="3">
        <v>42188.38721064815</v>
      </c>
      <c r="D2564" s="3" t="s">
        <v>41</v>
      </c>
      <c r="E2564">
        <v>1</v>
      </c>
      <c r="F2564">
        <v>0</v>
      </c>
      <c r="G2564">
        <v>0</v>
      </c>
      <c r="I2564" t="s">
        <v>2601</v>
      </c>
      <c r="J2564" t="str">
        <f>HYPERLINK("http://pbs.twimg.com/media/CI-p-y3WsAASGMM.jpg", "http://pbs.twimg.com/media/CI-p-y3WsAASGMM.jpg")</f>
        <v>http://pbs.twimg.com/media/CI-p-y3WsAASGMM.jpg</v>
      </c>
      <c r="N2564">
        <v>0</v>
      </c>
      <c r="O2564">
        <v>0</v>
      </c>
      <c r="P2564">
        <v>1</v>
      </c>
      <c r="Q2564">
        <v>0</v>
      </c>
    </row>
    <row r="2565" spans="1:17" x14ac:dyDescent="0.2">
      <c r="A2565" s="1" t="str">
        <f>HYPERLINK("http://www.twitter.com/Ugo_Roux/status/615784235568226304", "615784235568226304")</f>
        <v>615784235568226304</v>
      </c>
      <c r="B2565" t="s">
        <v>16</v>
      </c>
      <c r="C2565" s="3">
        <v>42185.3122337963</v>
      </c>
      <c r="D2565" s="3" t="s">
        <v>28</v>
      </c>
      <c r="E2565">
        <v>1</v>
      </c>
      <c r="F2565">
        <v>1</v>
      </c>
      <c r="G2565">
        <v>0</v>
      </c>
      <c r="I2565" t="s">
        <v>2602</v>
      </c>
      <c r="N2565">
        <v>0</v>
      </c>
      <c r="O2565">
        <v>0</v>
      </c>
      <c r="P2565">
        <v>1</v>
      </c>
      <c r="Q2565">
        <v>0</v>
      </c>
    </row>
    <row r="2566" spans="1:17" x14ac:dyDescent="0.2">
      <c r="A2566" s="1" t="str">
        <f>HYPERLINK("http://www.twitter.com/Ugo_Roux/status/614467446850785280", "614467446850785280")</f>
        <v>614467446850785280</v>
      </c>
      <c r="B2566" t="s">
        <v>97</v>
      </c>
      <c r="C2566" s="3">
        <v>42181.678587962961</v>
      </c>
      <c r="D2566" s="5" t="s">
        <v>24</v>
      </c>
      <c r="E2566">
        <v>0</v>
      </c>
      <c r="F2566">
        <v>0</v>
      </c>
      <c r="G2566">
        <v>0</v>
      </c>
      <c r="I2566" t="s">
        <v>2603</v>
      </c>
      <c r="J2566" t="str">
        <f>HYPERLINK("http://pbs.twimg.com/media/CIcG4tvUsAErIV-.jpg", "http://pbs.twimg.com/media/CIcG4tvUsAErIV-.jpg")</f>
        <v>http://pbs.twimg.com/media/CIcG4tvUsAErIV-.jpg</v>
      </c>
      <c r="N2566">
        <v>0</v>
      </c>
      <c r="O2566">
        <v>0</v>
      </c>
      <c r="P2566">
        <v>1</v>
      </c>
      <c r="Q2566">
        <v>0</v>
      </c>
    </row>
    <row r="2567" spans="1:17" x14ac:dyDescent="0.2">
      <c r="A2567" s="1" t="str">
        <f>HYPERLINK("http://www.twitter.com/Ugo_Roux/status/613317869313617921", "613317869313617921")</f>
        <v>613317869313617921</v>
      </c>
      <c r="B2567" t="s">
        <v>16</v>
      </c>
      <c r="C2567" s="3">
        <v>42178.506354166668</v>
      </c>
      <c r="D2567" s="3" t="s">
        <v>41</v>
      </c>
      <c r="E2567">
        <v>0</v>
      </c>
      <c r="F2567">
        <v>0</v>
      </c>
      <c r="G2567">
        <v>0</v>
      </c>
      <c r="I2567" t="s">
        <v>2604</v>
      </c>
      <c r="N2567">
        <v>0</v>
      </c>
      <c r="O2567">
        <v>0</v>
      </c>
      <c r="P2567">
        <v>1</v>
      </c>
      <c r="Q2567">
        <v>0</v>
      </c>
    </row>
    <row r="2568" spans="1:17" x14ac:dyDescent="0.2">
      <c r="A2568" s="1" t="str">
        <f>HYPERLINK("http://www.twitter.com/Ugo_Roux/status/612276760302882817", "612276760302882817")</f>
        <v>612276760302882817</v>
      </c>
      <c r="B2568" t="s">
        <v>97</v>
      </c>
      <c r="C2568" s="3">
        <v>42175.633437500001</v>
      </c>
      <c r="D2568" s="5" t="s">
        <v>41</v>
      </c>
      <c r="E2568">
        <v>0</v>
      </c>
      <c r="F2568">
        <v>0</v>
      </c>
      <c r="G2568">
        <v>0</v>
      </c>
      <c r="I2568" t="s">
        <v>2605</v>
      </c>
      <c r="N2568">
        <v>0</v>
      </c>
      <c r="O2568">
        <v>0</v>
      </c>
      <c r="P2568">
        <v>1</v>
      </c>
      <c r="Q2568">
        <v>0</v>
      </c>
    </row>
    <row r="2569" spans="1:17" x14ac:dyDescent="0.2">
      <c r="A2569" s="1" t="str">
        <f>HYPERLINK("http://www.twitter.com/Ugo_Roux/status/610826897891676160", "610826897891676160")</f>
        <v>610826897891676160</v>
      </c>
      <c r="B2569" t="s">
        <v>16</v>
      </c>
      <c r="C2569" s="3">
        <v>42171.632581018523</v>
      </c>
      <c r="D2569" s="3" t="s">
        <v>17</v>
      </c>
      <c r="E2569">
        <v>1</v>
      </c>
      <c r="F2569">
        <v>3</v>
      </c>
      <c r="G2569">
        <v>0</v>
      </c>
      <c r="I2569" t="s">
        <v>2606</v>
      </c>
      <c r="J2569" t="str">
        <f>HYPERLINK("http://pbs.twimg.com/media/CHoX0bhWgAAdHfv.jpg", "http://pbs.twimg.com/media/CHoX0bhWgAAdHfv.jpg")</f>
        <v>http://pbs.twimg.com/media/CHoX0bhWgAAdHfv.jpg</v>
      </c>
      <c r="N2569">
        <v>0</v>
      </c>
      <c r="O2569">
        <v>0</v>
      </c>
      <c r="P2569">
        <v>1</v>
      </c>
      <c r="Q2569">
        <v>0</v>
      </c>
    </row>
    <row r="2570" spans="1:17" x14ac:dyDescent="0.2">
      <c r="A2570" s="1" t="str">
        <f>HYPERLINK("http://www.twitter.com/Ugo_Roux/status/610801107116388352", "610801107116388352")</f>
        <v>610801107116388352</v>
      </c>
      <c r="B2570" t="s">
        <v>47</v>
      </c>
      <c r="C2570" s="3">
        <v>42171.561412037037</v>
      </c>
      <c r="D2570" s="5" t="s">
        <v>17</v>
      </c>
      <c r="E2570">
        <v>1</v>
      </c>
      <c r="F2570">
        <v>0</v>
      </c>
      <c r="G2570">
        <v>0</v>
      </c>
      <c r="I2570" t="s">
        <v>2607</v>
      </c>
      <c r="J2570" t="str">
        <f>HYPERLINK("http://pbs.twimg.com/media/CHoAXq3WoAA-dv9.jpg", "http://pbs.twimg.com/media/CHoAXq3WoAA-dv9.jpg")</f>
        <v>http://pbs.twimg.com/media/CHoAXq3WoAA-dv9.jpg</v>
      </c>
      <c r="N2570">
        <v>0</v>
      </c>
      <c r="O2570">
        <v>0</v>
      </c>
      <c r="P2570">
        <v>1</v>
      </c>
      <c r="Q2570">
        <v>0</v>
      </c>
    </row>
    <row r="2571" spans="1:17" x14ac:dyDescent="0.2">
      <c r="A2571" s="1" t="str">
        <f>HYPERLINK("http://www.twitter.com/Ugo_Roux/status/609661758542753792", "609661758542753792")</f>
        <v>609661758542753792</v>
      </c>
      <c r="B2571" t="s">
        <v>47</v>
      </c>
      <c r="C2571" s="3">
        <v>42168.417407407411</v>
      </c>
      <c r="D2571" s="5" t="s">
        <v>17</v>
      </c>
      <c r="E2571">
        <v>0</v>
      </c>
      <c r="F2571">
        <v>0</v>
      </c>
      <c r="G2571">
        <v>1</v>
      </c>
      <c r="I2571" t="s">
        <v>2608</v>
      </c>
      <c r="N2571">
        <v>0</v>
      </c>
      <c r="O2571">
        <v>0</v>
      </c>
      <c r="P2571">
        <v>1</v>
      </c>
      <c r="Q2571">
        <v>0</v>
      </c>
    </row>
    <row r="2572" spans="1:17" x14ac:dyDescent="0.2">
      <c r="A2572" s="1" t="str">
        <f>HYPERLINK("http://www.twitter.com/Ugo_Roux/status/609333526895460352", "609333526895460352")</f>
        <v>609333526895460352</v>
      </c>
      <c r="B2572" t="s">
        <v>47</v>
      </c>
      <c r="C2572" s="3">
        <v>42167.511666666673</v>
      </c>
      <c r="D2572" s="5" t="s">
        <v>17</v>
      </c>
      <c r="E2572">
        <v>1</v>
      </c>
      <c r="F2572">
        <v>1</v>
      </c>
      <c r="G2572">
        <v>0</v>
      </c>
      <c r="I2572" t="s">
        <v>2609</v>
      </c>
      <c r="N2572">
        <v>0</v>
      </c>
      <c r="O2572">
        <v>0</v>
      </c>
      <c r="P2572">
        <v>1</v>
      </c>
      <c r="Q2572">
        <v>0</v>
      </c>
    </row>
    <row r="2573" spans="1:17" x14ac:dyDescent="0.2">
      <c r="A2573" s="1" t="str">
        <f>HYPERLINK("http://www.twitter.com/Ugo_Roux/status/609291941830860800", "609291941830860800")</f>
        <v>609291941830860800</v>
      </c>
      <c r="B2573" t="s">
        <v>16</v>
      </c>
      <c r="C2573" s="3">
        <v>42167.396909722222</v>
      </c>
      <c r="D2573" s="3" t="s">
        <v>41</v>
      </c>
      <c r="E2573">
        <v>7</v>
      </c>
      <c r="F2573">
        <v>6</v>
      </c>
      <c r="G2573">
        <v>0</v>
      </c>
      <c r="I2573" t="s">
        <v>2610</v>
      </c>
      <c r="J2573" t="str">
        <f>HYPERLINK("http://pbs.twimg.com/media/CHSjx0sWcAAq3FI.jpg", "http://pbs.twimg.com/media/CHSjx0sWcAAq3FI.jpg")</f>
        <v>http://pbs.twimg.com/media/CHSjx0sWcAAq3FI.jpg</v>
      </c>
      <c r="N2573">
        <v>0.29420000000000002</v>
      </c>
      <c r="O2573">
        <v>0</v>
      </c>
      <c r="P2573">
        <v>0.872</v>
      </c>
      <c r="Q2573">
        <v>0.128</v>
      </c>
    </row>
    <row r="2574" spans="1:17" x14ac:dyDescent="0.2">
      <c r="A2574" s="1" t="str">
        <f>HYPERLINK("http://www.twitter.com/Ugo_Roux/status/608660813210120194", "608660813210120194")</f>
        <v>608660813210120194</v>
      </c>
      <c r="B2574" t="s">
        <v>16</v>
      </c>
      <c r="C2574" s="3">
        <v>42165.655324074083</v>
      </c>
      <c r="D2574" s="3" t="s">
        <v>17</v>
      </c>
      <c r="E2574">
        <v>3</v>
      </c>
      <c r="F2574">
        <v>1</v>
      </c>
      <c r="G2574">
        <v>1</v>
      </c>
      <c r="I2574" t="s">
        <v>2611</v>
      </c>
      <c r="N2574">
        <v>0</v>
      </c>
      <c r="O2574">
        <v>0</v>
      </c>
      <c r="P2574">
        <v>1</v>
      </c>
      <c r="Q2574">
        <v>0</v>
      </c>
    </row>
    <row r="2575" spans="1:17" x14ac:dyDescent="0.2">
      <c r="A2575" s="1" t="str">
        <f>HYPERLINK("http://www.twitter.com/Ugo_Roux/status/607204331121541120", "607204331121541120")</f>
        <v>607204331121541120</v>
      </c>
      <c r="B2575" t="s">
        <v>97</v>
      </c>
      <c r="C2575" s="3">
        <v>42161.636203703703</v>
      </c>
      <c r="D2575" s="5" t="s">
        <v>41</v>
      </c>
      <c r="E2575">
        <v>0</v>
      </c>
      <c r="F2575">
        <v>0</v>
      </c>
      <c r="G2575">
        <v>0</v>
      </c>
      <c r="I2575" t="s">
        <v>2612</v>
      </c>
      <c r="J2575" t="str">
        <f>HYPERLINK("http://pbs.twimg.com/media/CG05Hv4U8AA3JX5.jpg", "http://pbs.twimg.com/media/CG05Hv4U8AA3JX5.jpg")</f>
        <v>http://pbs.twimg.com/media/CG05Hv4U8AA3JX5.jpg</v>
      </c>
      <c r="N2575">
        <v>0</v>
      </c>
      <c r="O2575">
        <v>0</v>
      </c>
      <c r="P2575">
        <v>1</v>
      </c>
      <c r="Q2575">
        <v>0</v>
      </c>
    </row>
    <row r="2576" spans="1:17" x14ac:dyDescent="0.2">
      <c r="A2576" s="1" t="str">
        <f>HYPERLINK("http://www.twitter.com/Ugo_Roux/status/607104660571357184", "607104660571357184")</f>
        <v>607104660571357184</v>
      </c>
      <c r="B2576" t="s">
        <v>47</v>
      </c>
      <c r="C2576" s="3">
        <v>42161.361168981479</v>
      </c>
      <c r="D2576" s="5" t="s">
        <v>24</v>
      </c>
      <c r="E2576">
        <v>0</v>
      </c>
      <c r="F2576">
        <v>0</v>
      </c>
      <c r="G2576">
        <v>0</v>
      </c>
      <c r="I2576" t="s">
        <v>2613</v>
      </c>
      <c r="J2576" t="str">
        <f>HYPERLINK("http://pbs.twimg.com/media/CGzeeK-W8AAKRuA.jpg", "http://pbs.twimg.com/media/CGzeeK-W8AAKRuA.jpg")</f>
        <v>http://pbs.twimg.com/media/CGzeeK-W8AAKRuA.jpg</v>
      </c>
      <c r="N2576">
        <v>-0.128</v>
      </c>
      <c r="O2576">
        <v>0.17599999999999999</v>
      </c>
      <c r="P2576">
        <v>0.82399999999999995</v>
      </c>
      <c r="Q2576">
        <v>0</v>
      </c>
    </row>
    <row r="2577" spans="1:17" x14ac:dyDescent="0.2">
      <c r="A2577" s="1" t="str">
        <f>HYPERLINK("http://www.twitter.com/Ugo_Roux/status/606408207926296576", "606408207926296576")</f>
        <v>606408207926296576</v>
      </c>
      <c r="B2577" t="s">
        <v>97</v>
      </c>
      <c r="C2577" s="3">
        <v>42159.439317129632</v>
      </c>
      <c r="D2577" s="5" t="s">
        <v>28</v>
      </c>
      <c r="E2577">
        <v>0</v>
      </c>
      <c r="F2577">
        <v>0</v>
      </c>
      <c r="G2577">
        <v>0</v>
      </c>
      <c r="I2577" t="s">
        <v>2614</v>
      </c>
      <c r="J2577" t="str">
        <f>HYPERLINK("http://pbs.twimg.com/media/CGplDSgUQAEQoI3.jpg", "http://pbs.twimg.com/media/CGplDSgUQAEQoI3.jpg")</f>
        <v>http://pbs.twimg.com/media/CGplDSgUQAEQoI3.jpg</v>
      </c>
      <c r="N2577">
        <v>0</v>
      </c>
      <c r="O2577">
        <v>0</v>
      </c>
      <c r="P2577">
        <v>1</v>
      </c>
      <c r="Q2577">
        <v>0</v>
      </c>
    </row>
    <row r="2578" spans="1:17" x14ac:dyDescent="0.2">
      <c r="A2578" s="1" t="str">
        <f>HYPERLINK("http://www.twitter.com/Ugo_Roux/status/606034030153371648", "606034030153371648")</f>
        <v>606034030153371648</v>
      </c>
      <c r="B2578" t="s">
        <v>47</v>
      </c>
      <c r="C2578" s="3">
        <v>42158.406793981478</v>
      </c>
      <c r="D2578" s="5" t="s">
        <v>17</v>
      </c>
      <c r="E2578">
        <v>0</v>
      </c>
      <c r="F2578">
        <v>0</v>
      </c>
      <c r="G2578">
        <v>0</v>
      </c>
      <c r="I2578" t="s">
        <v>2615</v>
      </c>
      <c r="N2578">
        <v>0</v>
      </c>
      <c r="O2578">
        <v>0</v>
      </c>
      <c r="P2578">
        <v>1</v>
      </c>
      <c r="Q2578">
        <v>0</v>
      </c>
    </row>
    <row r="2579" spans="1:17" x14ac:dyDescent="0.2">
      <c r="A2579" s="1" t="str">
        <f>HYPERLINK("http://www.twitter.com/Ugo_Roux/status/604664083984416768", "604664083984416768")</f>
        <v>604664083984416768</v>
      </c>
      <c r="B2579" t="s">
        <v>97</v>
      </c>
      <c r="C2579" s="3">
        <v>42154.626458333332</v>
      </c>
      <c r="D2579" s="5" t="s">
        <v>41</v>
      </c>
      <c r="E2579">
        <v>0</v>
      </c>
      <c r="F2579">
        <v>0</v>
      </c>
      <c r="G2579">
        <v>0</v>
      </c>
      <c r="I2579" t="s">
        <v>2616</v>
      </c>
      <c r="J2579" t="str">
        <f>HYPERLINK("http://pbs.twimg.com/media/CGQyx6VUcAADUNn.jpg", "http://pbs.twimg.com/media/CGQyx6VUcAADUNn.jpg")</f>
        <v>http://pbs.twimg.com/media/CGQyx6VUcAADUNn.jpg</v>
      </c>
      <c r="N2579">
        <v>0</v>
      </c>
      <c r="O2579">
        <v>0</v>
      </c>
      <c r="P2579">
        <v>1</v>
      </c>
      <c r="Q2579">
        <v>0</v>
      </c>
    </row>
    <row r="2580" spans="1:17" x14ac:dyDescent="0.2">
      <c r="A2580" s="1" t="str">
        <f>HYPERLINK("http://www.twitter.com/Ugo_Roux/status/604237825043660804", "604237825043660804")</f>
        <v>604237825043660804</v>
      </c>
      <c r="B2580" t="s">
        <v>97</v>
      </c>
      <c r="C2580" s="3">
        <v>42153.450208333343</v>
      </c>
      <c r="D2580" s="5" t="s">
        <v>28</v>
      </c>
      <c r="E2580">
        <v>0</v>
      </c>
      <c r="F2580">
        <v>0</v>
      </c>
      <c r="G2580">
        <v>0</v>
      </c>
      <c r="I2580" t="s">
        <v>2617</v>
      </c>
      <c r="J2580" t="str">
        <f>HYPERLINK("http://pbs.twimg.com/media/CGKvGXzUsAAAKKR.jpg", "http://pbs.twimg.com/media/CGKvGXzUsAAAKKR.jpg")</f>
        <v>http://pbs.twimg.com/media/CGKvGXzUsAAAKKR.jpg</v>
      </c>
      <c r="N2580">
        <v>0</v>
      </c>
      <c r="O2580">
        <v>0</v>
      </c>
      <c r="P2580">
        <v>1</v>
      </c>
      <c r="Q2580">
        <v>0</v>
      </c>
    </row>
    <row r="2581" spans="1:17" x14ac:dyDescent="0.2">
      <c r="A2581" s="1" t="str">
        <f>HYPERLINK("http://www.twitter.com/Ugo_Roux/status/603522386688880640", "603522386688880640")</f>
        <v>603522386688880640</v>
      </c>
      <c r="B2581" t="s">
        <v>47</v>
      </c>
      <c r="C2581" s="3">
        <v>42151.475972222222</v>
      </c>
      <c r="D2581" s="5" t="s">
        <v>17</v>
      </c>
      <c r="E2581">
        <v>1</v>
      </c>
      <c r="F2581">
        <v>1</v>
      </c>
      <c r="G2581">
        <v>0</v>
      </c>
      <c r="I2581" t="s">
        <v>2618</v>
      </c>
      <c r="N2581">
        <v>0</v>
      </c>
      <c r="O2581">
        <v>0</v>
      </c>
      <c r="P2581">
        <v>1</v>
      </c>
      <c r="Q2581">
        <v>0</v>
      </c>
    </row>
    <row r="2582" spans="1:17" x14ac:dyDescent="0.2">
      <c r="A2582" s="1" t="str">
        <f>HYPERLINK("http://www.twitter.com/Ugo_Roux/status/603503383056551937", "603503383056551937")</f>
        <v>603503383056551937</v>
      </c>
      <c r="B2582" t="s">
        <v>97</v>
      </c>
      <c r="C2582" s="3">
        <v>42151.423530092587</v>
      </c>
      <c r="D2582" s="5" t="s">
        <v>28</v>
      </c>
      <c r="E2582">
        <v>0</v>
      </c>
      <c r="F2582">
        <v>0</v>
      </c>
      <c r="G2582">
        <v>0</v>
      </c>
      <c r="I2582" t="s">
        <v>2619</v>
      </c>
      <c r="J2582" t="str">
        <f>HYPERLINK("http://pbs.twimg.com/media/CGATIOlUIAABOGG.jpg", "http://pbs.twimg.com/media/CGATIOlUIAABOGG.jpg")</f>
        <v>http://pbs.twimg.com/media/CGATIOlUIAABOGG.jpg</v>
      </c>
      <c r="N2582">
        <v>0</v>
      </c>
      <c r="O2582">
        <v>0</v>
      </c>
      <c r="P2582">
        <v>1</v>
      </c>
      <c r="Q2582">
        <v>0</v>
      </c>
    </row>
    <row r="2583" spans="1:17" x14ac:dyDescent="0.2">
      <c r="A2583" s="1" t="str">
        <f>HYPERLINK("http://www.twitter.com/Ugo_Roux/status/603501103712350208", "603501103712350208")</f>
        <v>603501103712350208</v>
      </c>
      <c r="B2583" t="s">
        <v>370</v>
      </c>
      <c r="C2583" s="3">
        <v>42151.417245370372</v>
      </c>
      <c r="D2583" s="5" t="s">
        <v>28</v>
      </c>
      <c r="E2583">
        <v>0</v>
      </c>
      <c r="F2583">
        <v>0</v>
      </c>
      <c r="G2583">
        <v>0</v>
      </c>
      <c r="I2583" t="s">
        <v>2620</v>
      </c>
      <c r="J2583" t="str">
        <f>HYPERLINK("http://pbs.twimg.com/media/CGARDiiVAAAri-G.jpg", "http://pbs.twimg.com/media/CGARDiiVAAAri-G.jpg")</f>
        <v>http://pbs.twimg.com/media/CGARDiiVAAAri-G.jpg</v>
      </c>
      <c r="N2583">
        <v>0</v>
      </c>
      <c r="O2583">
        <v>0</v>
      </c>
      <c r="P2583">
        <v>1</v>
      </c>
      <c r="Q2583">
        <v>0</v>
      </c>
    </row>
    <row r="2584" spans="1:17" x14ac:dyDescent="0.2">
      <c r="A2584" s="1" t="str">
        <f>HYPERLINK("http://www.twitter.com/Ugo_Roux/status/603485478541602817", "603485478541602817")</f>
        <v>603485478541602817</v>
      </c>
      <c r="B2584" t="s">
        <v>370</v>
      </c>
      <c r="C2584" s="3">
        <v>42151.374120370368</v>
      </c>
      <c r="D2584" s="5" t="s">
        <v>28</v>
      </c>
      <c r="E2584">
        <v>0</v>
      </c>
      <c r="F2584">
        <v>0</v>
      </c>
      <c r="G2584">
        <v>0</v>
      </c>
      <c r="I2584" t="s">
        <v>2621</v>
      </c>
      <c r="J2584" t="str">
        <f>HYPERLINK("http://pbs.twimg.com/media/CGAC2C1UgAADFwW.jpg", "http://pbs.twimg.com/media/CGAC2C1UgAADFwW.jpg")</f>
        <v>http://pbs.twimg.com/media/CGAC2C1UgAADFwW.jpg</v>
      </c>
      <c r="N2584">
        <v>0</v>
      </c>
      <c r="O2584">
        <v>0</v>
      </c>
      <c r="P2584">
        <v>1</v>
      </c>
      <c r="Q2584">
        <v>0</v>
      </c>
    </row>
    <row r="2585" spans="1:17" x14ac:dyDescent="0.2">
      <c r="A2585" s="1" t="str">
        <f>HYPERLINK("http://www.twitter.com/Ugo_Roux/status/603109582005731328", "603109582005731328")</f>
        <v>603109582005731328</v>
      </c>
      <c r="B2585" t="s">
        <v>130</v>
      </c>
      <c r="C2585" s="3">
        <v>42150.336851851847</v>
      </c>
      <c r="D2585" s="5" t="s">
        <v>41</v>
      </c>
      <c r="E2585">
        <v>1</v>
      </c>
      <c r="F2585">
        <v>0</v>
      </c>
      <c r="G2585">
        <v>0</v>
      </c>
      <c r="I2585" t="s">
        <v>2622</v>
      </c>
      <c r="N2585">
        <v>0</v>
      </c>
      <c r="O2585">
        <v>0</v>
      </c>
      <c r="P2585">
        <v>1</v>
      </c>
      <c r="Q2585">
        <v>0</v>
      </c>
    </row>
    <row r="2586" spans="1:17" x14ac:dyDescent="0.2">
      <c r="A2586" s="1" t="str">
        <f>HYPERLINK("http://www.twitter.com/Ugo_Roux/status/601667481929916416", "601667481929916416")</f>
        <v>601667481929916416</v>
      </c>
      <c r="B2586" t="s">
        <v>16</v>
      </c>
      <c r="C2586" s="3">
        <v>42146.357407407413</v>
      </c>
      <c r="D2586" s="3" t="s">
        <v>41</v>
      </c>
      <c r="E2586">
        <v>1</v>
      </c>
      <c r="F2586">
        <v>0</v>
      </c>
      <c r="G2586">
        <v>0</v>
      </c>
      <c r="I2586" t="s">
        <v>2623</v>
      </c>
      <c r="J2586" t="str">
        <f>HYPERLINK("http://pbs.twimg.com/media/CFmNYuVWIAADmcv.jpg", "http://pbs.twimg.com/media/CFmNYuVWIAADmcv.jpg")</f>
        <v>http://pbs.twimg.com/media/CFmNYuVWIAADmcv.jpg</v>
      </c>
      <c r="N2586">
        <v>0</v>
      </c>
      <c r="O2586">
        <v>0</v>
      </c>
      <c r="P2586">
        <v>1</v>
      </c>
      <c r="Q2586">
        <v>0</v>
      </c>
    </row>
    <row r="2587" spans="1:17" x14ac:dyDescent="0.2">
      <c r="A2587" s="1" t="str">
        <f>HYPERLINK("http://www.twitter.com/Ugo_Roux/status/595904493700698112", "595904493700698112")</f>
        <v>595904493700698112</v>
      </c>
      <c r="B2587" t="s">
        <v>16</v>
      </c>
      <c r="C2587" s="3">
        <v>42130.454594907409</v>
      </c>
      <c r="D2587" s="3" t="s">
        <v>28</v>
      </c>
      <c r="E2587">
        <v>1</v>
      </c>
      <c r="F2587">
        <v>0</v>
      </c>
      <c r="G2587">
        <v>1</v>
      </c>
      <c r="I2587" t="s">
        <v>2624</v>
      </c>
      <c r="J2587" t="str">
        <f>HYPERLINK("http://pbs.twimg.com/media/CEUT-mXWAAALrBY.png", "http://pbs.twimg.com/media/CEUT-mXWAAALrBY.png")</f>
        <v>http://pbs.twimg.com/media/CEUT-mXWAAALrBY.png</v>
      </c>
      <c r="N2587">
        <v>-0.20030000000000001</v>
      </c>
      <c r="O2587">
        <v>0.113</v>
      </c>
      <c r="P2587">
        <v>0.88700000000000001</v>
      </c>
      <c r="Q2587">
        <v>0</v>
      </c>
    </row>
    <row r="2588" spans="1:17" x14ac:dyDescent="0.2">
      <c r="A2588" s="1" t="str">
        <f>HYPERLINK("http://www.twitter.com/Ugo_Roux/status/593689300249616384", "593689300249616384")</f>
        <v>593689300249616384</v>
      </c>
      <c r="B2588" t="s">
        <v>370</v>
      </c>
      <c r="C2588" s="3">
        <v>42124.341828703713</v>
      </c>
      <c r="D2588" s="5" t="s">
        <v>28</v>
      </c>
      <c r="E2588">
        <v>0</v>
      </c>
      <c r="F2588">
        <v>0</v>
      </c>
      <c r="G2588">
        <v>0</v>
      </c>
      <c r="I2588" t="s">
        <v>2625</v>
      </c>
      <c r="N2588">
        <v>0</v>
      </c>
      <c r="O2588">
        <v>0</v>
      </c>
      <c r="P2588">
        <v>1</v>
      </c>
      <c r="Q2588">
        <v>0</v>
      </c>
    </row>
    <row r="2589" spans="1:17" x14ac:dyDescent="0.2">
      <c r="A2589" s="1" t="str">
        <f>HYPERLINK("http://www.twitter.com/Ugo_Roux/status/593688262792781826", "593688262792781826")</f>
        <v>593688262792781826</v>
      </c>
      <c r="B2589" t="s">
        <v>370</v>
      </c>
      <c r="C2589" s="3">
        <v>42124.338958333326</v>
      </c>
      <c r="D2589" s="5" t="s">
        <v>28</v>
      </c>
      <c r="E2589">
        <v>0</v>
      </c>
      <c r="F2589">
        <v>0</v>
      </c>
      <c r="G2589">
        <v>0</v>
      </c>
      <c r="I2589" t="s">
        <v>2626</v>
      </c>
      <c r="N2589">
        <v>0</v>
      </c>
      <c r="O2589">
        <v>0</v>
      </c>
      <c r="P2589">
        <v>1</v>
      </c>
      <c r="Q2589">
        <v>0</v>
      </c>
    </row>
    <row r="2590" spans="1:17" x14ac:dyDescent="0.2">
      <c r="A2590" s="1" t="str">
        <f>HYPERLINK("http://www.twitter.com/Ugo_Roux/status/593677561374212097", "593677561374212097")</f>
        <v>593677561374212097</v>
      </c>
      <c r="B2590" t="s">
        <v>370</v>
      </c>
      <c r="C2590" s="3">
        <v>42124.309432870366</v>
      </c>
      <c r="D2590" s="5" t="s">
        <v>28</v>
      </c>
      <c r="E2590">
        <v>0</v>
      </c>
      <c r="F2590">
        <v>0</v>
      </c>
      <c r="G2590">
        <v>0</v>
      </c>
      <c r="I2590" t="s">
        <v>2627</v>
      </c>
      <c r="N2590">
        <v>0</v>
      </c>
      <c r="O2590">
        <v>0</v>
      </c>
      <c r="P2590">
        <v>1</v>
      </c>
      <c r="Q2590">
        <v>0</v>
      </c>
    </row>
    <row r="2591" spans="1:17" x14ac:dyDescent="0.2">
      <c r="A2591" s="1" t="str">
        <f>HYPERLINK("http://www.twitter.com/Ugo_Roux/status/593445257267712001", "593445257267712001")</f>
        <v>593445257267712001</v>
      </c>
      <c r="B2591" t="s">
        <v>370</v>
      </c>
      <c r="C2591" s="3">
        <v>42123.668391203697</v>
      </c>
      <c r="D2591" s="5" t="s">
        <v>28</v>
      </c>
      <c r="E2591">
        <v>0</v>
      </c>
      <c r="F2591">
        <v>0</v>
      </c>
      <c r="G2591">
        <v>0</v>
      </c>
      <c r="I2591" t="s">
        <v>2628</v>
      </c>
      <c r="N2591">
        <v>0</v>
      </c>
      <c r="O2591">
        <v>0</v>
      </c>
      <c r="P2591">
        <v>1</v>
      </c>
      <c r="Q2591">
        <v>0</v>
      </c>
    </row>
    <row r="2592" spans="1:17" x14ac:dyDescent="0.2">
      <c r="A2592" s="1" t="str">
        <f>HYPERLINK("http://www.twitter.com/Ugo_Roux/status/593443887865204737", "593443887865204737")</f>
        <v>593443887865204737</v>
      </c>
      <c r="B2592" t="s">
        <v>370</v>
      </c>
      <c r="C2592" s="3">
        <v>42123.664618055547</v>
      </c>
      <c r="D2592" s="5" t="s">
        <v>28</v>
      </c>
      <c r="E2592">
        <v>0</v>
      </c>
      <c r="F2592">
        <v>0</v>
      </c>
      <c r="G2592">
        <v>0</v>
      </c>
      <c r="I2592" t="s">
        <v>2629</v>
      </c>
      <c r="N2592">
        <v>0</v>
      </c>
      <c r="O2592">
        <v>0</v>
      </c>
      <c r="P2592">
        <v>1</v>
      </c>
      <c r="Q2592">
        <v>0</v>
      </c>
    </row>
    <row r="2593" spans="1:17" x14ac:dyDescent="0.2">
      <c r="A2593" s="1" t="str">
        <f>HYPERLINK("http://www.twitter.com/Ugo_Roux/status/591238853056274432", "591238853056274432")</f>
        <v>591238853056274432</v>
      </c>
      <c r="B2593" t="s">
        <v>97</v>
      </c>
      <c r="C2593" s="3">
        <v>42117.579872685194</v>
      </c>
      <c r="D2593" s="5" t="s">
        <v>17</v>
      </c>
      <c r="E2593">
        <v>0</v>
      </c>
      <c r="F2593">
        <v>0</v>
      </c>
      <c r="G2593">
        <v>0</v>
      </c>
      <c r="I2593" t="s">
        <v>2630</v>
      </c>
      <c r="N2593">
        <v>0</v>
      </c>
      <c r="O2593">
        <v>0</v>
      </c>
      <c r="P2593">
        <v>1</v>
      </c>
      <c r="Q2593">
        <v>0</v>
      </c>
    </row>
    <row r="2594" spans="1:17" x14ac:dyDescent="0.2">
      <c r="A2594" s="1" t="str">
        <f>HYPERLINK("http://www.twitter.com/Ugo_Roux/status/590783493552017408", "590783493552017408")</f>
        <v>590783493552017408</v>
      </c>
      <c r="B2594" t="s">
        <v>97</v>
      </c>
      <c r="C2594" s="3">
        <v>42116.323321759257</v>
      </c>
      <c r="D2594" s="5" t="s">
        <v>28</v>
      </c>
      <c r="E2594">
        <v>0</v>
      </c>
      <c r="F2594">
        <v>0</v>
      </c>
      <c r="G2594">
        <v>0</v>
      </c>
      <c r="I2594" t="s">
        <v>2631</v>
      </c>
      <c r="N2594">
        <v>0</v>
      </c>
      <c r="O2594">
        <v>0</v>
      </c>
      <c r="P2594">
        <v>1</v>
      </c>
      <c r="Q2594">
        <v>0</v>
      </c>
    </row>
    <row r="2595" spans="1:17" x14ac:dyDescent="0.2">
      <c r="A2595" s="1" t="str">
        <f>HYPERLINK("http://www.twitter.com/Ugo_Roux/status/589351486427164673", "589351486427164673")</f>
        <v>589351486427164673</v>
      </c>
      <c r="B2595" t="s">
        <v>16</v>
      </c>
      <c r="C2595" s="3">
        <v>42112.371736111112</v>
      </c>
      <c r="D2595" s="3" t="s">
        <v>17</v>
      </c>
      <c r="E2595">
        <v>2</v>
      </c>
      <c r="F2595">
        <v>0</v>
      </c>
      <c r="G2595">
        <v>0</v>
      </c>
      <c r="I2595" t="s">
        <v>2632</v>
      </c>
      <c r="J2595" t="str">
        <f>HYPERLINK("http://pbs.twimg.com/media/CC3MC1wW4AAM_Wg.jpg", "http://pbs.twimg.com/media/CC3MC1wW4AAM_Wg.jpg")</f>
        <v>http://pbs.twimg.com/media/CC3MC1wW4AAM_Wg.jpg</v>
      </c>
      <c r="N2595">
        <v>0</v>
      </c>
      <c r="O2595">
        <v>0</v>
      </c>
      <c r="P2595">
        <v>1</v>
      </c>
      <c r="Q2595">
        <v>0</v>
      </c>
    </row>
    <row r="2596" spans="1:17" x14ac:dyDescent="0.2">
      <c r="A2596" s="1" t="str">
        <f>HYPERLINK("http://www.twitter.com/Ugo_Roux/status/589017287279177728", "589017287279177728")</f>
        <v>589017287279177728</v>
      </c>
      <c r="B2596" t="s">
        <v>16</v>
      </c>
      <c r="C2596" s="3">
        <v>42111.449525462973</v>
      </c>
      <c r="D2596" s="3" t="s">
        <v>625</v>
      </c>
      <c r="E2596">
        <v>0</v>
      </c>
      <c r="F2596">
        <v>0</v>
      </c>
      <c r="G2596">
        <v>0</v>
      </c>
      <c r="I2596" t="s">
        <v>2633</v>
      </c>
      <c r="J2596" t="str">
        <f>HYPERLINK("http://pbs.twimg.com/media/CCycGcyW0AAP2FL.jpg", "http://pbs.twimg.com/media/CCycGcyW0AAP2FL.jpg")</f>
        <v>http://pbs.twimg.com/media/CCycGcyW0AAP2FL.jpg</v>
      </c>
      <c r="N2596">
        <v>0</v>
      </c>
      <c r="O2596">
        <v>0</v>
      </c>
      <c r="P2596">
        <v>1</v>
      </c>
      <c r="Q2596">
        <v>0</v>
      </c>
    </row>
    <row r="2597" spans="1:17" x14ac:dyDescent="0.2">
      <c r="A2597" s="1" t="str">
        <f>HYPERLINK("http://www.twitter.com/Ugo_Roux/status/588255307157110784", "588255307157110784")</f>
        <v>588255307157110784</v>
      </c>
      <c r="B2597" t="s">
        <v>97</v>
      </c>
      <c r="C2597" s="3">
        <v>42109.346863425933</v>
      </c>
      <c r="D2597" s="5" t="s">
        <v>24</v>
      </c>
      <c r="E2597">
        <v>0</v>
      </c>
      <c r="F2597">
        <v>0</v>
      </c>
      <c r="G2597">
        <v>0</v>
      </c>
      <c r="I2597" t="s">
        <v>2634</v>
      </c>
      <c r="N2597">
        <v>0</v>
      </c>
      <c r="O2597">
        <v>0</v>
      </c>
      <c r="P2597">
        <v>1</v>
      </c>
      <c r="Q2597">
        <v>0</v>
      </c>
    </row>
    <row r="2598" spans="1:17" x14ac:dyDescent="0.2">
      <c r="A2598" s="1" t="str">
        <f>HYPERLINK("http://www.twitter.com/Ugo_Roux/status/587922164638158848", "587922164638158848")</f>
        <v>587922164638158848</v>
      </c>
      <c r="B2598" t="s">
        <v>130</v>
      </c>
      <c r="C2598" s="3">
        <v>42108.427557870367</v>
      </c>
      <c r="D2598" s="5" t="s">
        <v>41</v>
      </c>
      <c r="E2598">
        <v>0</v>
      </c>
      <c r="F2598">
        <v>0</v>
      </c>
      <c r="G2598">
        <v>0</v>
      </c>
      <c r="I2598" t="s">
        <v>2635</v>
      </c>
      <c r="N2598">
        <v>0</v>
      </c>
      <c r="O2598">
        <v>0</v>
      </c>
      <c r="P2598">
        <v>1</v>
      </c>
      <c r="Q2598">
        <v>0</v>
      </c>
    </row>
    <row r="2599" spans="1:17" x14ac:dyDescent="0.2">
      <c r="A2599" s="1" t="str">
        <f>HYPERLINK("http://www.twitter.com/Ugo_Roux/status/585436131350687745", "585436131350687745")</f>
        <v>585436131350687745</v>
      </c>
      <c r="B2599" t="s">
        <v>130</v>
      </c>
      <c r="C2599" s="3">
        <v>42101.567418981482</v>
      </c>
      <c r="D2599" s="5" t="s">
        <v>17</v>
      </c>
      <c r="E2599">
        <v>0</v>
      </c>
      <c r="F2599">
        <v>0</v>
      </c>
      <c r="G2599">
        <v>0</v>
      </c>
      <c r="I2599" t="s">
        <v>2636</v>
      </c>
      <c r="N2599">
        <v>0</v>
      </c>
      <c r="O2599">
        <v>0</v>
      </c>
      <c r="P2599">
        <v>1</v>
      </c>
      <c r="Q2599">
        <v>0</v>
      </c>
    </row>
    <row r="2600" spans="1:17" x14ac:dyDescent="0.2">
      <c r="A2600" s="1" t="str">
        <f>HYPERLINK("http://www.twitter.com/Ugo_Roux/status/584348404551061504", "584348404551061504")</f>
        <v>584348404551061504</v>
      </c>
      <c r="B2600" t="s">
        <v>97</v>
      </c>
      <c r="C2600" s="3">
        <v>42098.56585648148</v>
      </c>
      <c r="D2600" s="5" t="s">
        <v>41</v>
      </c>
      <c r="E2600">
        <v>0</v>
      </c>
      <c r="F2600">
        <v>0</v>
      </c>
      <c r="G2600">
        <v>0</v>
      </c>
      <c r="I2600" t="s">
        <v>2637</v>
      </c>
      <c r="N2600">
        <v>0</v>
      </c>
      <c r="O2600">
        <v>0</v>
      </c>
      <c r="P2600">
        <v>1</v>
      </c>
      <c r="Q2600">
        <v>0</v>
      </c>
    </row>
    <row r="2601" spans="1:17" x14ac:dyDescent="0.2">
      <c r="A2601" s="1" t="str">
        <f>HYPERLINK("http://www.twitter.com/Ugo_Roux/status/583590021506138113", "583590021506138113")</f>
        <v>583590021506138113</v>
      </c>
      <c r="B2601" t="s">
        <v>47</v>
      </c>
      <c r="C2601" s="3">
        <v>42096.473124999997</v>
      </c>
      <c r="D2601" s="5" t="s">
        <v>17</v>
      </c>
      <c r="E2601">
        <v>3</v>
      </c>
      <c r="F2601">
        <v>5</v>
      </c>
      <c r="G2601">
        <v>2</v>
      </c>
      <c r="I2601" t="s">
        <v>2638</v>
      </c>
      <c r="J2601" t="str">
        <f>HYPERLINK("http://pbs.twimg.com/media/CBlUCBLWIAAfnY3.jpg", "http://pbs.twimg.com/media/CBlUCBLWIAAfnY3.jpg")</f>
        <v>http://pbs.twimg.com/media/CBlUCBLWIAAfnY3.jpg</v>
      </c>
      <c r="N2601">
        <v>0.45879999999999999</v>
      </c>
      <c r="O2601">
        <v>0</v>
      </c>
      <c r="P2601">
        <v>0.75</v>
      </c>
      <c r="Q2601">
        <v>0.25</v>
      </c>
    </row>
    <row r="2602" spans="1:17" x14ac:dyDescent="0.2">
      <c r="A2602" s="1" t="str">
        <f>HYPERLINK("http://www.twitter.com/Ugo_Roux/status/583262865353805824", "583262865353805824")</f>
        <v>583262865353805824</v>
      </c>
      <c r="B2602" t="s">
        <v>16</v>
      </c>
      <c r="C2602" s="3">
        <v>42095.570347222223</v>
      </c>
      <c r="D2602" s="3" t="s">
        <v>41</v>
      </c>
      <c r="E2602">
        <v>0</v>
      </c>
      <c r="F2602">
        <v>0</v>
      </c>
      <c r="G2602">
        <v>0</v>
      </c>
      <c r="I2602" t="s">
        <v>2639</v>
      </c>
      <c r="J2602" t="str">
        <f>HYPERLINK("http://pbs.twimg.com/media/CBgqfCNW8AAp1r3.jpg", "http://pbs.twimg.com/media/CBgqfCNW8AAp1r3.jpg")</f>
        <v>http://pbs.twimg.com/media/CBgqfCNW8AAp1r3.jpg</v>
      </c>
      <c r="N2602">
        <v>0</v>
      </c>
      <c r="O2602">
        <v>0</v>
      </c>
      <c r="P2602">
        <v>1</v>
      </c>
      <c r="Q2602">
        <v>0</v>
      </c>
    </row>
    <row r="2603" spans="1:17" x14ac:dyDescent="0.2">
      <c r="A2603" s="1" t="str">
        <f>HYPERLINK("http://www.twitter.com/Ugo_Roux/status/582857889011933184", "582857889011933184")</f>
        <v>582857889011933184</v>
      </c>
      <c r="B2603" t="s">
        <v>47</v>
      </c>
      <c r="C2603" s="3">
        <v>42094.452824074076</v>
      </c>
      <c r="D2603" s="5" t="s">
        <v>17</v>
      </c>
      <c r="E2603">
        <v>0</v>
      </c>
      <c r="F2603">
        <v>0</v>
      </c>
      <c r="G2603">
        <v>0</v>
      </c>
      <c r="I2603" t="s">
        <v>2640</v>
      </c>
      <c r="N2603">
        <v>0</v>
      </c>
      <c r="O2603">
        <v>0</v>
      </c>
      <c r="P2603">
        <v>1</v>
      </c>
      <c r="Q2603">
        <v>0</v>
      </c>
    </row>
    <row r="2604" spans="1:17" x14ac:dyDescent="0.2">
      <c r="A2604" s="1" t="str">
        <f>HYPERLINK("http://www.twitter.com/Ugo_Roux/status/581733542566187008", "581733542566187008")</f>
        <v>581733542566187008</v>
      </c>
      <c r="B2604" t="s">
        <v>130</v>
      </c>
      <c r="C2604" s="3">
        <v>42091.350219907406</v>
      </c>
      <c r="D2604" s="5" t="s">
        <v>41</v>
      </c>
      <c r="E2604">
        <v>0</v>
      </c>
      <c r="F2604">
        <v>0</v>
      </c>
      <c r="G2604">
        <v>0</v>
      </c>
      <c r="I2604" t="s">
        <v>2641</v>
      </c>
      <c r="N2604">
        <v>0</v>
      </c>
      <c r="O2604">
        <v>0</v>
      </c>
      <c r="P2604">
        <v>1</v>
      </c>
      <c r="Q2604">
        <v>0</v>
      </c>
    </row>
    <row r="2605" spans="1:17" x14ac:dyDescent="0.2">
      <c r="A2605" s="1" t="str">
        <f>HYPERLINK("http://www.twitter.com/Ugo_Roux/status/581434354397777920", "581434354397777920")</f>
        <v>581434354397777920</v>
      </c>
      <c r="B2605" t="s">
        <v>47</v>
      </c>
      <c r="C2605" s="3">
        <v>42090.524618055562</v>
      </c>
      <c r="D2605" s="5" t="s">
        <v>28</v>
      </c>
      <c r="E2605">
        <v>1</v>
      </c>
      <c r="F2605">
        <v>3</v>
      </c>
      <c r="G2605">
        <v>0</v>
      </c>
      <c r="I2605" t="s">
        <v>2642</v>
      </c>
      <c r="N2605">
        <v>0</v>
      </c>
      <c r="O2605">
        <v>0</v>
      </c>
      <c r="P2605">
        <v>1</v>
      </c>
      <c r="Q2605">
        <v>0</v>
      </c>
    </row>
    <row r="2606" spans="1:17" x14ac:dyDescent="0.2">
      <c r="A2606" s="1" t="str">
        <f>HYPERLINK("http://www.twitter.com/Ugo_Roux/status/581409676497166337", "581409676497166337")</f>
        <v>581409676497166337</v>
      </c>
      <c r="B2606" t="s">
        <v>16</v>
      </c>
      <c r="C2606" s="3">
        <v>42090.456516203703</v>
      </c>
      <c r="D2606" s="3" t="s">
        <v>1187</v>
      </c>
      <c r="E2606">
        <v>0</v>
      </c>
      <c r="F2606">
        <v>0</v>
      </c>
      <c r="G2606">
        <v>0</v>
      </c>
      <c r="I2606" t="s">
        <v>2643</v>
      </c>
      <c r="N2606">
        <v>0</v>
      </c>
      <c r="O2606">
        <v>0</v>
      </c>
      <c r="P2606">
        <v>1</v>
      </c>
      <c r="Q2606">
        <v>0</v>
      </c>
    </row>
    <row r="2607" spans="1:17" x14ac:dyDescent="0.2">
      <c r="A2607" s="1" t="str">
        <f>HYPERLINK("http://www.twitter.com/Ugo_Roux/status/581022471811309568", "581022471811309568")</f>
        <v>581022471811309568</v>
      </c>
      <c r="B2607" t="s">
        <v>16</v>
      </c>
      <c r="C2607" s="3">
        <v>42089.388032407413</v>
      </c>
      <c r="D2607" s="3" t="s">
        <v>41</v>
      </c>
      <c r="E2607">
        <v>0</v>
      </c>
      <c r="F2607">
        <v>0</v>
      </c>
      <c r="G2607">
        <v>0</v>
      </c>
      <c r="I2607" t="s">
        <v>2644</v>
      </c>
      <c r="J2607" t="str">
        <f>HYPERLINK("http://pbs.twimg.com/media/CBA027xWsAA5Kq1.jpg", "http://pbs.twimg.com/media/CBA027xWsAA5Kq1.jpg")</f>
        <v>http://pbs.twimg.com/media/CBA027xWsAA5Kq1.jpg</v>
      </c>
      <c r="N2607">
        <v>0</v>
      </c>
      <c r="O2607">
        <v>0</v>
      </c>
      <c r="P2607">
        <v>1</v>
      </c>
      <c r="Q2607">
        <v>0</v>
      </c>
    </row>
    <row r="2608" spans="1:17" x14ac:dyDescent="0.2">
      <c r="A2608" s="1" t="str">
        <f>HYPERLINK("http://www.twitter.com/Ugo_Roux/status/580722945691111424", "580722945691111424")</f>
        <v>580722945691111424</v>
      </c>
      <c r="B2608" t="s">
        <v>130</v>
      </c>
      <c r="C2608" s="3">
        <v>42088.56150462963</v>
      </c>
      <c r="D2608" s="5" t="s">
        <v>28</v>
      </c>
      <c r="E2608">
        <v>1</v>
      </c>
      <c r="F2608">
        <v>0</v>
      </c>
      <c r="G2608">
        <v>0</v>
      </c>
      <c r="I2608" t="s">
        <v>2645</v>
      </c>
      <c r="N2608">
        <v>0</v>
      </c>
      <c r="O2608">
        <v>0</v>
      </c>
      <c r="P2608">
        <v>1</v>
      </c>
      <c r="Q2608">
        <v>0</v>
      </c>
    </row>
    <row r="2609" spans="1:17" x14ac:dyDescent="0.2">
      <c r="A2609" s="1" t="str">
        <f>HYPERLINK("http://www.twitter.com/Ugo_Roux/status/580663514274140160", "580663514274140160")</f>
        <v>580663514274140160</v>
      </c>
      <c r="B2609" t="s">
        <v>16</v>
      </c>
      <c r="C2609" s="3">
        <v>42088.397499999999</v>
      </c>
      <c r="D2609" s="3" t="s">
        <v>41</v>
      </c>
      <c r="E2609">
        <v>2</v>
      </c>
      <c r="F2609">
        <v>1</v>
      </c>
      <c r="G2609">
        <v>0</v>
      </c>
      <c r="I2609" t="s">
        <v>2646</v>
      </c>
      <c r="J2609" t="str">
        <f>HYPERLINK("http://pbs.twimg.com/media/CA7uY18WQAA_3B7.jpg", "http://pbs.twimg.com/media/CA7uY18WQAA_3B7.jpg")</f>
        <v>http://pbs.twimg.com/media/CA7uY18WQAA_3B7.jpg</v>
      </c>
      <c r="N2609">
        <v>0</v>
      </c>
      <c r="O2609">
        <v>0</v>
      </c>
      <c r="P2609">
        <v>1</v>
      </c>
      <c r="Q2609">
        <v>0</v>
      </c>
    </row>
    <row r="2610" spans="1:17" x14ac:dyDescent="0.2">
      <c r="A2610" s="1" t="str">
        <f>HYPERLINK("http://www.twitter.com/Ugo_Roux/status/580372388640137216", "580372388640137216")</f>
        <v>580372388640137216</v>
      </c>
      <c r="B2610" t="s">
        <v>47</v>
      </c>
      <c r="C2610" s="3">
        <v>42087.594143518523</v>
      </c>
      <c r="D2610" s="5" t="s">
        <v>17</v>
      </c>
      <c r="E2610">
        <v>0</v>
      </c>
      <c r="F2610">
        <v>0</v>
      </c>
      <c r="G2610">
        <v>0</v>
      </c>
      <c r="I2610" t="s">
        <v>2647</v>
      </c>
      <c r="N2610">
        <v>0</v>
      </c>
      <c r="O2610">
        <v>0</v>
      </c>
      <c r="P2610">
        <v>1</v>
      </c>
      <c r="Q2610">
        <v>0</v>
      </c>
    </row>
    <row r="2611" spans="1:17" x14ac:dyDescent="0.2">
      <c r="A2611" s="1" t="str">
        <f>HYPERLINK("http://www.twitter.com/Ugo_Roux/status/578956950349582338", "578956950349582338")</f>
        <v>578956950349582338</v>
      </c>
      <c r="B2611" t="s">
        <v>16</v>
      </c>
      <c r="C2611" s="3">
        <v>42083.688287037039</v>
      </c>
      <c r="D2611" s="3" t="s">
        <v>28</v>
      </c>
      <c r="E2611">
        <v>1</v>
      </c>
      <c r="F2611">
        <v>1</v>
      </c>
      <c r="G2611">
        <v>0</v>
      </c>
      <c r="I2611" t="s">
        <v>2648</v>
      </c>
      <c r="N2611">
        <v>0</v>
      </c>
      <c r="O2611">
        <v>0</v>
      </c>
      <c r="P2611">
        <v>1</v>
      </c>
      <c r="Q2611">
        <v>0</v>
      </c>
    </row>
    <row r="2612" spans="1:17" x14ac:dyDescent="0.2">
      <c r="A2612" s="1" t="str">
        <f>HYPERLINK("http://www.twitter.com/Ugo_Roux/status/578176744701620224", "578176744701620224")</f>
        <v>578176744701620224</v>
      </c>
      <c r="B2612" t="s">
        <v>16</v>
      </c>
      <c r="C2612" s="3">
        <v>42081.535324074073</v>
      </c>
      <c r="D2612" s="3" t="s">
        <v>28</v>
      </c>
      <c r="E2612">
        <v>0</v>
      </c>
      <c r="F2612">
        <v>0</v>
      </c>
      <c r="G2612">
        <v>0</v>
      </c>
      <c r="I2612" t="s">
        <v>2649</v>
      </c>
      <c r="N2612">
        <v>0.54110000000000003</v>
      </c>
      <c r="O2612">
        <v>0</v>
      </c>
      <c r="P2612">
        <v>0.85699999999999998</v>
      </c>
      <c r="Q2612">
        <v>0.14299999999999999</v>
      </c>
    </row>
    <row r="2613" spans="1:17" x14ac:dyDescent="0.2">
      <c r="A2613" s="1" t="str">
        <f>HYPERLINK("http://www.twitter.com/Ugo_Roux/status/576750268450254848", "576750268450254848")</f>
        <v>576750268450254848</v>
      </c>
      <c r="B2613" t="s">
        <v>16</v>
      </c>
      <c r="C2613" s="3">
        <v>42077.599004629628</v>
      </c>
      <c r="D2613" s="3" t="s">
        <v>17</v>
      </c>
      <c r="E2613">
        <v>0</v>
      </c>
      <c r="F2613">
        <v>1</v>
      </c>
      <c r="G2613">
        <v>0</v>
      </c>
      <c r="I2613" t="s">
        <v>2650</v>
      </c>
      <c r="N2613">
        <v>0</v>
      </c>
      <c r="O2613">
        <v>0</v>
      </c>
      <c r="P2613">
        <v>1</v>
      </c>
      <c r="Q2613">
        <v>0</v>
      </c>
    </row>
    <row r="2614" spans="1:17" x14ac:dyDescent="0.2">
      <c r="A2614" s="1" t="str">
        <f>HYPERLINK("http://www.twitter.com/Ugo_Roux/status/576402545175891968", "576402545175891968")</f>
        <v>576402545175891968</v>
      </c>
      <c r="B2614" t="s">
        <v>16</v>
      </c>
      <c r="C2614" s="3">
        <v>42076.639467592591</v>
      </c>
      <c r="D2614" s="3" t="s">
        <v>239</v>
      </c>
      <c r="E2614">
        <v>0</v>
      </c>
      <c r="F2614">
        <v>0</v>
      </c>
      <c r="G2614">
        <v>0</v>
      </c>
      <c r="I2614" t="s">
        <v>2651</v>
      </c>
      <c r="J2614" t="str">
        <f>HYPERLINK("http://pbs.twimg.com/media/B__LDxSWoAA3APu.jpg", "http://pbs.twimg.com/media/B__LDxSWoAA3APu.jpg")</f>
        <v>http://pbs.twimg.com/media/B__LDxSWoAA3APu.jpg</v>
      </c>
      <c r="N2614">
        <v>0</v>
      </c>
      <c r="O2614">
        <v>0</v>
      </c>
      <c r="P2614">
        <v>1</v>
      </c>
      <c r="Q2614">
        <v>0</v>
      </c>
    </row>
    <row r="2615" spans="1:17" x14ac:dyDescent="0.2">
      <c r="A2615" s="1" t="str">
        <f>HYPERLINK("http://www.twitter.com/Ugo_Roux/status/576051281611063296", "576051281611063296")</f>
        <v>576051281611063296</v>
      </c>
      <c r="B2615" t="s">
        <v>47</v>
      </c>
      <c r="C2615" s="3">
        <v>42075.670162037037</v>
      </c>
      <c r="D2615" s="5" t="s">
        <v>28</v>
      </c>
      <c r="E2615">
        <v>0</v>
      </c>
      <c r="F2615">
        <v>0</v>
      </c>
      <c r="G2615">
        <v>0</v>
      </c>
      <c r="I2615" t="s">
        <v>2652</v>
      </c>
      <c r="N2615">
        <v>0</v>
      </c>
      <c r="O2615">
        <v>0</v>
      </c>
      <c r="P2615">
        <v>1</v>
      </c>
      <c r="Q2615">
        <v>0</v>
      </c>
    </row>
    <row r="2616" spans="1:17" x14ac:dyDescent="0.2">
      <c r="A2616" s="1" t="str">
        <f>HYPERLINK("http://www.twitter.com/Ugo_Roux/status/574242613248790528", "574242613248790528")</f>
        <v>574242613248790528</v>
      </c>
      <c r="B2616" t="s">
        <v>47</v>
      </c>
      <c r="C2616" s="3">
        <v>42070.679189814808</v>
      </c>
      <c r="D2616" s="5" t="s">
        <v>41</v>
      </c>
      <c r="E2616">
        <v>0</v>
      </c>
      <c r="F2616">
        <v>0</v>
      </c>
      <c r="G2616">
        <v>1</v>
      </c>
      <c r="I2616" t="s">
        <v>2653</v>
      </c>
      <c r="J2616" t="str">
        <f>HYPERLINK("http://pbs.twimg.com/media/B_genQxWIAAKu6p.jpg", "http://pbs.twimg.com/media/B_genQxWIAAKu6p.jpg")</f>
        <v>http://pbs.twimg.com/media/B_genQxWIAAKu6p.jpg</v>
      </c>
      <c r="N2616">
        <v>0.45879999999999999</v>
      </c>
      <c r="O2616">
        <v>0</v>
      </c>
      <c r="P2616">
        <v>0.85699999999999998</v>
      </c>
      <c r="Q2616">
        <v>0.14299999999999999</v>
      </c>
    </row>
    <row r="2617" spans="1:17" x14ac:dyDescent="0.2">
      <c r="A2617" s="1" t="str">
        <f>HYPERLINK("http://www.twitter.com/Ugo_Roux/status/574201290986672128", "574201290986672128")</f>
        <v>574201290986672128</v>
      </c>
      <c r="B2617" t="s">
        <v>97</v>
      </c>
      <c r="C2617" s="3">
        <v>42070.565162037034</v>
      </c>
      <c r="D2617" s="5" t="s">
        <v>28</v>
      </c>
      <c r="E2617">
        <v>0</v>
      </c>
      <c r="F2617">
        <v>0</v>
      </c>
      <c r="G2617">
        <v>0</v>
      </c>
      <c r="I2617" t="s">
        <v>2654</v>
      </c>
      <c r="N2617">
        <v>0</v>
      </c>
      <c r="O2617">
        <v>0</v>
      </c>
      <c r="P2617">
        <v>1</v>
      </c>
      <c r="Q2617">
        <v>0</v>
      </c>
    </row>
    <row r="2618" spans="1:17" x14ac:dyDescent="0.2">
      <c r="A2618" s="1" t="str">
        <f>HYPERLINK("http://www.twitter.com/Ugo_Roux/status/574185370159570945", "574185370159570945")</f>
        <v>574185370159570945</v>
      </c>
      <c r="B2618" t="s">
        <v>16</v>
      </c>
      <c r="C2618" s="3">
        <v>42070.521226851852</v>
      </c>
      <c r="D2618" s="3" t="s">
        <v>28</v>
      </c>
      <c r="E2618">
        <v>0</v>
      </c>
      <c r="F2618">
        <v>0</v>
      </c>
      <c r="G2618">
        <v>0</v>
      </c>
      <c r="I2618" t="s">
        <v>2655</v>
      </c>
      <c r="J2618" t="str">
        <f>HYPERLINK("http://pbs.twimg.com/media/B_fqjRoWEAAk4m0.jpg", "http://pbs.twimg.com/media/B_fqjRoWEAAk4m0.jpg")</f>
        <v>http://pbs.twimg.com/media/B_fqjRoWEAAk4m0.jpg</v>
      </c>
      <c r="N2618">
        <v>0</v>
      </c>
      <c r="O2618">
        <v>0</v>
      </c>
      <c r="P2618">
        <v>1</v>
      </c>
      <c r="Q2618">
        <v>0</v>
      </c>
    </row>
    <row r="2619" spans="1:17" x14ac:dyDescent="0.2">
      <c r="A2619" s="1" t="str">
        <f>HYPERLINK("http://www.twitter.com/Ugo_Roux/status/573469667869769728", "573469667869769728")</f>
        <v>573469667869769728</v>
      </c>
      <c r="B2619" t="s">
        <v>47</v>
      </c>
      <c r="C2619" s="3">
        <v>42068.546273148153</v>
      </c>
      <c r="D2619" s="5" t="s">
        <v>41</v>
      </c>
      <c r="E2619">
        <v>1</v>
      </c>
      <c r="F2619">
        <v>2</v>
      </c>
      <c r="G2619">
        <v>0</v>
      </c>
      <c r="I2619" t="s">
        <v>2656</v>
      </c>
      <c r="J2619" t="str">
        <f>HYPERLINK("http://pbs.twimg.com/media/B_Vfn7cWQAAzXjJ.jpg", "http://pbs.twimg.com/media/B_Vfn7cWQAAzXjJ.jpg")</f>
        <v>http://pbs.twimg.com/media/B_Vfn7cWQAAzXjJ.jpg</v>
      </c>
      <c r="N2619">
        <v>0.1759</v>
      </c>
      <c r="O2619">
        <v>6.3E-2</v>
      </c>
      <c r="P2619">
        <v>0.84399999999999997</v>
      </c>
      <c r="Q2619">
        <v>9.2999999999999999E-2</v>
      </c>
    </row>
    <row r="2620" spans="1:17" x14ac:dyDescent="0.2">
      <c r="A2620" s="1" t="str">
        <f>HYPERLINK("http://www.twitter.com/Ugo_Roux/status/571261046314418176", "571261046314418176")</f>
        <v>571261046314418176</v>
      </c>
      <c r="B2620" t="s">
        <v>47</v>
      </c>
      <c r="C2620" s="3">
        <v>42062.451631944437</v>
      </c>
      <c r="D2620" s="5" t="s">
        <v>24</v>
      </c>
      <c r="E2620">
        <v>0</v>
      </c>
      <c r="F2620">
        <v>0</v>
      </c>
      <c r="G2620">
        <v>0</v>
      </c>
      <c r="I2620" t="s">
        <v>2657</v>
      </c>
      <c r="N2620">
        <v>0</v>
      </c>
      <c r="O2620">
        <v>0</v>
      </c>
      <c r="P2620">
        <v>1</v>
      </c>
      <c r="Q2620">
        <v>0</v>
      </c>
    </row>
    <row r="2621" spans="1:17" x14ac:dyDescent="0.2">
      <c r="A2621" s="1" t="str">
        <f>HYPERLINK("http://www.twitter.com/Ugo_Roux/status/569172807558565888", "569172807558565888")</f>
        <v>569172807558565888</v>
      </c>
      <c r="B2621" t="s">
        <v>47</v>
      </c>
      <c r="C2621" s="3">
        <v>42056.689189814817</v>
      </c>
      <c r="D2621" s="5" t="s">
        <v>41</v>
      </c>
      <c r="E2621">
        <v>0</v>
      </c>
      <c r="F2621">
        <v>1</v>
      </c>
      <c r="G2621">
        <v>0</v>
      </c>
      <c r="I2621" t="s">
        <v>2658</v>
      </c>
      <c r="N2621">
        <v>0</v>
      </c>
      <c r="O2621">
        <v>0</v>
      </c>
      <c r="P2621">
        <v>1</v>
      </c>
      <c r="Q2621">
        <v>0</v>
      </c>
    </row>
    <row r="2622" spans="1:17" x14ac:dyDescent="0.2">
      <c r="A2622" s="1" t="str">
        <f>HYPERLINK("http://www.twitter.com/Ugo_Roux/status/566619125993066496", "566619125993066496")</f>
        <v>566619125993066496</v>
      </c>
      <c r="B2622" t="s">
        <v>97</v>
      </c>
      <c r="C2622" s="3">
        <v>42049.642372685194</v>
      </c>
      <c r="D2622" s="5" t="s">
        <v>41</v>
      </c>
      <c r="E2622">
        <v>0</v>
      </c>
      <c r="F2622">
        <v>0</v>
      </c>
      <c r="G2622">
        <v>0</v>
      </c>
      <c r="I2622" t="s">
        <v>2659</v>
      </c>
      <c r="N2622">
        <v>0</v>
      </c>
      <c r="O2622">
        <v>0</v>
      </c>
      <c r="P2622">
        <v>1</v>
      </c>
      <c r="Q2622">
        <v>0</v>
      </c>
    </row>
    <row r="2623" spans="1:17" x14ac:dyDescent="0.2">
      <c r="A2623" s="1" t="str">
        <f>HYPERLINK("http://www.twitter.com/Ugo_Roux/status/566547539034652672", "566547539034652672")</f>
        <v>566547539034652672</v>
      </c>
      <c r="B2623" t="s">
        <v>47</v>
      </c>
      <c r="C2623" s="3">
        <v>42049.444826388892</v>
      </c>
      <c r="D2623" s="5" t="s">
        <v>625</v>
      </c>
      <c r="E2623">
        <v>2</v>
      </c>
      <c r="F2623">
        <v>0</v>
      </c>
      <c r="G2623">
        <v>2</v>
      </c>
      <c r="I2623" t="s">
        <v>2660</v>
      </c>
      <c r="N2623">
        <v>0.36120000000000002</v>
      </c>
      <c r="O2623">
        <v>9.7000000000000003E-2</v>
      </c>
      <c r="P2623">
        <v>0.71</v>
      </c>
      <c r="Q2623">
        <v>0.19400000000000001</v>
      </c>
    </row>
    <row r="2624" spans="1:17" x14ac:dyDescent="0.2">
      <c r="A2624" s="1" t="str">
        <f>HYPERLINK("http://www.twitter.com/Ugo_Roux/status/566286920310075392", "566286920310075392")</f>
        <v>566286920310075392</v>
      </c>
      <c r="B2624" t="s">
        <v>130</v>
      </c>
      <c r="C2624" s="3">
        <v>42048.725659722222</v>
      </c>
      <c r="D2624" s="5" t="s">
        <v>28</v>
      </c>
      <c r="E2624">
        <v>0</v>
      </c>
      <c r="F2624">
        <v>0</v>
      </c>
      <c r="G2624">
        <v>0</v>
      </c>
      <c r="I2624" t="s">
        <v>2661</v>
      </c>
      <c r="N2624">
        <v>0</v>
      </c>
      <c r="O2624">
        <v>0</v>
      </c>
      <c r="P2624">
        <v>1</v>
      </c>
      <c r="Q2624">
        <v>0</v>
      </c>
    </row>
    <row r="2625" spans="1:17" x14ac:dyDescent="0.2">
      <c r="A2625" s="1" t="str">
        <f>HYPERLINK("http://www.twitter.com/Ugo_Roux/status/565446130109284352", "565446130109284352")</f>
        <v>565446130109284352</v>
      </c>
      <c r="B2625" t="s">
        <v>16</v>
      </c>
      <c r="C2625" s="3">
        <v>42046.40552083333</v>
      </c>
      <c r="D2625" s="3" t="s">
        <v>28</v>
      </c>
      <c r="E2625">
        <v>0</v>
      </c>
      <c r="F2625">
        <v>0</v>
      </c>
      <c r="G2625">
        <v>0</v>
      </c>
      <c r="I2625" t="s">
        <v>2662</v>
      </c>
      <c r="J2625" t="str">
        <f>HYPERLINK("http://pbs.twimg.com/media/B9jeQjiIIAE7KE_.jpg", "http://pbs.twimg.com/media/B9jeQjiIIAE7KE_.jpg")</f>
        <v>http://pbs.twimg.com/media/B9jeQjiIIAE7KE_.jpg</v>
      </c>
      <c r="N2625">
        <v>0</v>
      </c>
      <c r="O2625">
        <v>0</v>
      </c>
      <c r="P2625">
        <v>1</v>
      </c>
      <c r="Q2625">
        <v>0</v>
      </c>
    </row>
    <row r="2626" spans="1:17" x14ac:dyDescent="0.2">
      <c r="A2626" s="1" t="str">
        <f>HYPERLINK("http://www.twitter.com/Ugo_Roux/status/563301523388502016", "563301523388502016")</f>
        <v>563301523388502016</v>
      </c>
      <c r="B2626" t="s">
        <v>97</v>
      </c>
      <c r="C2626" s="3">
        <v>42040.487534722219</v>
      </c>
      <c r="D2626" s="5" t="s">
        <v>17</v>
      </c>
      <c r="E2626">
        <v>0</v>
      </c>
      <c r="F2626">
        <v>0</v>
      </c>
      <c r="G2626">
        <v>0</v>
      </c>
      <c r="I2626" t="s">
        <v>2663</v>
      </c>
      <c r="N2626">
        <v>0</v>
      </c>
      <c r="O2626">
        <v>0</v>
      </c>
      <c r="P2626">
        <v>1</v>
      </c>
      <c r="Q2626">
        <v>0</v>
      </c>
    </row>
    <row r="2627" spans="1:17" x14ac:dyDescent="0.2">
      <c r="A2627" s="1" t="str">
        <f>HYPERLINK("http://www.twitter.com/Ugo_Roux/status/562960170431836160", "562960170431836160")</f>
        <v>562960170431836160</v>
      </c>
      <c r="B2627" t="s">
        <v>97</v>
      </c>
      <c r="C2627" s="3">
        <v>42039.545578703714</v>
      </c>
      <c r="D2627" s="5" t="s">
        <v>28</v>
      </c>
      <c r="E2627">
        <v>0</v>
      </c>
      <c r="F2627">
        <v>0</v>
      </c>
      <c r="G2627">
        <v>0</v>
      </c>
      <c r="I2627" t="s">
        <v>2664</v>
      </c>
      <c r="N2627">
        <v>0</v>
      </c>
      <c r="O2627">
        <v>0</v>
      </c>
      <c r="P2627">
        <v>1</v>
      </c>
      <c r="Q2627">
        <v>0</v>
      </c>
    </row>
    <row r="2628" spans="1:17" x14ac:dyDescent="0.2">
      <c r="A2628" s="1" t="str">
        <f>HYPERLINK("http://www.twitter.com/Ugo_Roux/status/562625587391766529", "562625587391766529")</f>
        <v>562625587391766529</v>
      </c>
      <c r="B2628" t="s">
        <v>47</v>
      </c>
      <c r="C2628" s="3">
        <v>42038.622303240743</v>
      </c>
      <c r="D2628" s="5" t="s">
        <v>28</v>
      </c>
      <c r="E2628">
        <v>0</v>
      </c>
      <c r="F2628">
        <v>1</v>
      </c>
      <c r="G2628">
        <v>0</v>
      </c>
      <c r="I2628" t="s">
        <v>2665</v>
      </c>
      <c r="N2628">
        <v>0</v>
      </c>
      <c r="O2628">
        <v>0</v>
      </c>
      <c r="P2628">
        <v>1</v>
      </c>
      <c r="Q2628">
        <v>0</v>
      </c>
    </row>
    <row r="2629" spans="1:17" x14ac:dyDescent="0.2">
      <c r="A2629" s="1" t="str">
        <f>HYPERLINK("http://www.twitter.com/Ugo_Roux/status/562621052225081344", "562621052225081344")</f>
        <v>562621052225081344</v>
      </c>
      <c r="B2629" t="s">
        <v>130</v>
      </c>
      <c r="C2629" s="3">
        <v>42038.609791666669</v>
      </c>
      <c r="D2629" s="5" t="s">
        <v>28</v>
      </c>
      <c r="E2629">
        <v>0</v>
      </c>
      <c r="F2629">
        <v>0</v>
      </c>
      <c r="G2629">
        <v>0</v>
      </c>
      <c r="I2629" t="s">
        <v>2666</v>
      </c>
      <c r="N2629">
        <v>0</v>
      </c>
      <c r="O2629">
        <v>0</v>
      </c>
      <c r="P2629">
        <v>1</v>
      </c>
      <c r="Q2629">
        <v>0</v>
      </c>
    </row>
    <row r="2630" spans="1:17" x14ac:dyDescent="0.2">
      <c r="A2630" s="1" t="str">
        <f>HYPERLINK("http://www.twitter.com/Ugo_Roux/status/561447454709932032", "561447454709932032")</f>
        <v>561447454709932032</v>
      </c>
      <c r="B2630" t="s">
        <v>130</v>
      </c>
      <c r="C2630" s="3">
        <v>42035.37128472222</v>
      </c>
      <c r="D2630" s="5" t="s">
        <v>28</v>
      </c>
      <c r="E2630">
        <v>0</v>
      </c>
      <c r="F2630">
        <v>0</v>
      </c>
      <c r="G2630">
        <v>0</v>
      </c>
      <c r="I2630" t="s">
        <v>2667</v>
      </c>
      <c r="N2630">
        <v>0.15310000000000001</v>
      </c>
      <c r="O2630">
        <v>0</v>
      </c>
      <c r="P2630">
        <v>0.90900000000000003</v>
      </c>
      <c r="Q2630">
        <v>9.0999999999999998E-2</v>
      </c>
    </row>
    <row r="2631" spans="1:17" x14ac:dyDescent="0.2">
      <c r="A2631" s="1" t="str">
        <f>HYPERLINK("http://www.twitter.com/Ugo_Roux/status/561214287948288002", "561214287948288002")</f>
        <v>561214287948288002</v>
      </c>
      <c r="B2631" t="s">
        <v>130</v>
      </c>
      <c r="C2631" s="3">
        <v>42034.727858796286</v>
      </c>
      <c r="D2631" s="5" t="s">
        <v>28</v>
      </c>
      <c r="E2631">
        <v>0</v>
      </c>
      <c r="F2631">
        <v>0</v>
      </c>
      <c r="G2631">
        <v>0</v>
      </c>
      <c r="I2631" t="s">
        <v>2668</v>
      </c>
      <c r="N2631">
        <v>0</v>
      </c>
      <c r="O2631">
        <v>0</v>
      </c>
      <c r="P2631">
        <v>1</v>
      </c>
      <c r="Q2631">
        <v>0</v>
      </c>
    </row>
    <row r="2632" spans="1:17" x14ac:dyDescent="0.2">
      <c r="A2632" s="1" t="str">
        <f>HYPERLINK("http://www.twitter.com/Ugo_Roux/status/560781811190484992", "560781811190484992")</f>
        <v>560781811190484992</v>
      </c>
      <c r="B2632" t="s">
        <v>97</v>
      </c>
      <c r="C2632" s="3">
        <v>42033.534456018519</v>
      </c>
      <c r="D2632" s="5" t="s">
        <v>28</v>
      </c>
      <c r="E2632">
        <v>0</v>
      </c>
      <c r="F2632">
        <v>0</v>
      </c>
      <c r="G2632">
        <v>0</v>
      </c>
      <c r="I2632" t="s">
        <v>2669</v>
      </c>
      <c r="N2632">
        <v>0</v>
      </c>
      <c r="O2632">
        <v>0</v>
      </c>
      <c r="P2632">
        <v>1</v>
      </c>
      <c r="Q2632">
        <v>0</v>
      </c>
    </row>
    <row r="2633" spans="1:17" x14ac:dyDescent="0.2">
      <c r="A2633" s="1" t="str">
        <f>HYPERLINK("http://www.twitter.com/Ugo_Roux/status/560125695628963840", "560125695628963840")</f>
        <v>560125695628963840</v>
      </c>
      <c r="B2633" t="s">
        <v>47</v>
      </c>
      <c r="C2633" s="3">
        <v>42031.723923611113</v>
      </c>
      <c r="D2633" s="5" t="s">
        <v>17</v>
      </c>
      <c r="E2633">
        <v>4</v>
      </c>
      <c r="F2633">
        <v>5</v>
      </c>
      <c r="G2633">
        <v>0</v>
      </c>
      <c r="I2633" t="s">
        <v>2670</v>
      </c>
      <c r="N2633">
        <v>0</v>
      </c>
      <c r="O2633">
        <v>0</v>
      </c>
      <c r="P2633">
        <v>1</v>
      </c>
      <c r="Q2633">
        <v>0</v>
      </c>
    </row>
    <row r="2634" spans="1:17" x14ac:dyDescent="0.2">
      <c r="A2634" s="1" t="str">
        <f>HYPERLINK("http://www.twitter.com/Ugo_Roux/status/560012742749192192", "560012742749192192")</f>
        <v>560012742749192192</v>
      </c>
      <c r="B2634" t="s">
        <v>97</v>
      </c>
      <c r="C2634" s="3">
        <v>42031.412233796298</v>
      </c>
      <c r="D2634" s="5" t="s">
        <v>28</v>
      </c>
      <c r="E2634">
        <v>0</v>
      </c>
      <c r="F2634">
        <v>0</v>
      </c>
      <c r="G2634">
        <v>0</v>
      </c>
      <c r="I2634" t="s">
        <v>2671</v>
      </c>
      <c r="N2634">
        <v>0</v>
      </c>
      <c r="O2634">
        <v>0</v>
      </c>
      <c r="P2634">
        <v>1</v>
      </c>
      <c r="Q2634">
        <v>0</v>
      </c>
    </row>
    <row r="2635" spans="1:17" x14ac:dyDescent="0.2">
      <c r="A2635" s="1" t="str">
        <f>HYPERLINK("http://www.twitter.com/Ugo_Roux/status/558963955381846017", "558963955381846017")</f>
        <v>558963955381846017</v>
      </c>
      <c r="B2635" t="s">
        <v>47</v>
      </c>
      <c r="C2635" s="3">
        <v>42028.518125000002</v>
      </c>
      <c r="D2635" s="5" t="s">
        <v>28</v>
      </c>
      <c r="E2635">
        <v>3</v>
      </c>
      <c r="F2635">
        <v>5</v>
      </c>
      <c r="G2635">
        <v>0</v>
      </c>
      <c r="I2635" t="s">
        <v>2672</v>
      </c>
      <c r="N2635">
        <v>0</v>
      </c>
      <c r="O2635">
        <v>0</v>
      </c>
      <c r="P2635">
        <v>1</v>
      </c>
      <c r="Q2635">
        <v>0</v>
      </c>
    </row>
    <row r="2636" spans="1:17" x14ac:dyDescent="0.2">
      <c r="A2636" s="1" t="str">
        <f>HYPERLINK("http://www.twitter.com/Ugo_Roux/status/557931679591854080", "557931679591854080")</f>
        <v>557931679591854080</v>
      </c>
      <c r="B2636" t="s">
        <v>97</v>
      </c>
      <c r="C2636" s="3">
        <v>42025.669583333343</v>
      </c>
      <c r="D2636" s="5" t="s">
        <v>41</v>
      </c>
      <c r="E2636">
        <v>0</v>
      </c>
      <c r="F2636">
        <v>0</v>
      </c>
      <c r="G2636">
        <v>0</v>
      </c>
      <c r="I2636" t="s">
        <v>2673</v>
      </c>
      <c r="N2636">
        <v>0</v>
      </c>
      <c r="O2636">
        <v>0</v>
      </c>
      <c r="P2636">
        <v>1</v>
      </c>
      <c r="Q2636">
        <v>0</v>
      </c>
    </row>
    <row r="2637" spans="1:17" x14ac:dyDescent="0.2">
      <c r="A2637" s="1" t="str">
        <f>HYPERLINK("http://www.twitter.com/Ugo_Roux/status/557488019918565376", "557488019918565376")</f>
        <v>557488019918565376</v>
      </c>
      <c r="B2637" t="s">
        <v>16</v>
      </c>
      <c r="C2637" s="3">
        <v>42024.445324074077</v>
      </c>
      <c r="D2637" s="3" t="s">
        <v>24</v>
      </c>
      <c r="E2637">
        <v>0</v>
      </c>
      <c r="F2637">
        <v>0</v>
      </c>
      <c r="G2637">
        <v>0</v>
      </c>
      <c r="I2637" t="s">
        <v>2674</v>
      </c>
      <c r="J2637" t="str">
        <f>HYPERLINK("http://pbs.twimg.com/media/B7yYZk6IEAAtVQ-.jpg", "http://pbs.twimg.com/media/B7yYZk6IEAAtVQ-.jpg")</f>
        <v>http://pbs.twimg.com/media/B7yYZk6IEAAtVQ-.jpg</v>
      </c>
      <c r="N2637">
        <v>0</v>
      </c>
      <c r="O2637">
        <v>0</v>
      </c>
      <c r="P2637">
        <v>1</v>
      </c>
      <c r="Q2637">
        <v>0</v>
      </c>
    </row>
    <row r="2638" spans="1:17" x14ac:dyDescent="0.2">
      <c r="A2638" s="1" t="str">
        <f>HYPERLINK("http://www.twitter.com/Ugo_Roux/status/555267174286110721", "555267174286110721")</f>
        <v>555267174286110721</v>
      </c>
      <c r="B2638" t="s">
        <v>97</v>
      </c>
      <c r="C2638" s="3">
        <v>42018.31695601852</v>
      </c>
      <c r="D2638" s="5" t="s">
        <v>17</v>
      </c>
      <c r="E2638">
        <v>0</v>
      </c>
      <c r="F2638">
        <v>0</v>
      </c>
      <c r="G2638">
        <v>0</v>
      </c>
      <c r="I2638" t="s">
        <v>2675</v>
      </c>
      <c r="N2638">
        <v>0</v>
      </c>
      <c r="O2638">
        <v>0</v>
      </c>
      <c r="P2638">
        <v>1</v>
      </c>
      <c r="Q2638">
        <v>0</v>
      </c>
    </row>
    <row r="2639" spans="1:17" x14ac:dyDescent="0.2">
      <c r="A2639" s="1" t="str">
        <f>HYPERLINK("http://www.twitter.com/Ugo_Roux/status/555033826968100865", "555033826968100865")</f>
        <v>555033826968100865</v>
      </c>
      <c r="B2639" t="s">
        <v>97</v>
      </c>
      <c r="C2639" s="3">
        <v>42017.673043981478</v>
      </c>
      <c r="D2639" s="5" t="s">
        <v>41</v>
      </c>
      <c r="E2639">
        <v>0</v>
      </c>
      <c r="F2639">
        <v>0</v>
      </c>
      <c r="G2639">
        <v>0</v>
      </c>
      <c r="I2639" t="s">
        <v>2676</v>
      </c>
      <c r="N2639">
        <v>0</v>
      </c>
      <c r="O2639">
        <v>0</v>
      </c>
      <c r="P2639">
        <v>1</v>
      </c>
      <c r="Q2639">
        <v>0</v>
      </c>
    </row>
    <row r="2640" spans="1:17" x14ac:dyDescent="0.2">
      <c r="A2640" s="1" t="str">
        <f>HYPERLINK("http://www.twitter.com/Ugo_Roux/status/554941052658806784", "554941052658806784")</f>
        <v>554941052658806784</v>
      </c>
      <c r="B2640" t="s">
        <v>97</v>
      </c>
      <c r="C2640" s="3">
        <v>42017.417025462957</v>
      </c>
      <c r="D2640" s="5" t="s">
        <v>28</v>
      </c>
      <c r="E2640">
        <v>0</v>
      </c>
      <c r="F2640">
        <v>0</v>
      </c>
      <c r="G2640">
        <v>0</v>
      </c>
      <c r="I2640" t="s">
        <v>2677</v>
      </c>
      <c r="N2640">
        <v>0</v>
      </c>
      <c r="O2640">
        <v>0</v>
      </c>
      <c r="P2640">
        <v>1</v>
      </c>
      <c r="Q2640">
        <v>0</v>
      </c>
    </row>
    <row r="2641" spans="1:17" x14ac:dyDescent="0.2">
      <c r="A2641" s="1" t="str">
        <f>HYPERLINK("http://www.twitter.com/Ugo_Roux/status/551043908671909888", "551043908671909888")</f>
        <v>551043908671909888</v>
      </c>
      <c r="B2641" t="s">
        <v>47</v>
      </c>
      <c r="C2641" s="3">
        <v>42006.662962962961</v>
      </c>
      <c r="D2641" s="5" t="s">
        <v>1187</v>
      </c>
      <c r="E2641">
        <v>0</v>
      </c>
      <c r="F2641">
        <v>1</v>
      </c>
      <c r="G2641">
        <v>0</v>
      </c>
      <c r="I2641" t="s">
        <v>2678</v>
      </c>
      <c r="N2641">
        <v>0</v>
      </c>
      <c r="O2641">
        <v>0</v>
      </c>
      <c r="P2641">
        <v>1</v>
      </c>
      <c r="Q2641">
        <v>0</v>
      </c>
    </row>
    <row r="2642" spans="1:17" x14ac:dyDescent="0.2">
      <c r="A2642" s="1" t="str">
        <f>HYPERLINK("http://www.twitter.com/Ugo_Roux/status/550973898184208384", "550973898184208384")</f>
        <v>550973898184208384</v>
      </c>
      <c r="B2642" t="s">
        <v>47</v>
      </c>
      <c r="C2642" s="3">
        <v>42006.469768518517</v>
      </c>
      <c r="D2642" s="5" t="s">
        <v>41</v>
      </c>
      <c r="E2642">
        <v>0</v>
      </c>
      <c r="F2642">
        <v>1</v>
      </c>
      <c r="G2642">
        <v>0</v>
      </c>
      <c r="I2642" t="s">
        <v>2679</v>
      </c>
      <c r="J2642" t="str">
        <f>HYPERLINK("http://pbs.twimg.com/media/B6Vz1zDIgAAv9HO.jpg", "http://pbs.twimg.com/media/B6Vz1zDIgAAv9HO.jpg")</f>
        <v>http://pbs.twimg.com/media/B6Vz1zDIgAAv9HO.jpg</v>
      </c>
      <c r="N2642">
        <v>0</v>
      </c>
      <c r="O2642">
        <v>0</v>
      </c>
      <c r="P2642">
        <v>1</v>
      </c>
      <c r="Q2642">
        <v>0</v>
      </c>
    </row>
    <row r="2643" spans="1:17" x14ac:dyDescent="0.2">
      <c r="A2643" s="1" t="str">
        <f>HYPERLINK("http://www.twitter.com/Ugo_Roux/status/550259440901824512", "550259440901824512")</f>
        <v>550259440901824512</v>
      </c>
      <c r="B2643" t="s">
        <v>47</v>
      </c>
      <c r="C2643" s="3">
        <v>42004.498240740737</v>
      </c>
      <c r="D2643" s="5" t="s">
        <v>28</v>
      </c>
      <c r="E2643">
        <v>0</v>
      </c>
      <c r="F2643">
        <v>4</v>
      </c>
      <c r="G2643">
        <v>0</v>
      </c>
      <c r="I2643" t="s">
        <v>2680</v>
      </c>
      <c r="N2643">
        <v>0</v>
      </c>
      <c r="O2643">
        <v>0</v>
      </c>
      <c r="P2643">
        <v>1</v>
      </c>
      <c r="Q2643">
        <v>0</v>
      </c>
    </row>
    <row r="2644" spans="1:17" x14ac:dyDescent="0.2">
      <c r="A2644" s="1" t="str">
        <f>HYPERLINK("http://www.twitter.com/Ugo_Roux/status/547789570512003072", "547789570512003072")</f>
        <v>547789570512003072</v>
      </c>
      <c r="B2644" t="s">
        <v>47</v>
      </c>
      <c r="C2644" s="3">
        <v>41997.682696759257</v>
      </c>
      <c r="D2644" s="5" t="s">
        <v>41</v>
      </c>
      <c r="E2644">
        <v>2</v>
      </c>
      <c r="F2644">
        <v>3</v>
      </c>
      <c r="G2644">
        <v>0</v>
      </c>
      <c r="I2644" t="s">
        <v>2681</v>
      </c>
      <c r="J2644" t="str">
        <f>HYPERLINK("http://pbs.twimg.com/media/B5ojtheCUAAoqV_.jpg", "http://pbs.twimg.com/media/B5ojtheCUAAoqV_.jpg")</f>
        <v>http://pbs.twimg.com/media/B5ojtheCUAAoqV_.jpg</v>
      </c>
      <c r="N2644">
        <v>0.62390000000000001</v>
      </c>
      <c r="O2644">
        <v>0</v>
      </c>
      <c r="P2644">
        <v>0.70199999999999996</v>
      </c>
      <c r="Q2644">
        <v>0.29799999999999999</v>
      </c>
    </row>
    <row r="2645" spans="1:17" x14ac:dyDescent="0.2">
      <c r="A2645" s="1" t="str">
        <f>HYPERLINK("http://www.twitter.com/Ugo_Roux/status/547769024424050689", "547769024424050689")</f>
        <v>547769024424050689</v>
      </c>
      <c r="B2645" t="s">
        <v>97</v>
      </c>
      <c r="C2645" s="3">
        <v>41997.626006944447</v>
      </c>
      <c r="D2645" s="5" t="s">
        <v>41</v>
      </c>
      <c r="E2645">
        <v>0</v>
      </c>
      <c r="F2645">
        <v>0</v>
      </c>
      <c r="G2645">
        <v>0</v>
      </c>
      <c r="I2645" t="s">
        <v>2682</v>
      </c>
      <c r="N2645">
        <v>0</v>
      </c>
      <c r="O2645">
        <v>0</v>
      </c>
      <c r="P2645">
        <v>1</v>
      </c>
      <c r="Q2645">
        <v>0</v>
      </c>
    </row>
    <row r="2646" spans="1:17" x14ac:dyDescent="0.2">
      <c r="A2646" s="1" t="str">
        <f>HYPERLINK("http://www.twitter.com/Ugo_Roux/status/547727628866564097", "547727628866564097")</f>
        <v>547727628866564097</v>
      </c>
      <c r="B2646" t="s">
        <v>47</v>
      </c>
      <c r="C2646" s="3">
        <v>41997.511770833327</v>
      </c>
      <c r="D2646" s="5" t="s">
        <v>17</v>
      </c>
      <c r="E2646">
        <v>0</v>
      </c>
      <c r="F2646">
        <v>0</v>
      </c>
      <c r="G2646">
        <v>0</v>
      </c>
      <c r="I2646" t="s">
        <v>2683</v>
      </c>
      <c r="N2646">
        <v>0</v>
      </c>
      <c r="O2646">
        <v>0</v>
      </c>
      <c r="P2646">
        <v>1</v>
      </c>
      <c r="Q2646">
        <v>0</v>
      </c>
    </row>
    <row r="2647" spans="1:17" x14ac:dyDescent="0.2">
      <c r="A2647" s="1" t="str">
        <f>HYPERLINK("http://www.twitter.com/Ugo_Roux/status/547269597930344449", "547269597930344449")</f>
        <v>547269597930344449</v>
      </c>
      <c r="B2647" t="s">
        <v>97</v>
      </c>
      <c r="C2647" s="3">
        <v>41996.247847222221</v>
      </c>
      <c r="D2647" s="5" t="s">
        <v>17</v>
      </c>
      <c r="E2647">
        <v>0</v>
      </c>
      <c r="F2647">
        <v>0</v>
      </c>
      <c r="G2647">
        <v>0</v>
      </c>
      <c r="I2647" t="s">
        <v>2684</v>
      </c>
      <c r="N2647">
        <v>0</v>
      </c>
      <c r="O2647">
        <v>0</v>
      </c>
      <c r="P2647">
        <v>1</v>
      </c>
      <c r="Q2647">
        <v>0</v>
      </c>
    </row>
    <row r="2648" spans="1:17" x14ac:dyDescent="0.2">
      <c r="A2648" s="1" t="str">
        <f>HYPERLINK("http://www.twitter.com/Ugo_Roux/status/546916538163281920", "546916538163281920")</f>
        <v>546916538163281920</v>
      </c>
      <c r="B2648" t="s">
        <v>97</v>
      </c>
      <c r="C2648" s="3">
        <v>41995.273587962962</v>
      </c>
      <c r="D2648" s="5" t="s">
        <v>17</v>
      </c>
      <c r="E2648">
        <v>0</v>
      </c>
      <c r="F2648">
        <v>0</v>
      </c>
      <c r="G2648">
        <v>0</v>
      </c>
      <c r="I2648" t="s">
        <v>2685</v>
      </c>
      <c r="N2648">
        <v>0</v>
      </c>
      <c r="O2648">
        <v>0</v>
      </c>
      <c r="P2648">
        <v>1</v>
      </c>
      <c r="Q2648">
        <v>0</v>
      </c>
    </row>
    <row r="2649" spans="1:17" x14ac:dyDescent="0.2">
      <c r="A2649" s="1" t="str">
        <f>HYPERLINK("http://www.twitter.com/Ugo_Roux/status/546319389117931521", "546319389117931521")</f>
        <v>546319389117931521</v>
      </c>
      <c r="B2649" t="s">
        <v>130</v>
      </c>
      <c r="C2649" s="3">
        <v>41993.625775462962</v>
      </c>
      <c r="D2649" s="5" t="s">
        <v>24</v>
      </c>
      <c r="E2649">
        <v>0</v>
      </c>
      <c r="F2649">
        <v>0</v>
      </c>
      <c r="G2649">
        <v>0</v>
      </c>
      <c r="I2649" t="s">
        <v>2686</v>
      </c>
      <c r="N2649">
        <v>0</v>
      </c>
      <c r="O2649">
        <v>0</v>
      </c>
      <c r="P2649">
        <v>1</v>
      </c>
      <c r="Q2649">
        <v>0</v>
      </c>
    </row>
    <row r="2650" spans="1:17" x14ac:dyDescent="0.2">
      <c r="A2650" s="1" t="str">
        <f>HYPERLINK("http://www.twitter.com/Ugo_Roux/status/546195116403085313", "546195116403085313")</f>
        <v>546195116403085313</v>
      </c>
      <c r="B2650" t="s">
        <v>97</v>
      </c>
      <c r="C2650" s="3">
        <v>41993.282847222217</v>
      </c>
      <c r="D2650" s="5" t="s">
        <v>17</v>
      </c>
      <c r="E2650">
        <v>0</v>
      </c>
      <c r="F2650">
        <v>0</v>
      </c>
      <c r="G2650">
        <v>0</v>
      </c>
      <c r="I2650" t="s">
        <v>2687</v>
      </c>
      <c r="N2650">
        <v>0</v>
      </c>
      <c r="O2650">
        <v>0</v>
      </c>
      <c r="P2650">
        <v>1</v>
      </c>
      <c r="Q2650">
        <v>0</v>
      </c>
    </row>
    <row r="2651" spans="1:17" x14ac:dyDescent="0.2">
      <c r="A2651" s="1" t="str">
        <f>HYPERLINK("http://www.twitter.com/Ugo_Roux/status/545900790922371072", "545900790922371072")</f>
        <v>545900790922371072</v>
      </c>
      <c r="B2651" t="s">
        <v>130</v>
      </c>
      <c r="C2651" s="3">
        <v>41992.470659722218</v>
      </c>
      <c r="D2651" s="5" t="s">
        <v>41</v>
      </c>
      <c r="E2651">
        <v>0</v>
      </c>
      <c r="F2651">
        <v>0</v>
      </c>
      <c r="G2651">
        <v>0</v>
      </c>
      <c r="I2651" t="s">
        <v>2688</v>
      </c>
      <c r="N2651">
        <v>0</v>
      </c>
      <c r="O2651">
        <v>0</v>
      </c>
      <c r="P2651">
        <v>1</v>
      </c>
      <c r="Q2651">
        <v>0</v>
      </c>
    </row>
    <row r="2652" spans="1:17" x14ac:dyDescent="0.2">
      <c r="A2652" s="1" t="str">
        <f>HYPERLINK("http://www.twitter.com/Ugo_Roux/status/545104840594956288", "545104840594956288")</f>
        <v>545104840594956288</v>
      </c>
      <c r="B2652" t="s">
        <v>97</v>
      </c>
      <c r="C2652" s="3">
        <v>41990.274259259262</v>
      </c>
      <c r="D2652" s="5" t="s">
        <v>17</v>
      </c>
      <c r="E2652">
        <v>0</v>
      </c>
      <c r="F2652">
        <v>0</v>
      </c>
      <c r="G2652">
        <v>0</v>
      </c>
      <c r="I2652" t="s">
        <v>2689</v>
      </c>
      <c r="N2652">
        <v>0</v>
      </c>
      <c r="O2652">
        <v>0</v>
      </c>
      <c r="P2652">
        <v>1</v>
      </c>
      <c r="Q2652">
        <v>0</v>
      </c>
    </row>
    <row r="2653" spans="1:17" x14ac:dyDescent="0.2">
      <c r="A2653" s="1" t="str">
        <f>HYPERLINK("http://www.twitter.com/Ugo_Roux/status/544014445836394496", "544014445836394496")</f>
        <v>544014445836394496</v>
      </c>
      <c r="B2653" t="s">
        <v>97</v>
      </c>
      <c r="C2653" s="3">
        <v>41987.265335648153</v>
      </c>
      <c r="D2653" s="5" t="s">
        <v>17</v>
      </c>
      <c r="E2653">
        <v>0</v>
      </c>
      <c r="F2653">
        <v>0</v>
      </c>
      <c r="G2653">
        <v>0</v>
      </c>
      <c r="I2653" t="s">
        <v>2690</v>
      </c>
      <c r="N2653">
        <v>0</v>
      </c>
      <c r="O2653">
        <v>0</v>
      </c>
      <c r="P2653">
        <v>1</v>
      </c>
      <c r="Q2653">
        <v>0</v>
      </c>
    </row>
    <row r="2654" spans="1:17" x14ac:dyDescent="0.2">
      <c r="A2654" s="1" t="str">
        <f>HYPERLINK("http://www.twitter.com/Ugo_Roux/status/543653108203536384", "543653108203536384")</f>
        <v>543653108203536384</v>
      </c>
      <c r="B2654" t="s">
        <v>97</v>
      </c>
      <c r="C2654" s="3">
        <v>41986.268240740741</v>
      </c>
      <c r="D2654" s="5" t="s">
        <v>17</v>
      </c>
      <c r="E2654">
        <v>0</v>
      </c>
      <c r="F2654">
        <v>0</v>
      </c>
      <c r="G2654">
        <v>0</v>
      </c>
      <c r="I2654" t="s">
        <v>2691</v>
      </c>
      <c r="N2654">
        <v>0</v>
      </c>
      <c r="O2654">
        <v>0</v>
      </c>
      <c r="P2654">
        <v>1</v>
      </c>
      <c r="Q2654">
        <v>0</v>
      </c>
    </row>
    <row r="2655" spans="1:17" x14ac:dyDescent="0.2">
      <c r="A2655" s="1" t="str">
        <f>HYPERLINK("http://www.twitter.com/Ugo_Roux/status/542354450439225344", "542354450439225344")</f>
        <v>542354450439225344</v>
      </c>
      <c r="B2655" t="s">
        <v>47</v>
      </c>
      <c r="C2655" s="3">
        <v>41982.684629629628</v>
      </c>
      <c r="D2655" s="5" t="s">
        <v>17</v>
      </c>
      <c r="E2655">
        <v>0</v>
      </c>
      <c r="F2655">
        <v>1</v>
      </c>
      <c r="G2655">
        <v>0</v>
      </c>
      <c r="I2655" t="s">
        <v>2692</v>
      </c>
      <c r="N2655">
        <v>0</v>
      </c>
      <c r="O2655">
        <v>0</v>
      </c>
      <c r="P2655">
        <v>1</v>
      </c>
      <c r="Q2655">
        <v>0</v>
      </c>
    </row>
    <row r="2656" spans="1:17" x14ac:dyDescent="0.2">
      <c r="A2656" s="1" t="str">
        <f>HYPERLINK("http://www.twitter.com/Ugo_Roux/status/541835270404857856", "541835270404857856")</f>
        <v>541835270404857856</v>
      </c>
      <c r="B2656" t="s">
        <v>97</v>
      </c>
      <c r="C2656" s="3">
        <v>41981.251956018517</v>
      </c>
      <c r="D2656" s="5" t="s">
        <v>17</v>
      </c>
      <c r="E2656">
        <v>0</v>
      </c>
      <c r="F2656">
        <v>0</v>
      </c>
      <c r="G2656">
        <v>0</v>
      </c>
      <c r="I2656" t="s">
        <v>2693</v>
      </c>
      <c r="N2656">
        <v>0</v>
      </c>
      <c r="O2656">
        <v>0</v>
      </c>
      <c r="P2656">
        <v>1</v>
      </c>
      <c r="Q2656">
        <v>0</v>
      </c>
    </row>
    <row r="2657" spans="1:17" x14ac:dyDescent="0.2">
      <c r="A2657" s="1" t="str">
        <f>HYPERLINK("http://www.twitter.com/Ugo_Roux/status/541484640947544064", "541484640947544064")</f>
        <v>541484640947544064</v>
      </c>
      <c r="B2657" t="s">
        <v>97</v>
      </c>
      <c r="C2657" s="3">
        <v>41980.284409722219</v>
      </c>
      <c r="D2657" s="5" t="s">
        <v>17</v>
      </c>
      <c r="E2657">
        <v>0</v>
      </c>
      <c r="F2657">
        <v>0</v>
      </c>
      <c r="G2657">
        <v>0</v>
      </c>
      <c r="I2657" t="s">
        <v>2694</v>
      </c>
      <c r="N2657">
        <v>0</v>
      </c>
      <c r="O2657">
        <v>0</v>
      </c>
      <c r="P2657">
        <v>1</v>
      </c>
      <c r="Q2657">
        <v>0</v>
      </c>
    </row>
    <row r="2658" spans="1:17" x14ac:dyDescent="0.2">
      <c r="A2658" s="1" t="str">
        <f>HYPERLINK("http://www.twitter.com/Ugo_Roux/status/541231002606399488", "541231002606399488")</f>
        <v>541231002606399488</v>
      </c>
      <c r="B2658" t="s">
        <v>47</v>
      </c>
      <c r="C2658" s="3">
        <v>41979.584502314807</v>
      </c>
      <c r="D2658" s="5" t="s">
        <v>17</v>
      </c>
      <c r="E2658">
        <v>0</v>
      </c>
      <c r="F2658">
        <v>0</v>
      </c>
      <c r="G2658">
        <v>0</v>
      </c>
      <c r="I2658" t="s">
        <v>2695</v>
      </c>
      <c r="N2658">
        <v>0</v>
      </c>
      <c r="O2658">
        <v>0</v>
      </c>
      <c r="P2658">
        <v>1</v>
      </c>
      <c r="Q2658">
        <v>0</v>
      </c>
    </row>
    <row r="2659" spans="1:17" x14ac:dyDescent="0.2">
      <c r="A2659" s="1" t="str">
        <f>HYPERLINK("http://www.twitter.com/Ugo_Roux/status/541230958226051072", "541230958226051072")</f>
        <v>541230958226051072</v>
      </c>
      <c r="B2659" t="s">
        <v>97</v>
      </c>
      <c r="C2659" s="3">
        <v>41979.584374999999</v>
      </c>
      <c r="D2659" s="5" t="s">
        <v>41</v>
      </c>
      <c r="E2659">
        <v>0</v>
      </c>
      <c r="F2659">
        <v>0</v>
      </c>
      <c r="G2659">
        <v>0</v>
      </c>
      <c r="I2659" t="s">
        <v>2696</v>
      </c>
      <c r="N2659">
        <v>0</v>
      </c>
      <c r="O2659">
        <v>0</v>
      </c>
      <c r="P2659">
        <v>1</v>
      </c>
      <c r="Q2659">
        <v>0</v>
      </c>
    </row>
    <row r="2660" spans="1:17" x14ac:dyDescent="0.2">
      <c r="A2660" s="1" t="str">
        <f>HYPERLINK("http://www.twitter.com/Ugo_Roux/status/540883372965236737", "540883372965236737")</f>
        <v>540883372965236737</v>
      </c>
      <c r="B2660" t="s">
        <v>97</v>
      </c>
      <c r="C2660" s="3">
        <v>41978.625219907408</v>
      </c>
      <c r="D2660" s="5" t="s">
        <v>17</v>
      </c>
      <c r="E2660">
        <v>0</v>
      </c>
      <c r="F2660">
        <v>0</v>
      </c>
      <c r="G2660">
        <v>0</v>
      </c>
      <c r="I2660" t="s">
        <v>2697</v>
      </c>
      <c r="N2660">
        <v>0</v>
      </c>
      <c r="O2660">
        <v>0</v>
      </c>
      <c r="P2660">
        <v>1</v>
      </c>
      <c r="Q2660">
        <v>0</v>
      </c>
    </row>
    <row r="2661" spans="1:17" x14ac:dyDescent="0.2">
      <c r="A2661" s="1" t="str">
        <f>HYPERLINK("http://www.twitter.com/Ugo_Roux/status/540829601925062656", "540829601925062656")</f>
        <v>540829601925062656</v>
      </c>
      <c r="B2661" t="s">
        <v>97</v>
      </c>
      <c r="C2661" s="3">
        <v>41978.476840277777</v>
      </c>
      <c r="D2661" s="5" t="s">
        <v>28</v>
      </c>
      <c r="E2661">
        <v>0</v>
      </c>
      <c r="F2661">
        <v>0</v>
      </c>
      <c r="G2661">
        <v>0</v>
      </c>
      <c r="I2661" t="s">
        <v>2698</v>
      </c>
      <c r="N2661">
        <v>0</v>
      </c>
      <c r="O2661">
        <v>0</v>
      </c>
      <c r="P2661">
        <v>1</v>
      </c>
      <c r="Q2661">
        <v>0</v>
      </c>
    </row>
    <row r="2662" spans="1:17" x14ac:dyDescent="0.2">
      <c r="A2662" s="1" t="str">
        <f>HYPERLINK("http://www.twitter.com/Ugo_Roux/status/540826097303031809", "540826097303031809")</f>
        <v>540826097303031809</v>
      </c>
      <c r="B2662" t="s">
        <v>97</v>
      </c>
      <c r="C2662" s="3">
        <v>41978.467175925929</v>
      </c>
      <c r="D2662" s="5" t="s">
        <v>28</v>
      </c>
      <c r="E2662">
        <v>0</v>
      </c>
      <c r="F2662">
        <v>0</v>
      </c>
      <c r="G2662">
        <v>0</v>
      </c>
      <c r="I2662" t="s">
        <v>2699</v>
      </c>
      <c r="N2662">
        <v>0</v>
      </c>
      <c r="O2662">
        <v>0</v>
      </c>
      <c r="P2662">
        <v>1</v>
      </c>
      <c r="Q2662">
        <v>0</v>
      </c>
    </row>
    <row r="2663" spans="1:17" x14ac:dyDescent="0.2">
      <c r="A2663" s="1" t="str">
        <f>HYPERLINK("http://www.twitter.com/Ugo_Roux/status/539663058109341696", "539663058109341696")</f>
        <v>539663058109341696</v>
      </c>
      <c r="B2663" t="s">
        <v>97</v>
      </c>
      <c r="C2663" s="3">
        <v>41975.257800925923</v>
      </c>
      <c r="D2663" s="5" t="s">
        <v>17</v>
      </c>
      <c r="E2663">
        <v>0</v>
      </c>
      <c r="F2663">
        <v>0</v>
      </c>
      <c r="G2663">
        <v>0</v>
      </c>
      <c r="I2663" t="s">
        <v>2700</v>
      </c>
      <c r="N2663">
        <v>0</v>
      </c>
      <c r="O2663">
        <v>0</v>
      </c>
      <c r="P2663">
        <v>1</v>
      </c>
      <c r="Q2663">
        <v>0</v>
      </c>
    </row>
    <row r="2664" spans="1:17" x14ac:dyDescent="0.2">
      <c r="A2664" s="1" t="str">
        <f>HYPERLINK("http://www.twitter.com/Ugo_Roux/status/539310637550010368", "539310637550010368")</f>
        <v>539310637550010368</v>
      </c>
      <c r="B2664" t="s">
        <v>97</v>
      </c>
      <c r="C2664" s="3">
        <v>41974.285300925927</v>
      </c>
      <c r="D2664" s="5" t="s">
        <v>17</v>
      </c>
      <c r="E2664">
        <v>0</v>
      </c>
      <c r="F2664">
        <v>0</v>
      </c>
      <c r="G2664">
        <v>0</v>
      </c>
      <c r="I2664" t="s">
        <v>2701</v>
      </c>
      <c r="N2664">
        <v>0</v>
      </c>
      <c r="O2664">
        <v>0</v>
      </c>
      <c r="P2664">
        <v>1</v>
      </c>
      <c r="Q2664">
        <v>0</v>
      </c>
    </row>
    <row r="2665" spans="1:17" x14ac:dyDescent="0.2">
      <c r="A2665" s="1" t="str">
        <f>HYPERLINK("http://www.twitter.com/Ugo_Roux/status/537197856554491904", "537197856554491904")</f>
        <v>537197856554491904</v>
      </c>
      <c r="B2665" t="s">
        <v>130</v>
      </c>
      <c r="C2665" s="3">
        <v>41968.455138888887</v>
      </c>
      <c r="D2665" s="5" t="s">
        <v>17</v>
      </c>
      <c r="E2665">
        <v>0</v>
      </c>
      <c r="F2665">
        <v>0</v>
      </c>
      <c r="G2665">
        <v>0</v>
      </c>
      <c r="I2665" t="s">
        <v>2702</v>
      </c>
      <c r="N2665">
        <v>0</v>
      </c>
      <c r="O2665">
        <v>0</v>
      </c>
      <c r="P2665">
        <v>1</v>
      </c>
      <c r="Q2665">
        <v>0</v>
      </c>
    </row>
    <row r="2666" spans="1:17" x14ac:dyDescent="0.2">
      <c r="A2666" s="1" t="str">
        <f>HYPERLINK("http://www.twitter.com/Ugo_Roux/status/536609748138090496", "536609748138090496")</f>
        <v>536609748138090496</v>
      </c>
      <c r="B2666" t="s">
        <v>130</v>
      </c>
      <c r="C2666" s="3">
        <v>41966.832268518519</v>
      </c>
      <c r="D2666" s="5" t="s">
        <v>17</v>
      </c>
      <c r="E2666">
        <v>0</v>
      </c>
      <c r="F2666">
        <v>0</v>
      </c>
      <c r="G2666">
        <v>0</v>
      </c>
      <c r="I2666" t="s">
        <v>2703</v>
      </c>
      <c r="N2666">
        <v>0</v>
      </c>
      <c r="O2666">
        <v>0</v>
      </c>
      <c r="P2666">
        <v>1</v>
      </c>
      <c r="Q2666">
        <v>0</v>
      </c>
    </row>
    <row r="2667" spans="1:17" x14ac:dyDescent="0.2">
      <c r="A2667" s="1" t="str">
        <f>HYPERLINK("http://www.twitter.com/Ugo_Roux/status/533887614420410368", "533887614420410368")</f>
        <v>533887614420410368</v>
      </c>
      <c r="B2667" t="s">
        <v>97</v>
      </c>
      <c r="C2667" s="3">
        <v>41959.320613425924</v>
      </c>
      <c r="D2667" s="5" t="s">
        <v>41</v>
      </c>
      <c r="E2667">
        <v>0</v>
      </c>
      <c r="F2667">
        <v>0</v>
      </c>
      <c r="G2667">
        <v>0</v>
      </c>
      <c r="I2667" t="s">
        <v>2704</v>
      </c>
      <c r="N2667">
        <v>0</v>
      </c>
      <c r="O2667">
        <v>0</v>
      </c>
      <c r="P2667">
        <v>1</v>
      </c>
      <c r="Q2667">
        <v>0</v>
      </c>
    </row>
    <row r="2668" spans="1:17" x14ac:dyDescent="0.2">
      <c r="A2668" s="1" t="str">
        <f>HYPERLINK("http://www.twitter.com/Ugo_Roux/status/533648060401082368", "533648060401082368")</f>
        <v>533648060401082368</v>
      </c>
      <c r="B2668" t="s">
        <v>47</v>
      </c>
      <c r="C2668" s="3">
        <v>41958.659560185188</v>
      </c>
      <c r="D2668" s="5" t="s">
        <v>41</v>
      </c>
      <c r="E2668">
        <v>2</v>
      </c>
      <c r="F2668">
        <v>5</v>
      </c>
      <c r="G2668">
        <v>0</v>
      </c>
      <c r="I2668" t="s">
        <v>2705</v>
      </c>
      <c r="J2668" t="str">
        <f>HYPERLINK("http://pbs.twimg.com/media/B2fmFQOIMAA6dR4.jpg", "http://pbs.twimg.com/media/B2fmFQOIMAA6dR4.jpg")</f>
        <v>http://pbs.twimg.com/media/B2fmFQOIMAA6dR4.jpg</v>
      </c>
      <c r="N2668">
        <v>0</v>
      </c>
      <c r="O2668">
        <v>0</v>
      </c>
      <c r="P2668">
        <v>1</v>
      </c>
      <c r="Q2668">
        <v>0</v>
      </c>
    </row>
    <row r="2669" spans="1:17" x14ac:dyDescent="0.2">
      <c r="A2669" s="1" t="str">
        <f>HYPERLINK("http://www.twitter.com/Ugo_Roux/status/533618934507773952", "533618934507773952")</f>
        <v>533618934507773952</v>
      </c>
      <c r="B2669" t="s">
        <v>97</v>
      </c>
      <c r="C2669" s="3">
        <v>41958.579189814824</v>
      </c>
      <c r="D2669" s="5" t="s">
        <v>41</v>
      </c>
      <c r="E2669">
        <v>0</v>
      </c>
      <c r="F2669">
        <v>0</v>
      </c>
      <c r="G2669">
        <v>0</v>
      </c>
      <c r="I2669" t="s">
        <v>2706</v>
      </c>
      <c r="N2669">
        <v>0</v>
      </c>
      <c r="O2669">
        <v>0</v>
      </c>
      <c r="P2669">
        <v>1</v>
      </c>
      <c r="Q2669">
        <v>0</v>
      </c>
    </row>
    <row r="2670" spans="1:17" x14ac:dyDescent="0.2">
      <c r="A2670" s="1" t="str">
        <f>HYPERLINK("http://www.twitter.com/Ugo_Roux/status/533589364690137088", "533589364690137088")</f>
        <v>533589364690137088</v>
      </c>
      <c r="B2670" t="s">
        <v>47</v>
      </c>
      <c r="C2670" s="3">
        <v>41958.49759259259</v>
      </c>
      <c r="D2670" s="5" t="s">
        <v>17</v>
      </c>
      <c r="E2670">
        <v>0</v>
      </c>
      <c r="F2670">
        <v>1</v>
      </c>
      <c r="G2670">
        <v>0</v>
      </c>
      <c r="I2670" t="s">
        <v>2707</v>
      </c>
      <c r="N2670">
        <v>0</v>
      </c>
      <c r="O2670">
        <v>0</v>
      </c>
      <c r="P2670">
        <v>1</v>
      </c>
      <c r="Q2670">
        <v>0</v>
      </c>
    </row>
    <row r="2671" spans="1:17" x14ac:dyDescent="0.2">
      <c r="A2671" s="1" t="str">
        <f>HYPERLINK("http://www.twitter.com/Ugo_Roux/status/533256736816496640", "533256736816496640")</f>
        <v>533256736816496640</v>
      </c>
      <c r="B2671" t="s">
        <v>16</v>
      </c>
      <c r="C2671" s="3">
        <v>41957.579722222217</v>
      </c>
      <c r="D2671" s="3" t="s">
        <v>28</v>
      </c>
      <c r="E2671">
        <v>0</v>
      </c>
      <c r="F2671">
        <v>0</v>
      </c>
      <c r="G2671">
        <v>0</v>
      </c>
      <c r="I2671" t="s">
        <v>2708</v>
      </c>
      <c r="N2671">
        <v>0</v>
      </c>
      <c r="O2671">
        <v>0</v>
      </c>
      <c r="P2671">
        <v>1</v>
      </c>
      <c r="Q2671">
        <v>0</v>
      </c>
    </row>
    <row r="2672" spans="1:17" x14ac:dyDescent="0.2">
      <c r="A2672" s="1" t="str">
        <f>HYPERLINK("http://www.twitter.com/Ugo_Roux/status/532530490746494976", "532530490746494976")</f>
        <v>532530490746494976</v>
      </c>
      <c r="B2672" t="s">
        <v>97</v>
      </c>
      <c r="C2672" s="3">
        <v>41955.575659722221</v>
      </c>
      <c r="D2672" s="5" t="s">
        <v>41</v>
      </c>
      <c r="E2672">
        <v>0</v>
      </c>
      <c r="F2672">
        <v>0</v>
      </c>
      <c r="G2672">
        <v>0</v>
      </c>
      <c r="I2672" t="s">
        <v>2709</v>
      </c>
      <c r="N2672">
        <v>0</v>
      </c>
      <c r="O2672">
        <v>0</v>
      </c>
      <c r="P2672">
        <v>1</v>
      </c>
      <c r="Q2672">
        <v>0</v>
      </c>
    </row>
    <row r="2673" spans="1:17" x14ac:dyDescent="0.2">
      <c r="A2673" s="1" t="str">
        <f>HYPERLINK("http://www.twitter.com/Ugo_Roux/status/529984839001575424", "529984839001575424")</f>
        <v>529984839001575424</v>
      </c>
      <c r="B2673" t="s">
        <v>47</v>
      </c>
      <c r="C2673" s="3">
        <v>41948.550995370373</v>
      </c>
      <c r="D2673" s="5" t="s">
        <v>17</v>
      </c>
      <c r="E2673">
        <v>0</v>
      </c>
      <c r="F2673">
        <v>0</v>
      </c>
      <c r="G2673">
        <v>0</v>
      </c>
      <c r="I2673" t="s">
        <v>2710</v>
      </c>
      <c r="N2673">
        <v>0</v>
      </c>
      <c r="O2673">
        <v>0</v>
      </c>
      <c r="P2673">
        <v>1</v>
      </c>
      <c r="Q2673">
        <v>0</v>
      </c>
    </row>
    <row r="2674" spans="1:17" x14ac:dyDescent="0.2">
      <c r="A2674" s="1" t="str">
        <f>HYPERLINK("http://www.twitter.com/Ugo_Roux/status/529977642150559744", "529977642150559744")</f>
        <v>529977642150559744</v>
      </c>
      <c r="B2674" t="s">
        <v>16</v>
      </c>
      <c r="C2674" s="3">
        <v>41948.531145833331</v>
      </c>
      <c r="D2674" s="3" t="s">
        <v>17</v>
      </c>
      <c r="E2674">
        <v>1</v>
      </c>
      <c r="F2674">
        <v>1</v>
      </c>
      <c r="G2674">
        <v>0</v>
      </c>
      <c r="I2674" t="s">
        <v>2711</v>
      </c>
      <c r="N2674">
        <v>0.2263</v>
      </c>
      <c r="O2674">
        <v>0</v>
      </c>
      <c r="P2674">
        <v>0.91300000000000003</v>
      </c>
      <c r="Q2674">
        <v>8.6999999999999994E-2</v>
      </c>
    </row>
    <row r="2675" spans="1:17" x14ac:dyDescent="0.2">
      <c r="A2675" s="1" t="str">
        <f>HYPERLINK("http://www.twitter.com/Ugo_Roux/status/528143634944622593", "528143634944622593")</f>
        <v>528143634944622593</v>
      </c>
      <c r="B2675" t="s">
        <v>97</v>
      </c>
      <c r="C2675" s="3">
        <v>41943.470243055563</v>
      </c>
      <c r="D2675" s="5" t="s">
        <v>28</v>
      </c>
      <c r="E2675">
        <v>0</v>
      </c>
      <c r="F2675">
        <v>0</v>
      </c>
      <c r="G2675">
        <v>0</v>
      </c>
      <c r="I2675" t="s">
        <v>2712</v>
      </c>
      <c r="N2675">
        <v>0</v>
      </c>
      <c r="O2675">
        <v>0</v>
      </c>
      <c r="P2675">
        <v>1</v>
      </c>
      <c r="Q2675">
        <v>0</v>
      </c>
    </row>
    <row r="2676" spans="1:17" x14ac:dyDescent="0.2">
      <c r="A2676" s="1" t="str">
        <f>HYPERLINK("http://www.twitter.com/Ugo_Roux/status/527930998562885632", "527930998562885632")</f>
        <v>527930998562885632</v>
      </c>
      <c r="B2676" t="s">
        <v>130</v>
      </c>
      <c r="C2676" s="3">
        <v>41942.883483796293</v>
      </c>
      <c r="D2676" s="5" t="s">
        <v>41</v>
      </c>
      <c r="E2676">
        <v>0</v>
      </c>
      <c r="F2676">
        <v>0</v>
      </c>
      <c r="G2676">
        <v>0</v>
      </c>
      <c r="I2676" t="s">
        <v>2713</v>
      </c>
      <c r="N2676">
        <v>0</v>
      </c>
      <c r="O2676">
        <v>0</v>
      </c>
      <c r="P2676">
        <v>1</v>
      </c>
      <c r="Q2676">
        <v>0</v>
      </c>
    </row>
    <row r="2677" spans="1:17" x14ac:dyDescent="0.2">
      <c r="A2677" s="1" t="str">
        <f>HYPERLINK("http://www.twitter.com/Ugo_Roux/status/527930996704833537", "527930996704833537")</f>
        <v>527930996704833537</v>
      </c>
      <c r="B2677" t="s">
        <v>130</v>
      </c>
      <c r="C2677" s="3">
        <v>41942.883472222216</v>
      </c>
      <c r="D2677" s="5" t="s">
        <v>41</v>
      </c>
      <c r="E2677">
        <v>0</v>
      </c>
      <c r="F2677">
        <v>0</v>
      </c>
      <c r="G2677">
        <v>0</v>
      </c>
      <c r="I2677" t="s">
        <v>2714</v>
      </c>
      <c r="N2677">
        <v>0</v>
      </c>
      <c r="O2677">
        <v>0</v>
      </c>
      <c r="P2677">
        <v>1</v>
      </c>
      <c r="Q2677">
        <v>0</v>
      </c>
    </row>
    <row r="2678" spans="1:17" x14ac:dyDescent="0.2">
      <c r="A2678" s="1" t="str">
        <f>HYPERLINK("http://www.twitter.com/Ugo_Roux/status/527130006238277633", "527130006238277633")</f>
        <v>527130006238277633</v>
      </c>
      <c r="B2678" t="s">
        <v>16</v>
      </c>
      <c r="C2678" s="3">
        <v>41940.673159722217</v>
      </c>
      <c r="D2678" s="3" t="s">
        <v>17</v>
      </c>
      <c r="E2678">
        <v>0</v>
      </c>
      <c r="F2678">
        <v>0</v>
      </c>
      <c r="G2678">
        <v>0</v>
      </c>
      <c r="I2678" t="s">
        <v>2715</v>
      </c>
      <c r="N2678">
        <v>0</v>
      </c>
      <c r="O2678">
        <v>0</v>
      </c>
      <c r="P2678">
        <v>1</v>
      </c>
      <c r="Q2678">
        <v>0</v>
      </c>
    </row>
    <row r="2679" spans="1:17" x14ac:dyDescent="0.2">
      <c r="A2679" s="1" t="str">
        <f>HYPERLINK("http://www.twitter.com/Ugo_Roux/status/525961210169397249", "525961210169397249")</f>
        <v>525961210169397249</v>
      </c>
      <c r="B2679" t="s">
        <v>47</v>
      </c>
      <c r="C2679" s="3">
        <v>41937.447905092587</v>
      </c>
      <c r="D2679" s="5" t="s">
        <v>17</v>
      </c>
      <c r="E2679">
        <v>1</v>
      </c>
      <c r="F2679">
        <v>4</v>
      </c>
      <c r="G2679">
        <v>0</v>
      </c>
      <c r="I2679" t="s">
        <v>2716</v>
      </c>
      <c r="N2679">
        <v>0</v>
      </c>
      <c r="O2679">
        <v>0</v>
      </c>
      <c r="P2679">
        <v>1</v>
      </c>
      <c r="Q2679">
        <v>0</v>
      </c>
    </row>
    <row r="2680" spans="1:17" x14ac:dyDescent="0.2">
      <c r="A2680" s="1" t="str">
        <f>HYPERLINK("http://www.twitter.com/Ugo_Roux/status/524919298104786946", "524919298104786946")</f>
        <v>524919298104786946</v>
      </c>
      <c r="B2680" t="s">
        <v>47</v>
      </c>
      <c r="C2680" s="3">
        <v>41934.572766203702</v>
      </c>
      <c r="D2680" s="5" t="s">
        <v>17</v>
      </c>
      <c r="E2680">
        <v>0</v>
      </c>
      <c r="F2680">
        <v>2</v>
      </c>
      <c r="G2680">
        <v>0</v>
      </c>
      <c r="I2680" t="s">
        <v>2717</v>
      </c>
      <c r="N2680">
        <v>0</v>
      </c>
      <c r="O2680">
        <v>0</v>
      </c>
      <c r="P2680">
        <v>1</v>
      </c>
      <c r="Q2680">
        <v>0</v>
      </c>
    </row>
    <row r="2681" spans="1:17" x14ac:dyDescent="0.2">
      <c r="A2681" s="1" t="str">
        <f>HYPERLINK("http://www.twitter.com/Ugo_Roux/status/524832140220170240", "524832140220170240")</f>
        <v>524832140220170240</v>
      </c>
      <c r="B2681" t="s">
        <v>47</v>
      </c>
      <c r="C2681" s="3">
        <v>41934.332256944443</v>
      </c>
      <c r="D2681" s="5" t="s">
        <v>17</v>
      </c>
      <c r="E2681">
        <v>0</v>
      </c>
      <c r="F2681">
        <v>0</v>
      </c>
      <c r="G2681">
        <v>0</v>
      </c>
      <c r="I2681" t="s">
        <v>2718</v>
      </c>
      <c r="N2681">
        <v>0</v>
      </c>
      <c r="O2681">
        <v>0</v>
      </c>
      <c r="P2681">
        <v>1</v>
      </c>
      <c r="Q2681">
        <v>0</v>
      </c>
    </row>
    <row r="2682" spans="1:17" x14ac:dyDescent="0.2">
      <c r="A2682" s="1" t="str">
        <f>HYPERLINK("http://www.twitter.com/Ugo_Roux/status/524826988415320065", "524826988415320065")</f>
        <v>524826988415320065</v>
      </c>
      <c r="B2682" t="s">
        <v>130</v>
      </c>
      <c r="C2682" s="3">
        <v>41934.318043981482</v>
      </c>
      <c r="D2682" s="5" t="s">
        <v>28</v>
      </c>
      <c r="E2682">
        <v>0</v>
      </c>
      <c r="F2682">
        <v>0</v>
      </c>
      <c r="G2682">
        <v>0</v>
      </c>
      <c r="I2682" t="s">
        <v>2719</v>
      </c>
      <c r="N2682">
        <v>0</v>
      </c>
      <c r="O2682">
        <v>0</v>
      </c>
      <c r="P2682">
        <v>1</v>
      </c>
      <c r="Q2682">
        <v>0</v>
      </c>
    </row>
    <row r="2683" spans="1:17" x14ac:dyDescent="0.2">
      <c r="A2683" s="1" t="str">
        <f>HYPERLINK("http://www.twitter.com/Ugo_Roux/status/524473989159071745", "524473989159071745")</f>
        <v>524473989159071745</v>
      </c>
      <c r="B2683" t="s">
        <v>47</v>
      </c>
      <c r="C2683" s="3">
        <v>41933.343946759262</v>
      </c>
      <c r="D2683" s="5" t="s">
        <v>17</v>
      </c>
      <c r="E2683">
        <v>2</v>
      </c>
      <c r="F2683">
        <v>4</v>
      </c>
      <c r="G2683">
        <v>0</v>
      </c>
      <c r="I2683" t="s">
        <v>2720</v>
      </c>
      <c r="N2683">
        <v>-0.36120000000000002</v>
      </c>
      <c r="O2683">
        <v>0.161</v>
      </c>
      <c r="P2683">
        <v>0.83899999999999997</v>
      </c>
      <c r="Q2683">
        <v>0</v>
      </c>
    </row>
    <row r="2684" spans="1:17" x14ac:dyDescent="0.2">
      <c r="A2684" s="1" t="str">
        <f>HYPERLINK("http://www.twitter.com/Ugo_Roux/status/523494514997329921", "523494514997329921")</f>
        <v>523494514997329921</v>
      </c>
      <c r="B2684" t="s">
        <v>47</v>
      </c>
      <c r="C2684" s="3">
        <v>41930.641122685192</v>
      </c>
      <c r="D2684" s="5" t="s">
        <v>17</v>
      </c>
      <c r="E2684">
        <v>0</v>
      </c>
      <c r="F2684">
        <v>0</v>
      </c>
      <c r="G2684">
        <v>0</v>
      </c>
      <c r="I2684" t="s">
        <v>2721</v>
      </c>
      <c r="N2684">
        <v>0</v>
      </c>
      <c r="O2684">
        <v>0</v>
      </c>
      <c r="P2684">
        <v>1</v>
      </c>
      <c r="Q2684">
        <v>0</v>
      </c>
    </row>
    <row r="2685" spans="1:17" x14ac:dyDescent="0.2">
      <c r="A2685" s="1" t="str">
        <f>HYPERLINK("http://www.twitter.com/Ugo_Roux/status/522747335798185984", "522747335798185984")</f>
        <v>522747335798185984</v>
      </c>
      <c r="B2685" t="s">
        <v>47</v>
      </c>
      <c r="C2685" s="3">
        <v>41928.579293981478</v>
      </c>
      <c r="D2685" s="5" t="s">
        <v>17</v>
      </c>
      <c r="E2685">
        <v>2</v>
      </c>
      <c r="F2685">
        <v>4</v>
      </c>
      <c r="G2685">
        <v>1</v>
      </c>
      <c r="I2685" t="s">
        <v>2722</v>
      </c>
      <c r="N2685">
        <v>0</v>
      </c>
      <c r="O2685">
        <v>0</v>
      </c>
      <c r="P2685">
        <v>1</v>
      </c>
      <c r="Q2685">
        <v>0</v>
      </c>
    </row>
    <row r="2686" spans="1:17" x14ac:dyDescent="0.2">
      <c r="A2686" s="1" t="str">
        <f>HYPERLINK("http://www.twitter.com/Ugo_Roux/status/522740668293451776", "522740668293451776")</f>
        <v>522740668293451776</v>
      </c>
      <c r="B2686" t="s">
        <v>47</v>
      </c>
      <c r="C2686" s="3">
        <v>41928.560902777783</v>
      </c>
      <c r="D2686" s="5" t="s">
        <v>41</v>
      </c>
      <c r="E2686">
        <v>0</v>
      </c>
      <c r="F2686">
        <v>2</v>
      </c>
      <c r="G2686">
        <v>0</v>
      </c>
      <c r="I2686" t="s">
        <v>2723</v>
      </c>
      <c r="J2686" t="str">
        <f>HYPERLINK("http://pbs.twimg.com/media/B0El3dfCcAAib49.jpg", "http://pbs.twimg.com/media/B0El3dfCcAAib49.jpg")</f>
        <v>http://pbs.twimg.com/media/B0El3dfCcAAib49.jpg</v>
      </c>
      <c r="N2686">
        <v>0</v>
      </c>
      <c r="O2686">
        <v>0</v>
      </c>
      <c r="P2686">
        <v>1</v>
      </c>
      <c r="Q2686">
        <v>0</v>
      </c>
    </row>
    <row r="2687" spans="1:17" x14ac:dyDescent="0.2">
      <c r="A2687" s="1" t="str">
        <f>HYPERLINK("http://www.twitter.com/Ugo_Roux/status/520590798153609216", "520590798153609216")</f>
        <v>520590798153609216</v>
      </c>
      <c r="B2687" t="s">
        <v>130</v>
      </c>
      <c r="C2687" s="3">
        <v>41922.628391203703</v>
      </c>
      <c r="D2687" s="5" t="s">
        <v>28</v>
      </c>
      <c r="E2687">
        <v>0</v>
      </c>
      <c r="F2687">
        <v>0</v>
      </c>
      <c r="G2687">
        <v>0</v>
      </c>
      <c r="I2687" t="s">
        <v>2724</v>
      </c>
      <c r="N2687">
        <v>0</v>
      </c>
      <c r="O2687">
        <v>0</v>
      </c>
      <c r="P2687">
        <v>1</v>
      </c>
      <c r="Q2687">
        <v>0</v>
      </c>
    </row>
    <row r="2688" spans="1:17" x14ac:dyDescent="0.2">
      <c r="A2688" s="1" t="str">
        <f>HYPERLINK("http://www.twitter.com/Ugo_Roux/status/520192015439380480", "520192015439380480")</f>
        <v>520192015439380480</v>
      </c>
      <c r="B2688" t="s">
        <v>47</v>
      </c>
      <c r="C2688" s="3">
        <v>41921.527951388889</v>
      </c>
      <c r="D2688" s="5" t="s">
        <v>460</v>
      </c>
      <c r="E2688">
        <v>0</v>
      </c>
      <c r="F2688">
        <v>0</v>
      </c>
      <c r="G2688">
        <v>0</v>
      </c>
      <c r="I2688" t="s">
        <v>2725</v>
      </c>
      <c r="N2688">
        <v>0</v>
      </c>
      <c r="O2688">
        <v>0</v>
      </c>
      <c r="P2688">
        <v>1</v>
      </c>
      <c r="Q2688">
        <v>0</v>
      </c>
    </row>
    <row r="2689" spans="1:17" x14ac:dyDescent="0.2">
      <c r="A2689" s="1" t="str">
        <f>HYPERLINK("http://www.twitter.com/Ugo_Roux/status/520156126563016704", "520156126563016704")</f>
        <v>520156126563016704</v>
      </c>
      <c r="B2689" t="s">
        <v>16</v>
      </c>
      <c r="C2689" s="3">
        <v>41921.428923611107</v>
      </c>
      <c r="D2689" s="3" t="s">
        <v>17</v>
      </c>
      <c r="E2689">
        <v>1</v>
      </c>
      <c r="F2689">
        <v>0</v>
      </c>
      <c r="G2689">
        <v>0</v>
      </c>
      <c r="I2689" t="s">
        <v>2726</v>
      </c>
      <c r="J2689" t="str">
        <f>HYPERLINK("http://pbs.twimg.com/media/Bzf3PTXIgAAvktv.jpg", "http://pbs.twimg.com/media/Bzf3PTXIgAAvktv.jpg")</f>
        <v>http://pbs.twimg.com/media/Bzf3PTXIgAAvktv.jpg</v>
      </c>
      <c r="N2689">
        <v>0</v>
      </c>
      <c r="O2689">
        <v>0</v>
      </c>
      <c r="P2689">
        <v>1</v>
      </c>
      <c r="Q2689">
        <v>0</v>
      </c>
    </row>
    <row r="2690" spans="1:17" x14ac:dyDescent="0.2">
      <c r="A2690" s="1" t="str">
        <f>HYPERLINK("http://www.twitter.com/Ugo_Roux/status/520146084702978048", "520146084702978048")</f>
        <v>520146084702978048</v>
      </c>
      <c r="B2690" t="s">
        <v>47</v>
      </c>
      <c r="C2690" s="3">
        <v>41921.40121527778</v>
      </c>
      <c r="D2690" s="5" t="s">
        <v>17</v>
      </c>
      <c r="E2690">
        <v>1</v>
      </c>
      <c r="F2690">
        <v>3</v>
      </c>
      <c r="G2690">
        <v>0</v>
      </c>
      <c r="I2690" t="s">
        <v>2727</v>
      </c>
      <c r="N2690">
        <v>0</v>
      </c>
      <c r="O2690">
        <v>0</v>
      </c>
      <c r="P2690">
        <v>1</v>
      </c>
      <c r="Q2690">
        <v>0</v>
      </c>
    </row>
    <row r="2691" spans="1:17" x14ac:dyDescent="0.2">
      <c r="A2691" s="1" t="str">
        <f>HYPERLINK("http://www.twitter.com/Ugo_Roux/status/519496774151839744", "519496774151839744")</f>
        <v>519496774151839744</v>
      </c>
      <c r="B2691" t="s">
        <v>16</v>
      </c>
      <c r="C2691" s="3">
        <v>41919.609456018523</v>
      </c>
      <c r="D2691" s="3" t="s">
        <v>17</v>
      </c>
      <c r="E2691">
        <v>0</v>
      </c>
      <c r="F2691">
        <v>0</v>
      </c>
      <c r="G2691">
        <v>0</v>
      </c>
      <c r="I2691" t="s">
        <v>2728</v>
      </c>
      <c r="J2691" t="str">
        <f>HYPERLINK("http://pbs.twimg.com/media/BzWfj-SIIAA6pgV.jpg", "http://pbs.twimg.com/media/BzWfj-SIIAA6pgV.jpg")</f>
        <v>http://pbs.twimg.com/media/BzWfj-SIIAA6pgV.jpg</v>
      </c>
      <c r="N2691">
        <v>0</v>
      </c>
      <c r="O2691">
        <v>0</v>
      </c>
      <c r="P2691">
        <v>1</v>
      </c>
      <c r="Q2691">
        <v>0</v>
      </c>
    </row>
    <row r="2692" spans="1:17" x14ac:dyDescent="0.2">
      <c r="A2692" s="1" t="str">
        <f>HYPERLINK("http://www.twitter.com/Ugo_Roux/status/518007078036582400", "518007078036582400")</f>
        <v>518007078036582400</v>
      </c>
      <c r="B2692" t="s">
        <v>97</v>
      </c>
      <c r="C2692" s="3">
        <v>41915.498680555553</v>
      </c>
      <c r="D2692" s="5" t="s">
        <v>17</v>
      </c>
      <c r="E2692">
        <v>0</v>
      </c>
      <c r="F2692">
        <v>1</v>
      </c>
      <c r="G2692">
        <v>0</v>
      </c>
      <c r="I2692" t="s">
        <v>2729</v>
      </c>
      <c r="N2692">
        <v>0</v>
      </c>
      <c r="O2692">
        <v>0</v>
      </c>
      <c r="P2692">
        <v>1</v>
      </c>
      <c r="Q2692">
        <v>0</v>
      </c>
    </row>
    <row r="2693" spans="1:17" x14ac:dyDescent="0.2">
      <c r="A2693" s="1" t="str">
        <f>HYPERLINK("http://www.twitter.com/Ugo_Roux/status/517947962828132352", "517947962828132352")</f>
        <v>517947962828132352</v>
      </c>
      <c r="B2693" t="s">
        <v>370</v>
      </c>
      <c r="C2693" s="3">
        <v>41915.335555555554</v>
      </c>
      <c r="D2693" s="5" t="s">
        <v>28</v>
      </c>
      <c r="E2693">
        <v>0</v>
      </c>
      <c r="F2693">
        <v>0</v>
      </c>
      <c r="G2693">
        <v>0</v>
      </c>
      <c r="I2693" t="s">
        <v>2730</v>
      </c>
      <c r="N2693">
        <v>0</v>
      </c>
      <c r="O2693">
        <v>0</v>
      </c>
      <c r="P2693">
        <v>1</v>
      </c>
      <c r="Q2693">
        <v>0</v>
      </c>
    </row>
    <row r="2694" spans="1:17" x14ac:dyDescent="0.2">
      <c r="A2694" s="1" t="str">
        <f>HYPERLINK("http://www.twitter.com/Ugo_Roux/status/517942314350542848", "517942314350542848")</f>
        <v>517942314350542848</v>
      </c>
      <c r="B2694" t="s">
        <v>370</v>
      </c>
      <c r="C2694" s="3">
        <v>41915.319965277777</v>
      </c>
      <c r="D2694" s="5" t="s">
        <v>28</v>
      </c>
      <c r="E2694">
        <v>0</v>
      </c>
      <c r="F2694">
        <v>0</v>
      </c>
      <c r="G2694">
        <v>0</v>
      </c>
      <c r="I2694" t="s">
        <v>2731</v>
      </c>
      <c r="N2694">
        <v>0</v>
      </c>
      <c r="O2694">
        <v>0</v>
      </c>
      <c r="P2694">
        <v>1</v>
      </c>
      <c r="Q2694">
        <v>0</v>
      </c>
    </row>
    <row r="2695" spans="1:17" x14ac:dyDescent="0.2">
      <c r="A2695" s="1" t="str">
        <f>HYPERLINK("http://www.twitter.com/Ugo_Roux/status/517939932380160001", "517939932380160001")</f>
        <v>517939932380160001</v>
      </c>
      <c r="B2695" t="s">
        <v>370</v>
      </c>
      <c r="C2695" s="3">
        <v>41915.313391203701</v>
      </c>
      <c r="D2695" s="5" t="s">
        <v>17</v>
      </c>
      <c r="E2695">
        <v>0</v>
      </c>
      <c r="F2695">
        <v>0</v>
      </c>
      <c r="G2695">
        <v>0</v>
      </c>
      <c r="I2695" t="s">
        <v>2732</v>
      </c>
      <c r="N2695">
        <v>0</v>
      </c>
      <c r="O2695">
        <v>0</v>
      </c>
      <c r="P2695">
        <v>1</v>
      </c>
      <c r="Q2695">
        <v>0</v>
      </c>
    </row>
    <row r="2696" spans="1:17" x14ac:dyDescent="0.2">
      <c r="A2696" s="1" t="str">
        <f>HYPERLINK("http://www.twitter.com/Ugo_Roux/status/517938880981397504", "517938880981397504")</f>
        <v>517938880981397504</v>
      </c>
      <c r="B2696" t="s">
        <v>370</v>
      </c>
      <c r="C2696" s="3">
        <v>41915.310486111113</v>
      </c>
      <c r="D2696" s="5" t="s">
        <v>28</v>
      </c>
      <c r="E2696">
        <v>0</v>
      </c>
      <c r="F2696">
        <v>0</v>
      </c>
      <c r="G2696">
        <v>0</v>
      </c>
      <c r="I2696" t="s">
        <v>2733</v>
      </c>
      <c r="N2696">
        <v>0</v>
      </c>
      <c r="O2696">
        <v>0</v>
      </c>
      <c r="P2696">
        <v>1</v>
      </c>
      <c r="Q2696">
        <v>0</v>
      </c>
    </row>
    <row r="2697" spans="1:17" x14ac:dyDescent="0.2">
      <c r="A2697" s="1" t="str">
        <f>HYPERLINK("http://www.twitter.com/Ugo_Roux/status/517594278236024832", "517594278236024832")</f>
        <v>517594278236024832</v>
      </c>
      <c r="B2697" t="s">
        <v>47</v>
      </c>
      <c r="C2697" s="3">
        <v>41914.359571759262</v>
      </c>
      <c r="D2697" s="5" t="s">
        <v>17</v>
      </c>
      <c r="E2697">
        <v>0</v>
      </c>
      <c r="F2697">
        <v>0</v>
      </c>
      <c r="G2697">
        <v>0</v>
      </c>
      <c r="I2697" t="s">
        <v>2734</v>
      </c>
      <c r="N2697">
        <v>0</v>
      </c>
      <c r="O2697">
        <v>0</v>
      </c>
      <c r="P2697">
        <v>1</v>
      </c>
      <c r="Q2697">
        <v>0</v>
      </c>
    </row>
    <row r="2698" spans="1:17" x14ac:dyDescent="0.2">
      <c r="A2698" s="1" t="str">
        <f>HYPERLINK("http://www.twitter.com/Ugo_Roux/status/516142905765806080", "516142905765806080")</f>
        <v>516142905765806080</v>
      </c>
      <c r="B2698" t="s">
        <v>97</v>
      </c>
      <c r="C2698" s="3">
        <v>41910.354537037027</v>
      </c>
      <c r="D2698" s="5" t="s">
        <v>41</v>
      </c>
      <c r="E2698">
        <v>0</v>
      </c>
      <c r="F2698">
        <v>0</v>
      </c>
      <c r="G2698">
        <v>0</v>
      </c>
      <c r="I2698" t="s">
        <v>2735</v>
      </c>
      <c r="N2698">
        <v>0</v>
      </c>
      <c r="O2698">
        <v>0</v>
      </c>
      <c r="P2698">
        <v>1</v>
      </c>
      <c r="Q2698">
        <v>0</v>
      </c>
    </row>
    <row r="2699" spans="1:17" x14ac:dyDescent="0.2">
      <c r="A2699" s="1" t="str">
        <f>HYPERLINK("http://www.twitter.com/Ugo_Roux/status/515842566047010816", "515842566047010816")</f>
        <v>515842566047010816</v>
      </c>
      <c r="B2699" t="s">
        <v>97</v>
      </c>
      <c r="C2699" s="3">
        <v>41909.525763888887</v>
      </c>
      <c r="D2699" s="5" t="s">
        <v>17</v>
      </c>
      <c r="E2699">
        <v>0</v>
      </c>
      <c r="F2699">
        <v>0</v>
      </c>
      <c r="G2699">
        <v>0</v>
      </c>
      <c r="I2699" t="s">
        <v>2736</v>
      </c>
      <c r="N2699">
        <v>0</v>
      </c>
      <c r="O2699">
        <v>0</v>
      </c>
      <c r="P2699">
        <v>1</v>
      </c>
      <c r="Q2699">
        <v>0</v>
      </c>
    </row>
    <row r="2700" spans="1:17" x14ac:dyDescent="0.2">
      <c r="A2700" s="1" t="str">
        <f>HYPERLINK("http://www.twitter.com/Ugo_Roux/status/515825393405022208", "515825393405022208")</f>
        <v>515825393405022208</v>
      </c>
      <c r="B2700" t="s">
        <v>47</v>
      </c>
      <c r="C2700" s="3">
        <v>41909.478379629632</v>
      </c>
      <c r="D2700" s="5" t="s">
        <v>28</v>
      </c>
      <c r="E2700">
        <v>0</v>
      </c>
      <c r="F2700">
        <v>0</v>
      </c>
      <c r="G2700">
        <v>0</v>
      </c>
      <c r="I2700" t="s">
        <v>2737</v>
      </c>
      <c r="N2700">
        <v>0</v>
      </c>
      <c r="O2700">
        <v>0</v>
      </c>
      <c r="P2700">
        <v>1</v>
      </c>
      <c r="Q2700">
        <v>0</v>
      </c>
    </row>
    <row r="2701" spans="1:17" x14ac:dyDescent="0.2">
      <c r="A2701" s="1" t="str">
        <f>HYPERLINK("http://www.twitter.com/Ugo_Roux/status/515819154897911808", "515819154897911808")</f>
        <v>515819154897911808</v>
      </c>
      <c r="B2701" t="s">
        <v>16</v>
      </c>
      <c r="C2701" s="3">
        <v>41909.461157407408</v>
      </c>
      <c r="D2701" s="3" t="s">
        <v>17</v>
      </c>
      <c r="E2701">
        <v>0</v>
      </c>
      <c r="F2701">
        <v>1</v>
      </c>
      <c r="G2701">
        <v>0</v>
      </c>
      <c r="I2701" t="s">
        <v>2738</v>
      </c>
      <c r="N2701">
        <v>0</v>
      </c>
      <c r="O2701">
        <v>0</v>
      </c>
      <c r="P2701">
        <v>1</v>
      </c>
      <c r="Q2701">
        <v>0</v>
      </c>
    </row>
    <row r="2702" spans="1:17" x14ac:dyDescent="0.2">
      <c r="A2702" s="1" t="str">
        <f>HYPERLINK("http://www.twitter.com/Ugo_Roux/status/513609225797644288", "513609225797644288")</f>
        <v>513609225797644288</v>
      </c>
      <c r="B2702" t="s">
        <v>16</v>
      </c>
      <c r="C2702" s="3">
        <v>41903.362916666672</v>
      </c>
      <c r="D2702" s="3" t="s">
        <v>28</v>
      </c>
      <c r="E2702">
        <v>0</v>
      </c>
      <c r="F2702">
        <v>0</v>
      </c>
      <c r="G2702">
        <v>0</v>
      </c>
      <c r="I2702" t="s">
        <v>2739</v>
      </c>
      <c r="N2702">
        <v>0</v>
      </c>
      <c r="O2702">
        <v>0</v>
      </c>
      <c r="P2702">
        <v>1</v>
      </c>
      <c r="Q2702">
        <v>0</v>
      </c>
    </row>
    <row r="2703" spans="1:17" x14ac:dyDescent="0.2">
      <c r="A2703" s="1" t="str">
        <f>HYPERLINK("http://www.twitter.com/Ugo_Roux/status/513338190921760768", "513338190921760768")</f>
        <v>513338190921760768</v>
      </c>
      <c r="B2703" t="s">
        <v>130</v>
      </c>
      <c r="C2703" s="3">
        <v>41902.614999999998</v>
      </c>
      <c r="D2703" s="5" t="s">
        <v>17</v>
      </c>
      <c r="E2703">
        <v>0</v>
      </c>
      <c r="F2703">
        <v>0</v>
      </c>
      <c r="G2703">
        <v>0</v>
      </c>
      <c r="I2703" t="s">
        <v>2740</v>
      </c>
      <c r="N2703">
        <v>0</v>
      </c>
      <c r="O2703">
        <v>0</v>
      </c>
      <c r="P2703">
        <v>1</v>
      </c>
      <c r="Q2703">
        <v>0</v>
      </c>
    </row>
    <row r="2704" spans="1:17" x14ac:dyDescent="0.2">
      <c r="A2704" s="1" t="str">
        <f>HYPERLINK("http://www.twitter.com/Ugo_Roux/status/513302009353486336", "513302009353486336")</f>
        <v>513302009353486336</v>
      </c>
      <c r="B2704" t="s">
        <v>97</v>
      </c>
      <c r="C2704" s="3">
        <v>41902.515162037038</v>
      </c>
      <c r="D2704" s="5" t="s">
        <v>28</v>
      </c>
      <c r="E2704">
        <v>0</v>
      </c>
      <c r="F2704">
        <v>0</v>
      </c>
      <c r="G2704">
        <v>0</v>
      </c>
      <c r="I2704" t="s">
        <v>2741</v>
      </c>
      <c r="N2704">
        <v>0</v>
      </c>
      <c r="O2704">
        <v>0</v>
      </c>
      <c r="P2704">
        <v>1</v>
      </c>
      <c r="Q2704">
        <v>0</v>
      </c>
    </row>
    <row r="2705" spans="1:17" x14ac:dyDescent="0.2">
      <c r="A2705" s="1" t="str">
        <f>HYPERLINK("http://www.twitter.com/Ugo_Roux/status/513012204795625473", "513012204795625473")</f>
        <v>513012204795625473</v>
      </c>
      <c r="B2705" t="s">
        <v>130</v>
      </c>
      <c r="C2705" s="3">
        <v>41901.715451388889</v>
      </c>
      <c r="D2705" s="5" t="s">
        <v>28</v>
      </c>
      <c r="E2705">
        <v>0</v>
      </c>
      <c r="F2705">
        <v>0</v>
      </c>
      <c r="G2705">
        <v>0</v>
      </c>
      <c r="I2705" t="s">
        <v>2742</v>
      </c>
      <c r="N2705">
        <v>0</v>
      </c>
      <c r="O2705">
        <v>0</v>
      </c>
      <c r="P2705">
        <v>1</v>
      </c>
      <c r="Q2705">
        <v>0</v>
      </c>
    </row>
    <row r="2706" spans="1:17" x14ac:dyDescent="0.2">
      <c r="A2706" s="1" t="str">
        <f>HYPERLINK("http://www.twitter.com/Ugo_Roux/status/512937350687887360", "512937350687887360")</f>
        <v>512937350687887360</v>
      </c>
      <c r="B2706" t="s">
        <v>130</v>
      </c>
      <c r="C2706" s="3">
        <v>41901.508888888893</v>
      </c>
      <c r="D2706" s="5" t="s">
        <v>28</v>
      </c>
      <c r="E2706">
        <v>0</v>
      </c>
      <c r="F2706">
        <v>0</v>
      </c>
      <c r="G2706">
        <v>0</v>
      </c>
      <c r="I2706" t="s">
        <v>2743</v>
      </c>
      <c r="N2706">
        <v>0</v>
      </c>
      <c r="O2706">
        <v>0</v>
      </c>
      <c r="P2706">
        <v>1</v>
      </c>
      <c r="Q2706">
        <v>0</v>
      </c>
    </row>
    <row r="2707" spans="1:17" x14ac:dyDescent="0.2">
      <c r="A2707" s="1" t="str">
        <f>HYPERLINK("http://www.twitter.com/Ugo_Roux/status/511761947700625408", "511761947700625408")</f>
        <v>511761947700625408</v>
      </c>
      <c r="B2707" t="s">
        <v>97</v>
      </c>
      <c r="C2707" s="3">
        <v>41898.265405092592</v>
      </c>
      <c r="D2707" s="5" t="s">
        <v>28</v>
      </c>
      <c r="E2707">
        <v>0</v>
      </c>
      <c r="F2707">
        <v>0</v>
      </c>
      <c r="G2707">
        <v>0</v>
      </c>
      <c r="I2707" t="s">
        <v>2744</v>
      </c>
      <c r="N2707">
        <v>0</v>
      </c>
      <c r="O2707">
        <v>0</v>
      </c>
      <c r="P2707">
        <v>1</v>
      </c>
      <c r="Q2707">
        <v>0</v>
      </c>
    </row>
    <row r="2708" spans="1:17" x14ac:dyDescent="0.2">
      <c r="A2708" s="1" t="str">
        <f>HYPERLINK("http://www.twitter.com/Ugo_Roux/status/510764629736189954", "510764629736189954")</f>
        <v>510764629736189954</v>
      </c>
      <c r="B2708" t="s">
        <v>16</v>
      </c>
      <c r="C2708" s="3">
        <v>41895.513321759259</v>
      </c>
      <c r="D2708" s="3" t="s">
        <v>17</v>
      </c>
      <c r="E2708">
        <v>1</v>
      </c>
      <c r="F2708">
        <v>2</v>
      </c>
      <c r="G2708">
        <v>0</v>
      </c>
      <c r="I2708" t="s">
        <v>2745</v>
      </c>
      <c r="N2708">
        <v>0</v>
      </c>
      <c r="O2708">
        <v>0</v>
      </c>
      <c r="P2708">
        <v>1</v>
      </c>
      <c r="Q2708">
        <v>0</v>
      </c>
    </row>
    <row r="2709" spans="1:17" x14ac:dyDescent="0.2">
      <c r="A2709" s="1" t="str">
        <f>HYPERLINK("http://www.twitter.com/Ugo_Roux/status/510441780228018176", "510441780228018176")</f>
        <v>510441780228018176</v>
      </c>
      <c r="B2709" t="s">
        <v>16</v>
      </c>
      <c r="C2709" s="3">
        <v>41894.622430555559</v>
      </c>
      <c r="D2709" s="3" t="s">
        <v>17</v>
      </c>
      <c r="E2709">
        <v>0</v>
      </c>
      <c r="F2709">
        <v>0</v>
      </c>
      <c r="G2709">
        <v>0</v>
      </c>
      <c r="I2709" t="s">
        <v>2746</v>
      </c>
      <c r="N2709">
        <v>0</v>
      </c>
      <c r="O2709">
        <v>0</v>
      </c>
      <c r="P2709">
        <v>1</v>
      </c>
      <c r="Q2709">
        <v>0</v>
      </c>
    </row>
    <row r="2710" spans="1:17" x14ac:dyDescent="0.2">
      <c r="A2710" s="1" t="str">
        <f>HYPERLINK("http://www.twitter.com/Ugo_Roux/status/510326874086445056", "510326874086445056")</f>
        <v>510326874086445056</v>
      </c>
      <c r="B2710" t="s">
        <v>370</v>
      </c>
      <c r="C2710" s="3">
        <v>41894.305347222216</v>
      </c>
      <c r="D2710" s="5" t="s">
        <v>28</v>
      </c>
      <c r="E2710">
        <v>0</v>
      </c>
      <c r="F2710">
        <v>0</v>
      </c>
      <c r="G2710">
        <v>0</v>
      </c>
      <c r="I2710" t="s">
        <v>2747</v>
      </c>
      <c r="N2710">
        <v>0</v>
      </c>
      <c r="O2710">
        <v>0</v>
      </c>
      <c r="P2710">
        <v>1</v>
      </c>
      <c r="Q2710">
        <v>0</v>
      </c>
    </row>
    <row r="2711" spans="1:17" x14ac:dyDescent="0.2">
      <c r="A2711" s="1" t="str">
        <f>HYPERLINK("http://www.twitter.com/Ugo_Roux/status/509274031833751552", "509274031833751552")</f>
        <v>509274031833751552</v>
      </c>
      <c r="B2711" t="s">
        <v>16</v>
      </c>
      <c r="C2711" s="3">
        <v>41891.400057870371</v>
      </c>
      <c r="D2711" s="3" t="s">
        <v>17</v>
      </c>
      <c r="E2711">
        <v>0</v>
      </c>
      <c r="F2711">
        <v>0</v>
      </c>
      <c r="G2711">
        <v>0</v>
      </c>
      <c r="I2711" t="s">
        <v>2748</v>
      </c>
      <c r="N2711">
        <v>0</v>
      </c>
      <c r="O2711">
        <v>0</v>
      </c>
      <c r="P2711">
        <v>1</v>
      </c>
      <c r="Q2711">
        <v>0</v>
      </c>
    </row>
    <row r="2712" spans="1:17" x14ac:dyDescent="0.2">
      <c r="A2712" s="1" t="str">
        <f>HYPERLINK("http://www.twitter.com/Ugo_Roux/status/507895848341360640", "507895848341360640")</f>
        <v>507895848341360640</v>
      </c>
      <c r="B2712" t="s">
        <v>16</v>
      </c>
      <c r="C2712" s="3">
        <v>41887.597002314818</v>
      </c>
      <c r="D2712" s="3" t="s">
        <v>17</v>
      </c>
      <c r="E2712">
        <v>0</v>
      </c>
      <c r="F2712">
        <v>0</v>
      </c>
      <c r="G2712">
        <v>0</v>
      </c>
      <c r="I2712" t="s">
        <v>2749</v>
      </c>
      <c r="N2712">
        <v>0</v>
      </c>
      <c r="O2712">
        <v>0</v>
      </c>
      <c r="P2712">
        <v>1</v>
      </c>
      <c r="Q2712">
        <v>0</v>
      </c>
    </row>
    <row r="2713" spans="1:17" x14ac:dyDescent="0.2">
      <c r="A2713" s="1" t="str">
        <f>HYPERLINK("http://www.twitter.com/Ugo_Roux/status/506739389599215616", "506739389599215616")</f>
        <v>506739389599215616</v>
      </c>
      <c r="B2713" t="s">
        <v>97</v>
      </c>
      <c r="C2713" s="3">
        <v>41884.405775462961</v>
      </c>
      <c r="D2713" s="5" t="s">
        <v>17</v>
      </c>
      <c r="E2713">
        <v>0</v>
      </c>
      <c r="F2713">
        <v>0</v>
      </c>
      <c r="G2713">
        <v>0</v>
      </c>
      <c r="I2713" t="s">
        <v>2750</v>
      </c>
      <c r="N2713">
        <v>0</v>
      </c>
      <c r="O2713">
        <v>0</v>
      </c>
      <c r="P2713">
        <v>1</v>
      </c>
      <c r="Q2713">
        <v>0</v>
      </c>
    </row>
    <row r="2714" spans="1:17" x14ac:dyDescent="0.2">
      <c r="A2714" s="1" t="str">
        <f>HYPERLINK("http://www.twitter.com/Ugo_Roux/status/504219292800663552", "504219292800663552")</f>
        <v>504219292800663552</v>
      </c>
      <c r="B2714" t="s">
        <v>130</v>
      </c>
      <c r="C2714" s="3">
        <v>41877.451643518521</v>
      </c>
      <c r="D2714" s="5" t="s">
        <v>28</v>
      </c>
      <c r="E2714">
        <v>0</v>
      </c>
      <c r="F2714">
        <v>0</v>
      </c>
      <c r="G2714">
        <v>0</v>
      </c>
      <c r="I2714" t="s">
        <v>2751</v>
      </c>
      <c r="N2714">
        <v>0</v>
      </c>
      <c r="O2714">
        <v>0</v>
      </c>
      <c r="P2714">
        <v>1</v>
      </c>
      <c r="Q2714">
        <v>0</v>
      </c>
    </row>
    <row r="2715" spans="1:17" x14ac:dyDescent="0.2">
      <c r="A2715" s="1" t="str">
        <f>HYPERLINK("http://www.twitter.com/Ugo_Roux/status/503432483866562561", "503432483866562561")</f>
        <v>503432483866562561</v>
      </c>
      <c r="B2715" t="s">
        <v>97</v>
      </c>
      <c r="C2715" s="3">
        <v>41875.280462962961</v>
      </c>
      <c r="D2715" s="5" t="s">
        <v>41</v>
      </c>
      <c r="E2715">
        <v>0</v>
      </c>
      <c r="F2715">
        <v>0</v>
      </c>
      <c r="G2715">
        <v>0</v>
      </c>
      <c r="I2715" t="s">
        <v>2752</v>
      </c>
      <c r="N2715">
        <v>0</v>
      </c>
      <c r="O2715">
        <v>0</v>
      </c>
      <c r="P2715">
        <v>1</v>
      </c>
      <c r="Q2715">
        <v>0</v>
      </c>
    </row>
    <row r="2716" spans="1:17" x14ac:dyDescent="0.2">
      <c r="A2716" s="1" t="str">
        <f>HYPERLINK("http://www.twitter.com/Ugo_Roux/status/502712233919406080", "502712233919406080")</f>
        <v>502712233919406080</v>
      </c>
      <c r="B2716" t="s">
        <v>97</v>
      </c>
      <c r="C2716" s="3">
        <v>41873.292951388888</v>
      </c>
      <c r="D2716" s="5" t="s">
        <v>41</v>
      </c>
      <c r="E2716">
        <v>0</v>
      </c>
      <c r="F2716">
        <v>0</v>
      </c>
      <c r="G2716">
        <v>0</v>
      </c>
      <c r="I2716" t="s">
        <v>2753</v>
      </c>
      <c r="N2716">
        <v>0</v>
      </c>
      <c r="O2716">
        <v>0</v>
      </c>
      <c r="P2716">
        <v>1</v>
      </c>
      <c r="Q2716">
        <v>0</v>
      </c>
    </row>
    <row r="2717" spans="1:17" x14ac:dyDescent="0.2">
      <c r="A2717" s="1" t="str">
        <f>HYPERLINK("http://www.twitter.com/Ugo_Roux/status/502113292190380032", "502113292190380032")</f>
        <v>502113292190380032</v>
      </c>
      <c r="B2717" t="s">
        <v>47</v>
      </c>
      <c r="C2717" s="3">
        <v>41871.640185185177</v>
      </c>
      <c r="D2717" s="5" t="s">
        <v>17</v>
      </c>
      <c r="E2717">
        <v>0</v>
      </c>
      <c r="F2717">
        <v>3</v>
      </c>
      <c r="G2717">
        <v>0</v>
      </c>
      <c r="I2717" t="s">
        <v>2754</v>
      </c>
      <c r="N2717">
        <v>0</v>
      </c>
      <c r="O2717">
        <v>0</v>
      </c>
      <c r="P2717">
        <v>1</v>
      </c>
      <c r="Q2717">
        <v>0</v>
      </c>
    </row>
    <row r="2718" spans="1:17" x14ac:dyDescent="0.2">
      <c r="A2718" s="1" t="str">
        <f>HYPERLINK("http://www.twitter.com/Ugo_Roux/status/501988288077369345", "501988288077369345")</f>
        <v>501988288077369345</v>
      </c>
      <c r="B2718" t="s">
        <v>97</v>
      </c>
      <c r="C2718" s="3">
        <v>41871.295243055552</v>
      </c>
      <c r="D2718" s="5" t="s">
        <v>41</v>
      </c>
      <c r="E2718">
        <v>0</v>
      </c>
      <c r="F2718">
        <v>0</v>
      </c>
      <c r="G2718">
        <v>0</v>
      </c>
      <c r="I2718" t="s">
        <v>2755</v>
      </c>
      <c r="N2718">
        <v>0</v>
      </c>
      <c r="O2718">
        <v>0</v>
      </c>
      <c r="P2718">
        <v>1</v>
      </c>
      <c r="Q2718">
        <v>0</v>
      </c>
    </row>
    <row r="2719" spans="1:17" x14ac:dyDescent="0.2">
      <c r="A2719" s="1" t="str">
        <f>HYPERLINK("http://www.twitter.com/Ugo_Roux/status/501625370001436672", "501625370001436672")</f>
        <v>501625370001436672</v>
      </c>
      <c r="B2719" t="s">
        <v>97</v>
      </c>
      <c r="C2719" s="3">
        <v>41870.293773148151</v>
      </c>
      <c r="D2719" s="5" t="s">
        <v>41</v>
      </c>
      <c r="E2719">
        <v>0</v>
      </c>
      <c r="F2719">
        <v>0</v>
      </c>
      <c r="G2719">
        <v>0</v>
      </c>
      <c r="I2719" t="s">
        <v>2756</v>
      </c>
      <c r="N2719">
        <v>0</v>
      </c>
      <c r="O2719">
        <v>0</v>
      </c>
      <c r="P2719">
        <v>1</v>
      </c>
      <c r="Q2719">
        <v>0</v>
      </c>
    </row>
    <row r="2720" spans="1:17" x14ac:dyDescent="0.2">
      <c r="A2720" s="1" t="str">
        <f>HYPERLINK("http://www.twitter.com/Ugo_Roux/status/501263170258731008", "501263170258731008")</f>
        <v>501263170258731008</v>
      </c>
      <c r="B2720" t="s">
        <v>97</v>
      </c>
      <c r="C2720" s="3">
        <v>41869.294293981482</v>
      </c>
      <c r="D2720" s="5" t="s">
        <v>41</v>
      </c>
      <c r="E2720">
        <v>0</v>
      </c>
      <c r="F2720">
        <v>0</v>
      </c>
      <c r="G2720">
        <v>0</v>
      </c>
      <c r="I2720" t="s">
        <v>2757</v>
      </c>
      <c r="N2720">
        <v>0</v>
      </c>
      <c r="O2720">
        <v>0</v>
      </c>
      <c r="P2720">
        <v>1</v>
      </c>
      <c r="Q2720">
        <v>0</v>
      </c>
    </row>
    <row r="2721" spans="1:17" x14ac:dyDescent="0.2">
      <c r="A2721" s="1" t="str">
        <f>HYPERLINK("http://www.twitter.com/Ugo_Roux/status/500554226984947712", "500554226984947712")</f>
        <v>500554226984947712</v>
      </c>
      <c r="B2721" t="s">
        <v>97</v>
      </c>
      <c r="C2721" s="3">
        <v>41867.33798611111</v>
      </c>
      <c r="D2721" s="5" t="s">
        <v>41</v>
      </c>
      <c r="E2721">
        <v>0</v>
      </c>
      <c r="F2721">
        <v>0</v>
      </c>
      <c r="G2721">
        <v>0</v>
      </c>
      <c r="I2721" t="s">
        <v>2758</v>
      </c>
      <c r="N2721">
        <v>0</v>
      </c>
      <c r="O2721">
        <v>0</v>
      </c>
      <c r="P2721">
        <v>1</v>
      </c>
      <c r="Q2721">
        <v>0</v>
      </c>
    </row>
    <row r="2722" spans="1:17" x14ac:dyDescent="0.2">
      <c r="A2722" s="1" t="str">
        <f>HYPERLINK("http://www.twitter.com/Ugo_Roux/status/500176545718099968", "500176545718099968")</f>
        <v>500176545718099968</v>
      </c>
      <c r="B2722" t="s">
        <v>97</v>
      </c>
      <c r="C2722" s="3">
        <v>41866.295775462961</v>
      </c>
      <c r="D2722" s="5" t="s">
        <v>41</v>
      </c>
      <c r="E2722">
        <v>0</v>
      </c>
      <c r="F2722">
        <v>0</v>
      </c>
      <c r="G2722">
        <v>0</v>
      </c>
      <c r="I2722" t="s">
        <v>2759</v>
      </c>
      <c r="N2722">
        <v>0</v>
      </c>
      <c r="O2722">
        <v>0</v>
      </c>
      <c r="P2722">
        <v>1</v>
      </c>
      <c r="Q2722">
        <v>0</v>
      </c>
    </row>
    <row r="2723" spans="1:17" x14ac:dyDescent="0.2">
      <c r="A2723" s="1" t="str">
        <f>HYPERLINK("http://www.twitter.com/Ugo_Roux/status/499451014383009792", "499451014383009792")</f>
        <v>499451014383009792</v>
      </c>
      <c r="B2723" t="s">
        <v>97</v>
      </c>
      <c r="C2723" s="3">
        <v>41864.293692129628</v>
      </c>
      <c r="D2723" s="5" t="s">
        <v>41</v>
      </c>
      <c r="E2723">
        <v>0</v>
      </c>
      <c r="F2723">
        <v>0</v>
      </c>
      <c r="G2723">
        <v>0</v>
      </c>
      <c r="I2723" t="s">
        <v>2760</v>
      </c>
      <c r="N2723">
        <v>0</v>
      </c>
      <c r="O2723">
        <v>0</v>
      </c>
      <c r="P2723">
        <v>1</v>
      </c>
      <c r="Q2723">
        <v>0</v>
      </c>
    </row>
    <row r="2724" spans="1:17" x14ac:dyDescent="0.2">
      <c r="A2724" s="1" t="str">
        <f>HYPERLINK("http://www.twitter.com/Ugo_Roux/status/499089327410790400", "499089327410790400")</f>
        <v>499089327410790400</v>
      </c>
      <c r="B2724" t="s">
        <v>97</v>
      </c>
      <c r="C2724" s="3">
        <v>41863.295624999999</v>
      </c>
      <c r="D2724" s="5" t="s">
        <v>41</v>
      </c>
      <c r="E2724">
        <v>0</v>
      </c>
      <c r="F2724">
        <v>0</v>
      </c>
      <c r="G2724">
        <v>0</v>
      </c>
      <c r="I2724" t="s">
        <v>2761</v>
      </c>
      <c r="N2724">
        <v>0</v>
      </c>
      <c r="O2724">
        <v>0</v>
      </c>
      <c r="P2724">
        <v>1</v>
      </c>
      <c r="Q2724">
        <v>0</v>
      </c>
    </row>
    <row r="2725" spans="1:17" x14ac:dyDescent="0.2">
      <c r="A2725" s="1" t="str">
        <f>HYPERLINK("http://www.twitter.com/Ugo_Roux/status/498733345333727232", "498733345333727232")</f>
        <v>498733345333727232</v>
      </c>
      <c r="B2725" t="s">
        <v>97</v>
      </c>
      <c r="C2725" s="3">
        <v>41862.313310185193</v>
      </c>
      <c r="D2725" s="5" t="s">
        <v>41</v>
      </c>
      <c r="E2725">
        <v>0</v>
      </c>
      <c r="F2725">
        <v>0</v>
      </c>
      <c r="G2725">
        <v>0</v>
      </c>
      <c r="I2725" t="s">
        <v>2762</v>
      </c>
      <c r="N2725">
        <v>0</v>
      </c>
      <c r="O2725">
        <v>0</v>
      </c>
      <c r="P2725">
        <v>1</v>
      </c>
      <c r="Q2725">
        <v>0</v>
      </c>
    </row>
    <row r="2726" spans="1:17" x14ac:dyDescent="0.2">
      <c r="A2726" s="1" t="str">
        <f>HYPERLINK("http://www.twitter.com/Ugo_Roux/status/497999452477480960", "497999452477480960")</f>
        <v>497999452477480960</v>
      </c>
      <c r="B2726" t="s">
        <v>97</v>
      </c>
      <c r="C2726" s="3">
        <v>41860.288148148153</v>
      </c>
      <c r="D2726" s="5" t="s">
        <v>41</v>
      </c>
      <c r="E2726">
        <v>0</v>
      </c>
      <c r="F2726">
        <v>0</v>
      </c>
      <c r="G2726">
        <v>0</v>
      </c>
      <c r="I2726" t="s">
        <v>2763</v>
      </c>
      <c r="N2726">
        <v>0</v>
      </c>
      <c r="O2726">
        <v>0</v>
      </c>
      <c r="P2726">
        <v>1</v>
      </c>
      <c r="Q2726">
        <v>0</v>
      </c>
    </row>
    <row r="2727" spans="1:17" x14ac:dyDescent="0.2">
      <c r="A2727" s="1" t="str">
        <f>HYPERLINK("http://www.twitter.com/Ugo_Roux/status/497630110875267072", "497630110875267072")</f>
        <v>497630110875267072</v>
      </c>
      <c r="B2727" t="s">
        <v>97</v>
      </c>
      <c r="C2727" s="3">
        <v>41859.268958333327</v>
      </c>
      <c r="D2727" s="5" t="s">
        <v>41</v>
      </c>
      <c r="E2727">
        <v>0</v>
      </c>
      <c r="F2727">
        <v>0</v>
      </c>
      <c r="G2727">
        <v>0</v>
      </c>
      <c r="I2727" t="s">
        <v>2764</v>
      </c>
      <c r="N2727">
        <v>0</v>
      </c>
      <c r="O2727">
        <v>0</v>
      </c>
      <c r="P2727">
        <v>1</v>
      </c>
      <c r="Q2727">
        <v>0</v>
      </c>
    </row>
    <row r="2728" spans="1:17" x14ac:dyDescent="0.2">
      <c r="A2728" s="1" t="str">
        <f>HYPERLINK("http://www.twitter.com/Ugo_Roux/status/497052623661314048", "497052623661314048")</f>
        <v>497052623661314048</v>
      </c>
      <c r="B2728" t="s">
        <v>47</v>
      </c>
      <c r="C2728" s="3">
        <v>41857.675393518519</v>
      </c>
      <c r="D2728" s="5" t="s">
        <v>17</v>
      </c>
      <c r="E2728">
        <v>0</v>
      </c>
      <c r="F2728">
        <v>3</v>
      </c>
      <c r="G2728">
        <v>0</v>
      </c>
      <c r="I2728" t="s">
        <v>2765</v>
      </c>
      <c r="N2728">
        <v>0</v>
      </c>
      <c r="O2728">
        <v>0</v>
      </c>
      <c r="P2728">
        <v>1</v>
      </c>
      <c r="Q2728">
        <v>0</v>
      </c>
    </row>
    <row r="2729" spans="1:17" x14ac:dyDescent="0.2">
      <c r="A2729" s="1" t="str">
        <f>HYPERLINK("http://www.twitter.com/Ugo_Roux/status/495583464239169536", "495583464239169536")</f>
        <v>495583464239169536</v>
      </c>
      <c r="B2729" t="s">
        <v>47</v>
      </c>
      <c r="C2729" s="3">
        <v>41853.621296296304</v>
      </c>
      <c r="D2729" s="5" t="s">
        <v>41</v>
      </c>
      <c r="E2729">
        <v>1</v>
      </c>
      <c r="F2729">
        <v>2</v>
      </c>
      <c r="G2729">
        <v>0</v>
      </c>
      <c r="I2729" t="s">
        <v>2766</v>
      </c>
      <c r="J2729" t="str">
        <f>HYPERLINK("http://pbs.twimg.com/media/BuCqiEKIEAAYK3H.jpg", "http://pbs.twimg.com/media/BuCqiEKIEAAYK3H.jpg")</f>
        <v>http://pbs.twimg.com/media/BuCqiEKIEAAYK3H.jpg</v>
      </c>
      <c r="N2729">
        <v>0</v>
      </c>
      <c r="O2729">
        <v>0</v>
      </c>
      <c r="P2729">
        <v>1</v>
      </c>
      <c r="Q2729">
        <v>0</v>
      </c>
    </row>
    <row r="2730" spans="1:17" x14ac:dyDescent="0.2">
      <c r="A2730" s="1" t="str">
        <f>HYPERLINK("http://www.twitter.com/Ugo_Roux/status/495501255486496768", "495501255486496768")</f>
        <v>495501255486496768</v>
      </c>
      <c r="B2730" t="s">
        <v>130</v>
      </c>
      <c r="C2730" s="3">
        <v>41853.394432870373</v>
      </c>
      <c r="D2730" s="5" t="s">
        <v>41</v>
      </c>
      <c r="E2730">
        <v>0</v>
      </c>
      <c r="F2730">
        <v>0</v>
      </c>
      <c r="G2730">
        <v>0</v>
      </c>
      <c r="I2730" t="s">
        <v>2767</v>
      </c>
      <c r="N2730">
        <v>0</v>
      </c>
      <c r="O2730">
        <v>0</v>
      </c>
      <c r="P2730">
        <v>1</v>
      </c>
      <c r="Q2730">
        <v>0</v>
      </c>
    </row>
    <row r="2731" spans="1:17" x14ac:dyDescent="0.2">
      <c r="A2731" s="1" t="str">
        <f>HYPERLINK("http://www.twitter.com/Ugo_Roux/status/495185852625338368", "495185852625338368")</f>
        <v>495185852625338368</v>
      </c>
      <c r="B2731" t="s">
        <v>47</v>
      </c>
      <c r="C2731" s="3">
        <v>41852.524097222216</v>
      </c>
      <c r="D2731" s="5" t="s">
        <v>17</v>
      </c>
      <c r="E2731">
        <v>0</v>
      </c>
      <c r="F2731">
        <v>0</v>
      </c>
      <c r="G2731">
        <v>0</v>
      </c>
      <c r="I2731" t="s">
        <v>2768</v>
      </c>
      <c r="N2731">
        <v>0.2263</v>
      </c>
      <c r="O2731">
        <v>0</v>
      </c>
      <c r="P2731">
        <v>0.88800000000000001</v>
      </c>
      <c r="Q2731">
        <v>0.112</v>
      </c>
    </row>
    <row r="2732" spans="1:17" x14ac:dyDescent="0.2">
      <c r="A2732" s="1" t="str">
        <f>HYPERLINK("http://www.twitter.com/Ugo_Roux/status/492998325264994304", "492998325264994304")</f>
        <v>492998325264994304</v>
      </c>
      <c r="B2732" t="s">
        <v>130</v>
      </c>
      <c r="C2732" s="3">
        <v>41846.487662037027</v>
      </c>
      <c r="D2732" s="5" t="s">
        <v>24</v>
      </c>
      <c r="E2732">
        <v>0</v>
      </c>
      <c r="F2732">
        <v>0</v>
      </c>
      <c r="G2732">
        <v>0</v>
      </c>
      <c r="I2732" t="s">
        <v>2769</v>
      </c>
      <c r="N2732">
        <v>0</v>
      </c>
      <c r="O2732">
        <v>0</v>
      </c>
      <c r="P2732">
        <v>1</v>
      </c>
      <c r="Q2732">
        <v>0</v>
      </c>
    </row>
    <row r="2733" spans="1:17" x14ac:dyDescent="0.2">
      <c r="A2733" s="1" t="str">
        <f>HYPERLINK("http://www.twitter.com/Ugo_Roux/status/491925778498850816", "491925778498850816")</f>
        <v>491925778498850816</v>
      </c>
      <c r="B2733" t="s">
        <v>47</v>
      </c>
      <c r="C2733" s="3">
        <v>41843.527997685182</v>
      </c>
      <c r="D2733" s="5" t="s">
        <v>17</v>
      </c>
      <c r="E2733">
        <v>1</v>
      </c>
      <c r="F2733">
        <v>0</v>
      </c>
      <c r="G2733">
        <v>1</v>
      </c>
      <c r="I2733" t="s">
        <v>2770</v>
      </c>
      <c r="N2733">
        <v>0</v>
      </c>
      <c r="O2733">
        <v>0</v>
      </c>
      <c r="P2733">
        <v>1</v>
      </c>
      <c r="Q2733">
        <v>0</v>
      </c>
    </row>
    <row r="2734" spans="1:17" x14ac:dyDescent="0.2">
      <c r="A2734" s="1" t="str">
        <f>HYPERLINK("http://www.twitter.com/Ugo_Roux/status/491482879386329088", "491482879386329088")</f>
        <v>491482879386329088</v>
      </c>
      <c r="B2734" t="s">
        <v>370</v>
      </c>
      <c r="C2734" s="3">
        <v>41842.305833333332</v>
      </c>
      <c r="D2734" s="3" t="s">
        <v>41</v>
      </c>
      <c r="E2734">
        <v>0</v>
      </c>
      <c r="F2734">
        <v>0</v>
      </c>
      <c r="G2734">
        <v>0</v>
      </c>
      <c r="I2734" t="s">
        <v>2771</v>
      </c>
      <c r="N2734">
        <v>0.47670000000000001</v>
      </c>
      <c r="O2734">
        <v>0</v>
      </c>
      <c r="P2734">
        <v>0.78</v>
      </c>
      <c r="Q2734">
        <v>0.22</v>
      </c>
    </row>
    <row r="2735" spans="1:17" x14ac:dyDescent="0.2">
      <c r="A2735" s="1" t="str">
        <f>HYPERLINK("http://www.twitter.com/Ugo_Roux/status/489810523073282048", "489810523073282048")</f>
        <v>489810523073282048</v>
      </c>
      <c r="B2735" t="s">
        <v>47</v>
      </c>
      <c r="C2735" s="3">
        <v>41837.691006944442</v>
      </c>
      <c r="D2735" s="5" t="s">
        <v>41</v>
      </c>
      <c r="E2735">
        <v>1</v>
      </c>
      <c r="F2735">
        <v>0</v>
      </c>
      <c r="G2735">
        <v>0</v>
      </c>
      <c r="I2735" t="s">
        <v>2772</v>
      </c>
      <c r="J2735" t="str">
        <f>HYPERLINK("http://pbs.twimg.com/media/BswoDJ1CYAEKnt3.jpg", "http://pbs.twimg.com/media/BswoDJ1CYAEKnt3.jpg")</f>
        <v>http://pbs.twimg.com/media/BswoDJ1CYAEKnt3.jpg</v>
      </c>
      <c r="N2735">
        <v>0</v>
      </c>
      <c r="O2735">
        <v>0</v>
      </c>
      <c r="P2735">
        <v>1</v>
      </c>
      <c r="Q2735">
        <v>0</v>
      </c>
    </row>
    <row r="2736" spans="1:17" x14ac:dyDescent="0.2">
      <c r="A2736" s="1" t="str">
        <f>HYPERLINK("http://www.twitter.com/Ugo_Roux/status/489753535987195905", "489753535987195905")</f>
        <v>489753535987195905</v>
      </c>
      <c r="B2736" t="s">
        <v>47</v>
      </c>
      <c r="C2736" s="3">
        <v>41837.533750000002</v>
      </c>
      <c r="D2736" s="5" t="s">
        <v>1187</v>
      </c>
      <c r="E2736">
        <v>0</v>
      </c>
      <c r="F2736">
        <v>0</v>
      </c>
      <c r="G2736">
        <v>0</v>
      </c>
      <c r="I2736" t="s">
        <v>2773</v>
      </c>
      <c r="N2736">
        <v>-0.24809999999999999</v>
      </c>
      <c r="O2736">
        <v>0.13300000000000001</v>
      </c>
      <c r="P2736">
        <v>0.86699999999999999</v>
      </c>
      <c r="Q2736">
        <v>0</v>
      </c>
    </row>
    <row r="2737" spans="1:17" x14ac:dyDescent="0.2">
      <c r="A2737" s="1" t="str">
        <f>HYPERLINK("http://www.twitter.com/Ugo_Roux/status/489336580939980800", "489336580939980800")</f>
        <v>489336580939980800</v>
      </c>
      <c r="B2737" t="s">
        <v>16</v>
      </c>
      <c r="C2737" s="3">
        <v>41836.383171296293</v>
      </c>
      <c r="D2737" s="3" t="s">
        <v>17</v>
      </c>
      <c r="E2737">
        <v>0</v>
      </c>
      <c r="F2737">
        <v>0</v>
      </c>
      <c r="G2737">
        <v>0</v>
      </c>
      <c r="I2737" t="s">
        <v>2774</v>
      </c>
      <c r="J2737" t="str">
        <f>HYPERLINK("http://pbs.twimg.com/media/Bsp5BpuCAAAWlpx.jpg", "http://pbs.twimg.com/media/Bsp5BpuCAAAWlpx.jpg")</f>
        <v>http://pbs.twimg.com/media/Bsp5BpuCAAAWlpx.jpg</v>
      </c>
      <c r="N2737">
        <v>0</v>
      </c>
      <c r="O2737">
        <v>0</v>
      </c>
      <c r="P2737">
        <v>1</v>
      </c>
      <c r="Q2737">
        <v>0</v>
      </c>
    </row>
    <row r="2738" spans="1:17" x14ac:dyDescent="0.2">
      <c r="A2738" s="1" t="str">
        <f>HYPERLINK("http://www.twitter.com/Ugo_Roux/status/489034545451114497", "489034545451114497")</f>
        <v>489034545451114497</v>
      </c>
      <c r="B2738" t="s">
        <v>97</v>
      </c>
      <c r="C2738" s="3">
        <v>41835.549722222233</v>
      </c>
      <c r="D2738" s="5" t="s">
        <v>41</v>
      </c>
      <c r="E2738">
        <v>0</v>
      </c>
      <c r="F2738">
        <v>0</v>
      </c>
      <c r="G2738">
        <v>0</v>
      </c>
      <c r="I2738" t="s">
        <v>2775</v>
      </c>
      <c r="N2738">
        <v>0</v>
      </c>
      <c r="O2738">
        <v>0</v>
      </c>
      <c r="P2738">
        <v>1</v>
      </c>
      <c r="Q2738">
        <v>0</v>
      </c>
    </row>
    <row r="2739" spans="1:17" x14ac:dyDescent="0.2">
      <c r="A2739" s="1" t="str">
        <f>HYPERLINK("http://www.twitter.com/Ugo_Roux/status/489033280575266816", "489033280575266816")</f>
        <v>489033280575266816</v>
      </c>
      <c r="B2739" t="s">
        <v>47</v>
      </c>
      <c r="C2739" s="3">
        <v>41835.546226851853</v>
      </c>
      <c r="D2739" s="5" t="s">
        <v>41</v>
      </c>
      <c r="E2739">
        <v>8</v>
      </c>
      <c r="F2739">
        <v>18</v>
      </c>
      <c r="G2739">
        <v>2</v>
      </c>
      <c r="I2739" t="s">
        <v>2776</v>
      </c>
      <c r="J2739" t="str">
        <f>HYPERLINK("http://pbs.twimg.com/media/BsllLRjIIAAcQHf.jpg", "http://pbs.twimg.com/media/BsllLRjIIAAcQHf.jpg")</f>
        <v>http://pbs.twimg.com/media/BsllLRjIIAAcQHf.jpg</v>
      </c>
      <c r="N2739">
        <v>0.45879999999999999</v>
      </c>
      <c r="O2739">
        <v>0</v>
      </c>
      <c r="P2739">
        <v>0.875</v>
      </c>
      <c r="Q2739">
        <v>0.125</v>
      </c>
    </row>
    <row r="2740" spans="1:17" x14ac:dyDescent="0.2">
      <c r="A2740" s="1" t="str">
        <f>HYPERLINK("http://www.twitter.com/Ugo_Roux/status/488982193780178944", "488982193780178944")</f>
        <v>488982193780178944</v>
      </c>
      <c r="B2740" t="s">
        <v>47</v>
      </c>
      <c r="C2740" s="3">
        <v>41835.40525462963</v>
      </c>
      <c r="D2740" s="5" t="s">
        <v>17</v>
      </c>
      <c r="E2740">
        <v>2</v>
      </c>
      <c r="F2740">
        <v>0</v>
      </c>
      <c r="G2740">
        <v>0</v>
      </c>
      <c r="I2740" t="s">
        <v>2777</v>
      </c>
      <c r="N2740">
        <v>0</v>
      </c>
      <c r="O2740">
        <v>0</v>
      </c>
      <c r="P2740">
        <v>1</v>
      </c>
      <c r="Q2740">
        <v>0</v>
      </c>
    </row>
    <row r="2741" spans="1:17" x14ac:dyDescent="0.2">
      <c r="A2741" s="1" t="str">
        <f>HYPERLINK("http://www.twitter.com/Ugo_Roux/status/488959152115679232", "488959152115679232")</f>
        <v>488959152115679232</v>
      </c>
      <c r="B2741" t="s">
        <v>47</v>
      </c>
      <c r="C2741" s="3">
        <v>41835.341666666667</v>
      </c>
      <c r="D2741" s="5" t="s">
        <v>41</v>
      </c>
      <c r="E2741">
        <v>0</v>
      </c>
      <c r="F2741">
        <v>1</v>
      </c>
      <c r="G2741">
        <v>0</v>
      </c>
      <c r="I2741" t="s">
        <v>2778</v>
      </c>
      <c r="J2741" t="str">
        <f>HYPERLINK("http://pbs.twimg.com/media/BskhvW6CIAEqdd3.jpg", "http://pbs.twimg.com/media/BskhvW6CIAEqdd3.jpg")</f>
        <v>http://pbs.twimg.com/media/BskhvW6CIAEqdd3.jpg</v>
      </c>
      <c r="N2741">
        <v>0</v>
      </c>
      <c r="O2741">
        <v>0</v>
      </c>
      <c r="P2741">
        <v>1</v>
      </c>
      <c r="Q2741">
        <v>0</v>
      </c>
    </row>
    <row r="2742" spans="1:17" x14ac:dyDescent="0.2">
      <c r="A2742" s="1" t="str">
        <f>HYPERLINK("http://www.twitter.com/Ugo_Roux/status/487956120594812929", "487956120594812929")</f>
        <v>487956120594812929</v>
      </c>
      <c r="B2742" t="s">
        <v>47</v>
      </c>
      <c r="C2742" s="3">
        <v>41832.573831018519</v>
      </c>
      <c r="D2742" s="5" t="s">
        <v>17</v>
      </c>
      <c r="E2742">
        <v>0</v>
      </c>
      <c r="F2742">
        <v>0</v>
      </c>
      <c r="G2742">
        <v>0</v>
      </c>
      <c r="I2742" t="s">
        <v>2779</v>
      </c>
      <c r="N2742">
        <v>0</v>
      </c>
      <c r="O2742">
        <v>0</v>
      </c>
      <c r="P2742">
        <v>1</v>
      </c>
      <c r="Q2742">
        <v>0</v>
      </c>
    </row>
    <row r="2743" spans="1:17" x14ac:dyDescent="0.2">
      <c r="A2743" s="1" t="str">
        <f>HYPERLINK("http://www.twitter.com/Ugo_Roux/status/487936168957595649", "487936168957595649")</f>
        <v>487936168957595649</v>
      </c>
      <c r="B2743" t="s">
        <v>47</v>
      </c>
      <c r="C2743" s="3">
        <v>41832.518773148149</v>
      </c>
      <c r="D2743" s="5" t="s">
        <v>17</v>
      </c>
      <c r="E2743">
        <v>0</v>
      </c>
      <c r="F2743">
        <v>0</v>
      </c>
      <c r="G2743">
        <v>0</v>
      </c>
      <c r="I2743" t="s">
        <v>2780</v>
      </c>
      <c r="N2743">
        <v>0</v>
      </c>
      <c r="O2743">
        <v>0</v>
      </c>
      <c r="P2743">
        <v>1</v>
      </c>
      <c r="Q2743">
        <v>0</v>
      </c>
    </row>
    <row r="2744" spans="1:17" x14ac:dyDescent="0.2">
      <c r="A2744" s="1" t="str">
        <f>HYPERLINK("http://www.twitter.com/Ugo_Roux/status/487924527109009408", "487924527109009408")</f>
        <v>487924527109009408</v>
      </c>
      <c r="B2744" t="s">
        <v>47</v>
      </c>
      <c r="C2744" s="3">
        <v>41832.486655092587</v>
      </c>
      <c r="D2744" s="5" t="s">
        <v>17</v>
      </c>
      <c r="E2744">
        <v>0</v>
      </c>
      <c r="F2744">
        <v>1</v>
      </c>
      <c r="G2744">
        <v>0</v>
      </c>
      <c r="I2744" t="s">
        <v>2781</v>
      </c>
      <c r="N2744">
        <v>0.31819999999999998</v>
      </c>
      <c r="O2744">
        <v>0</v>
      </c>
      <c r="P2744">
        <v>0.85899999999999999</v>
      </c>
      <c r="Q2744">
        <v>0.14099999999999999</v>
      </c>
    </row>
    <row r="2745" spans="1:17" x14ac:dyDescent="0.2">
      <c r="A2745" s="1" t="str">
        <f>HYPERLINK("http://www.twitter.com/Ugo_Roux/status/487179975565799424", "487179975565799424")</f>
        <v>487179975565799424</v>
      </c>
      <c r="B2745" t="s">
        <v>16</v>
      </c>
      <c r="C2745" s="3">
        <v>41830.432083333333</v>
      </c>
      <c r="D2745" s="3" t="s">
        <v>41</v>
      </c>
      <c r="E2745">
        <v>0</v>
      </c>
      <c r="F2745">
        <v>2</v>
      </c>
      <c r="G2745">
        <v>0</v>
      </c>
      <c r="I2745" t="s">
        <v>2782</v>
      </c>
      <c r="J2745" t="str">
        <f>HYPERLINK("http://pbs.twimg.com/media/BsLPmriIYAA2xgD.jpg", "http://pbs.twimg.com/media/BsLPmriIYAA2xgD.jpg")</f>
        <v>http://pbs.twimg.com/media/BsLPmriIYAA2xgD.jpg</v>
      </c>
      <c r="N2745">
        <v>0</v>
      </c>
      <c r="O2745">
        <v>0</v>
      </c>
      <c r="P2745">
        <v>1</v>
      </c>
      <c r="Q2745">
        <v>0</v>
      </c>
    </row>
    <row r="2746" spans="1:17" x14ac:dyDescent="0.2">
      <c r="A2746" s="1" t="str">
        <f>HYPERLINK("http://www.twitter.com/Ugo_Roux/status/486910854362071040", "486910854362071040")</f>
        <v>486910854362071040</v>
      </c>
      <c r="B2746" t="s">
        <v>47</v>
      </c>
      <c r="C2746" s="3">
        <v>41829.689444444448</v>
      </c>
      <c r="D2746" s="5" t="s">
        <v>17</v>
      </c>
      <c r="E2746">
        <v>0</v>
      </c>
      <c r="F2746">
        <v>1</v>
      </c>
      <c r="G2746">
        <v>1</v>
      </c>
      <c r="I2746" t="s">
        <v>2783</v>
      </c>
      <c r="N2746">
        <v>0</v>
      </c>
      <c r="O2746">
        <v>0</v>
      </c>
      <c r="P2746">
        <v>1</v>
      </c>
      <c r="Q2746">
        <v>0</v>
      </c>
    </row>
    <row r="2747" spans="1:17" x14ac:dyDescent="0.2">
      <c r="A2747" s="1" t="str">
        <f>HYPERLINK("http://www.twitter.com/Ugo_Roux/status/486866458786689024", "486866458786689024")</f>
        <v>486866458786689024</v>
      </c>
      <c r="B2747" t="s">
        <v>47</v>
      </c>
      <c r="C2747" s="3">
        <v>41829.566932870373</v>
      </c>
      <c r="D2747" s="5" t="s">
        <v>17</v>
      </c>
      <c r="E2747">
        <v>1</v>
      </c>
      <c r="F2747">
        <v>3</v>
      </c>
      <c r="G2747">
        <v>0</v>
      </c>
      <c r="I2747" t="s">
        <v>2784</v>
      </c>
      <c r="N2747">
        <v>0</v>
      </c>
      <c r="O2747">
        <v>0</v>
      </c>
      <c r="P2747">
        <v>1</v>
      </c>
      <c r="Q2747">
        <v>0</v>
      </c>
    </row>
    <row r="2748" spans="1:17" x14ac:dyDescent="0.2">
      <c r="A2748" s="1" t="str">
        <f>HYPERLINK("http://www.twitter.com/Ugo_Roux/status/486806097190072320", "486806097190072320")</f>
        <v>486806097190072320</v>
      </c>
      <c r="B2748" t="s">
        <v>130</v>
      </c>
      <c r="C2748" s="3">
        <v>41829.400370370371</v>
      </c>
      <c r="D2748" s="5" t="s">
        <v>41</v>
      </c>
      <c r="E2748">
        <v>0</v>
      </c>
      <c r="F2748">
        <v>0</v>
      </c>
      <c r="G2748">
        <v>0</v>
      </c>
      <c r="I2748" t="s">
        <v>2785</v>
      </c>
      <c r="N2748">
        <v>0</v>
      </c>
      <c r="O2748">
        <v>0</v>
      </c>
      <c r="P2748">
        <v>1</v>
      </c>
      <c r="Q2748">
        <v>0</v>
      </c>
    </row>
    <row r="2749" spans="1:17" x14ac:dyDescent="0.2">
      <c r="A2749" s="1" t="str">
        <f>HYPERLINK("http://www.twitter.com/Ugo_Roux/status/486779498311204864", "486779498311204864")</f>
        <v>486779498311204864</v>
      </c>
      <c r="B2749" t="s">
        <v>47</v>
      </c>
      <c r="C2749" s="3">
        <v>41829.326967592591</v>
      </c>
      <c r="D2749" s="5" t="s">
        <v>17</v>
      </c>
      <c r="E2749">
        <v>0</v>
      </c>
      <c r="F2749">
        <v>0</v>
      </c>
      <c r="G2749">
        <v>0</v>
      </c>
      <c r="I2749" t="s">
        <v>2786</v>
      </c>
      <c r="N2749">
        <v>0</v>
      </c>
      <c r="O2749">
        <v>0</v>
      </c>
      <c r="P2749">
        <v>1</v>
      </c>
      <c r="Q2749">
        <v>0</v>
      </c>
    </row>
    <row r="2750" spans="1:17" x14ac:dyDescent="0.2">
      <c r="A2750" s="1" t="str">
        <f>HYPERLINK("http://www.twitter.com/Ugo_Roux/status/486493349545656320", "486493349545656320")</f>
        <v>486493349545656320</v>
      </c>
      <c r="B2750" t="s">
        <v>97</v>
      </c>
      <c r="C2750" s="3">
        <v>41828.537349537037</v>
      </c>
      <c r="D2750" s="5" t="s">
        <v>17</v>
      </c>
      <c r="E2750">
        <v>0</v>
      </c>
      <c r="F2750">
        <v>0</v>
      </c>
      <c r="G2750">
        <v>0</v>
      </c>
      <c r="I2750" t="s">
        <v>2787</v>
      </c>
      <c r="N2750">
        <v>0</v>
      </c>
      <c r="O2750">
        <v>0</v>
      </c>
      <c r="P2750">
        <v>1</v>
      </c>
      <c r="Q2750">
        <v>0</v>
      </c>
    </row>
    <row r="2751" spans="1:17" x14ac:dyDescent="0.2">
      <c r="A2751" s="1" t="str">
        <f>HYPERLINK("http://www.twitter.com/Ugo_Roux/status/486408435236233216", "486408435236233216")</f>
        <v>486408435236233216</v>
      </c>
      <c r="B2751" t="s">
        <v>370</v>
      </c>
      <c r="C2751" s="3">
        <v>41828.303032407413</v>
      </c>
      <c r="D2751" s="3" t="s">
        <v>625</v>
      </c>
      <c r="E2751">
        <v>1</v>
      </c>
      <c r="F2751">
        <v>0</v>
      </c>
      <c r="G2751">
        <v>0</v>
      </c>
      <c r="I2751" t="s">
        <v>2788</v>
      </c>
      <c r="N2751">
        <v>0</v>
      </c>
      <c r="O2751">
        <v>0</v>
      </c>
      <c r="P2751">
        <v>1</v>
      </c>
      <c r="Q2751">
        <v>0</v>
      </c>
    </row>
    <row r="2752" spans="1:17" x14ac:dyDescent="0.2">
      <c r="A2752" s="1" t="str">
        <f>HYPERLINK("http://www.twitter.com/Ugo_Roux/status/485382202335981568", "485382202335981568")</f>
        <v>485382202335981568</v>
      </c>
      <c r="B2752" t="s">
        <v>47</v>
      </c>
      <c r="C2752" s="3">
        <v>41825.471168981479</v>
      </c>
      <c r="D2752" s="5" t="s">
        <v>17</v>
      </c>
      <c r="E2752">
        <v>1</v>
      </c>
      <c r="F2752">
        <v>1</v>
      </c>
      <c r="G2752">
        <v>0</v>
      </c>
      <c r="I2752" t="s">
        <v>2789</v>
      </c>
      <c r="N2752">
        <v>0</v>
      </c>
      <c r="O2752">
        <v>0</v>
      </c>
      <c r="P2752">
        <v>1</v>
      </c>
      <c r="Q2752">
        <v>0</v>
      </c>
    </row>
    <row r="2753" spans="1:17" x14ac:dyDescent="0.2">
      <c r="A2753" s="1" t="str">
        <f>HYPERLINK("http://www.twitter.com/Ugo_Roux/status/485346776652984320", "485346776652984320")</f>
        <v>485346776652984320</v>
      </c>
      <c r="B2753" t="s">
        <v>16</v>
      </c>
      <c r="C2753" s="3">
        <v>41825.373414351852</v>
      </c>
      <c r="D2753" s="3" t="s">
        <v>28</v>
      </c>
      <c r="E2753">
        <v>0</v>
      </c>
      <c r="F2753">
        <v>0</v>
      </c>
      <c r="G2753">
        <v>0</v>
      </c>
      <c r="I2753" t="s">
        <v>2790</v>
      </c>
      <c r="N2753">
        <v>0.1779</v>
      </c>
      <c r="O2753">
        <v>0</v>
      </c>
      <c r="P2753">
        <v>0.89800000000000002</v>
      </c>
      <c r="Q2753">
        <v>0.10199999999999999</v>
      </c>
    </row>
    <row r="2754" spans="1:17" x14ac:dyDescent="0.2">
      <c r="A2754" s="1" t="str">
        <f>HYPERLINK("http://www.twitter.com/Ugo_Roux/status/485087812446732288", "485087812446732288")</f>
        <v>485087812446732288</v>
      </c>
      <c r="B2754" t="s">
        <v>370</v>
      </c>
      <c r="C2754" s="3">
        <v>41824.658807870372</v>
      </c>
      <c r="D2754" s="5" t="s">
        <v>28</v>
      </c>
      <c r="E2754">
        <v>0</v>
      </c>
      <c r="F2754">
        <v>0</v>
      </c>
      <c r="G2754">
        <v>0</v>
      </c>
      <c r="I2754" t="s">
        <v>2791</v>
      </c>
      <c r="N2754">
        <v>0</v>
      </c>
      <c r="O2754">
        <v>0</v>
      </c>
      <c r="P2754">
        <v>1</v>
      </c>
      <c r="Q2754">
        <v>0</v>
      </c>
    </row>
    <row r="2755" spans="1:17" x14ac:dyDescent="0.2">
      <c r="A2755" s="1" t="str">
        <f>HYPERLINK("http://www.twitter.com/Ugo_Roux/status/485086742425243649", "485086742425243649")</f>
        <v>485086742425243649</v>
      </c>
      <c r="B2755" t="s">
        <v>370</v>
      </c>
      <c r="C2755" s="3">
        <v>41824.655856481477</v>
      </c>
      <c r="D2755" s="5" t="s">
        <v>41</v>
      </c>
      <c r="E2755">
        <v>0</v>
      </c>
      <c r="F2755">
        <v>0</v>
      </c>
      <c r="G2755">
        <v>0</v>
      </c>
      <c r="I2755" t="s">
        <v>2792</v>
      </c>
      <c r="N2755">
        <v>0</v>
      </c>
      <c r="O2755">
        <v>0</v>
      </c>
      <c r="P2755">
        <v>1</v>
      </c>
      <c r="Q2755">
        <v>0</v>
      </c>
    </row>
    <row r="2756" spans="1:17" x14ac:dyDescent="0.2">
      <c r="A2756" s="1" t="str">
        <f>HYPERLINK("http://www.twitter.com/Ugo_Roux/status/485085865958313984", "485085865958313984")</f>
        <v>485085865958313984</v>
      </c>
      <c r="B2756" t="s">
        <v>370</v>
      </c>
      <c r="C2756" s="3">
        <v>41824.653437499997</v>
      </c>
      <c r="D2756" s="5" t="s">
        <v>41</v>
      </c>
      <c r="E2756">
        <v>0</v>
      </c>
      <c r="F2756">
        <v>0</v>
      </c>
      <c r="G2756">
        <v>0</v>
      </c>
      <c r="I2756" t="s">
        <v>2793</v>
      </c>
      <c r="N2756">
        <v>0</v>
      </c>
      <c r="O2756">
        <v>0</v>
      </c>
      <c r="P2756">
        <v>1</v>
      </c>
      <c r="Q2756">
        <v>0</v>
      </c>
    </row>
    <row r="2757" spans="1:17" x14ac:dyDescent="0.2">
      <c r="A2757" s="1" t="str">
        <f>HYPERLINK("http://www.twitter.com/Ugo_Roux/status/482839895782981632", "482839895782981632")</f>
        <v>482839895782981632</v>
      </c>
      <c r="B2757" t="s">
        <v>47</v>
      </c>
      <c r="C2757" s="3">
        <v>41818.455740740741</v>
      </c>
      <c r="D2757" s="5" t="s">
        <v>17</v>
      </c>
      <c r="E2757">
        <v>0</v>
      </c>
      <c r="F2757">
        <v>1</v>
      </c>
      <c r="G2757">
        <v>0</v>
      </c>
      <c r="I2757" t="s">
        <v>2794</v>
      </c>
      <c r="N2757">
        <v>0</v>
      </c>
      <c r="O2757">
        <v>0</v>
      </c>
      <c r="P2757">
        <v>1</v>
      </c>
      <c r="Q2757">
        <v>0</v>
      </c>
    </row>
    <row r="2758" spans="1:17" x14ac:dyDescent="0.2">
      <c r="A2758" s="1" t="str">
        <f>HYPERLINK("http://www.twitter.com/Ugo_Roux/status/482801572473487360", "482801572473487360")</f>
        <v>482801572473487360</v>
      </c>
      <c r="B2758" t="s">
        <v>47</v>
      </c>
      <c r="C2758" s="3">
        <v>41818.349988425929</v>
      </c>
      <c r="D2758" s="5" t="s">
        <v>17</v>
      </c>
      <c r="E2758">
        <v>0</v>
      </c>
      <c r="F2758">
        <v>0</v>
      </c>
      <c r="G2758">
        <v>0</v>
      </c>
      <c r="I2758" t="s">
        <v>2795</v>
      </c>
      <c r="N2758">
        <v>0</v>
      </c>
      <c r="O2758">
        <v>0</v>
      </c>
      <c r="P2758">
        <v>1</v>
      </c>
      <c r="Q2758">
        <v>0</v>
      </c>
    </row>
    <row r="2759" spans="1:17" x14ac:dyDescent="0.2">
      <c r="A2759" s="1" t="str">
        <f>HYPERLINK("http://www.twitter.com/Ugo_Roux/status/482796308651331584", "482796308651331584")</f>
        <v>482796308651331584</v>
      </c>
      <c r="B2759" t="s">
        <v>47</v>
      </c>
      <c r="C2759" s="3">
        <v>41818.335462962961</v>
      </c>
      <c r="D2759" s="5" t="s">
        <v>17</v>
      </c>
      <c r="E2759">
        <v>0</v>
      </c>
      <c r="F2759">
        <v>0</v>
      </c>
      <c r="G2759">
        <v>0</v>
      </c>
      <c r="I2759" t="s">
        <v>2796</v>
      </c>
      <c r="N2759">
        <v>0</v>
      </c>
      <c r="O2759">
        <v>0</v>
      </c>
      <c r="P2759">
        <v>1</v>
      </c>
      <c r="Q2759">
        <v>0</v>
      </c>
    </row>
    <row r="2760" spans="1:17" x14ac:dyDescent="0.2">
      <c r="A2760" s="1" t="str">
        <f>HYPERLINK("http://www.twitter.com/Ugo_Roux/status/481774038847877120", "481774038847877120")</f>
        <v>481774038847877120</v>
      </c>
      <c r="B2760" t="s">
        <v>47</v>
      </c>
      <c r="C2760" s="3">
        <v>41815.514537037037</v>
      </c>
      <c r="D2760" s="5" t="s">
        <v>24</v>
      </c>
      <c r="E2760">
        <v>0</v>
      </c>
      <c r="F2760">
        <v>0</v>
      </c>
      <c r="G2760">
        <v>0</v>
      </c>
      <c r="I2760" t="s">
        <v>2797</v>
      </c>
      <c r="N2760">
        <v>0</v>
      </c>
      <c r="O2760">
        <v>0</v>
      </c>
      <c r="P2760">
        <v>1</v>
      </c>
      <c r="Q2760">
        <v>0</v>
      </c>
    </row>
    <row r="2761" spans="1:17" x14ac:dyDescent="0.2">
      <c r="A2761" s="1" t="str">
        <f>HYPERLINK("http://www.twitter.com/Ugo_Roux/status/481745796921327616", "481745796921327616")</f>
        <v>481745796921327616</v>
      </c>
      <c r="B2761" t="s">
        <v>47</v>
      </c>
      <c r="C2761" s="3">
        <v>41815.436608796299</v>
      </c>
      <c r="D2761" s="5" t="s">
        <v>28</v>
      </c>
      <c r="E2761">
        <v>0</v>
      </c>
      <c r="F2761">
        <v>0</v>
      </c>
      <c r="G2761">
        <v>0</v>
      </c>
      <c r="I2761" t="s">
        <v>2798</v>
      </c>
      <c r="N2761">
        <v>0</v>
      </c>
      <c r="O2761">
        <v>0</v>
      </c>
      <c r="P2761">
        <v>1</v>
      </c>
      <c r="Q2761">
        <v>0</v>
      </c>
    </row>
    <row r="2762" spans="1:17" x14ac:dyDescent="0.2">
      <c r="A2762" s="1" t="str">
        <f>HYPERLINK("http://www.twitter.com/Ugo_Roux/status/479239840673042433", "479239840673042433")</f>
        <v>479239840673042433</v>
      </c>
      <c r="B2762" t="s">
        <v>47</v>
      </c>
      <c r="C2762" s="3">
        <v>41808.521481481483</v>
      </c>
      <c r="D2762" s="5" t="s">
        <v>17</v>
      </c>
      <c r="E2762">
        <v>0</v>
      </c>
      <c r="F2762">
        <v>0</v>
      </c>
      <c r="G2762">
        <v>0</v>
      </c>
      <c r="I2762" t="s">
        <v>2799</v>
      </c>
      <c r="N2762">
        <v>0</v>
      </c>
      <c r="O2762">
        <v>0</v>
      </c>
      <c r="P2762">
        <v>1</v>
      </c>
      <c r="Q2762">
        <v>0</v>
      </c>
    </row>
    <row r="2763" spans="1:17" x14ac:dyDescent="0.2">
      <c r="A2763" s="1" t="str">
        <f>HYPERLINK("http://www.twitter.com/Ugo_Roux/status/477773984009035776", "477773984009035776")</f>
        <v>477773984009035776</v>
      </c>
      <c r="B2763" t="s">
        <v>16</v>
      </c>
      <c r="C2763" s="3">
        <v>41804.476493055547</v>
      </c>
      <c r="D2763" s="3" t="s">
        <v>17</v>
      </c>
      <c r="E2763">
        <v>1</v>
      </c>
      <c r="F2763">
        <v>1</v>
      </c>
      <c r="G2763">
        <v>0</v>
      </c>
      <c r="I2763" t="s">
        <v>2800</v>
      </c>
      <c r="J2763" t="str">
        <f>HYPERLINK("http://pbs.twimg.com/media/BqFk54_IEAA0JaE.jpg", "http://pbs.twimg.com/media/BqFk54_IEAA0JaE.jpg")</f>
        <v>http://pbs.twimg.com/media/BqFk54_IEAA0JaE.jpg</v>
      </c>
      <c r="N2763">
        <v>0</v>
      </c>
      <c r="O2763">
        <v>0</v>
      </c>
      <c r="P2763">
        <v>1</v>
      </c>
      <c r="Q2763">
        <v>0</v>
      </c>
    </row>
    <row r="2764" spans="1:17" x14ac:dyDescent="0.2">
      <c r="A2764" s="1" t="str">
        <f>HYPERLINK("http://www.twitter.com/Ugo_Roux/status/476345782036365312", "476345782036365312")</f>
        <v>476345782036365312</v>
      </c>
      <c r="B2764" t="s">
        <v>47</v>
      </c>
      <c r="C2764" s="3">
        <v>41800.535405092603</v>
      </c>
      <c r="D2764" s="5" t="s">
        <v>17</v>
      </c>
      <c r="E2764">
        <v>1</v>
      </c>
      <c r="F2764">
        <v>0</v>
      </c>
      <c r="G2764">
        <v>0</v>
      </c>
      <c r="I2764" t="s">
        <v>2801</v>
      </c>
      <c r="N2764">
        <v>0.52669999999999995</v>
      </c>
      <c r="O2764">
        <v>0</v>
      </c>
      <c r="P2764">
        <v>0.80500000000000005</v>
      </c>
      <c r="Q2764">
        <v>0.19500000000000001</v>
      </c>
    </row>
    <row r="2765" spans="1:17" x14ac:dyDescent="0.2">
      <c r="A2765" s="1" t="str">
        <f>HYPERLINK("http://www.twitter.com/Ugo_Roux/status/474543009250295808", "474543009250295808")</f>
        <v>474543009250295808</v>
      </c>
      <c r="B2765" t="s">
        <v>97</v>
      </c>
      <c r="C2765" s="3">
        <v>41795.560694444437</v>
      </c>
      <c r="D2765" s="5" t="s">
        <v>17</v>
      </c>
      <c r="E2765">
        <v>0</v>
      </c>
      <c r="F2765">
        <v>0</v>
      </c>
      <c r="G2765">
        <v>0</v>
      </c>
      <c r="I2765" t="s">
        <v>2802</v>
      </c>
      <c r="N2765">
        <v>0</v>
      </c>
      <c r="O2765">
        <v>0</v>
      </c>
      <c r="P2765">
        <v>1</v>
      </c>
      <c r="Q2765">
        <v>0</v>
      </c>
    </row>
    <row r="2766" spans="1:17" x14ac:dyDescent="0.2">
      <c r="A2766" s="1" t="str">
        <f>HYPERLINK("http://www.twitter.com/Ugo_Roux/status/472685078276243456", "472685078276243456")</f>
        <v>472685078276243456</v>
      </c>
      <c r="B2766" t="s">
        <v>130</v>
      </c>
      <c r="C2766" s="3">
        <v>41790.43378472222</v>
      </c>
      <c r="D2766" s="5" t="s">
        <v>41</v>
      </c>
      <c r="E2766">
        <v>0</v>
      </c>
      <c r="F2766">
        <v>0</v>
      </c>
      <c r="G2766">
        <v>0</v>
      </c>
      <c r="I2766" t="s">
        <v>2803</v>
      </c>
      <c r="N2766">
        <v>0</v>
      </c>
      <c r="O2766">
        <v>0</v>
      </c>
      <c r="P2766">
        <v>1</v>
      </c>
      <c r="Q2766">
        <v>0</v>
      </c>
    </row>
    <row r="2767" spans="1:17" x14ac:dyDescent="0.2">
      <c r="A2767" s="1" t="str">
        <f>HYPERLINK("http://www.twitter.com/Ugo_Roux/status/472364804934733826", "472364804934733826")</f>
        <v>472364804934733826</v>
      </c>
      <c r="B2767" t="s">
        <v>130</v>
      </c>
      <c r="C2767" s="3">
        <v>41789.550000000003</v>
      </c>
      <c r="D2767" s="5" t="s">
        <v>24</v>
      </c>
      <c r="E2767">
        <v>0</v>
      </c>
      <c r="F2767">
        <v>0</v>
      </c>
      <c r="G2767">
        <v>0</v>
      </c>
      <c r="I2767" t="s">
        <v>2804</v>
      </c>
      <c r="N2767">
        <v>0</v>
      </c>
      <c r="O2767">
        <v>0</v>
      </c>
      <c r="P2767">
        <v>1</v>
      </c>
      <c r="Q2767">
        <v>0</v>
      </c>
    </row>
    <row r="2768" spans="1:17" x14ac:dyDescent="0.2">
      <c r="A2768" s="1" t="str">
        <f>HYPERLINK("http://www.twitter.com/Ugo_Roux/status/472321259284754433", "472321259284754433")</f>
        <v>472321259284754433</v>
      </c>
      <c r="B2768" t="s">
        <v>16</v>
      </c>
      <c r="C2768" s="3">
        <v>41789.429837962962</v>
      </c>
      <c r="D2768" s="3" t="s">
        <v>41</v>
      </c>
      <c r="E2768">
        <v>0</v>
      </c>
      <c r="F2768">
        <v>0</v>
      </c>
      <c r="G2768">
        <v>0</v>
      </c>
      <c r="I2768" t="s">
        <v>2805</v>
      </c>
      <c r="N2768">
        <v>0</v>
      </c>
      <c r="O2768">
        <v>0</v>
      </c>
      <c r="P2768">
        <v>1</v>
      </c>
      <c r="Q2768">
        <v>0</v>
      </c>
    </row>
    <row r="2769" spans="1:17" x14ac:dyDescent="0.2">
      <c r="A2769" s="1" t="str">
        <f>HYPERLINK("http://www.twitter.com/Ugo_Roux/status/471658439316623360", "471658439316623360")</f>
        <v>471658439316623360</v>
      </c>
      <c r="B2769" t="s">
        <v>16</v>
      </c>
      <c r="C2769" s="3">
        <v>41787.600798611107</v>
      </c>
      <c r="D2769" s="3" t="s">
        <v>41</v>
      </c>
      <c r="E2769">
        <v>1</v>
      </c>
      <c r="F2769">
        <v>3</v>
      </c>
      <c r="G2769">
        <v>0</v>
      </c>
      <c r="I2769" t="s">
        <v>2806</v>
      </c>
      <c r="J2769" t="str">
        <f>HYPERLINK("http://pbs.twimg.com/media/Bouq2TeIQAAIz7S.jpg", "http://pbs.twimg.com/media/Bouq2TeIQAAIz7S.jpg")</f>
        <v>http://pbs.twimg.com/media/Bouq2TeIQAAIz7S.jpg</v>
      </c>
      <c r="N2769">
        <v>0</v>
      </c>
      <c r="O2769">
        <v>0</v>
      </c>
      <c r="P2769">
        <v>1</v>
      </c>
      <c r="Q2769">
        <v>0</v>
      </c>
    </row>
    <row r="2770" spans="1:17" x14ac:dyDescent="0.2">
      <c r="A2770" s="1" t="str">
        <f>HYPERLINK("http://www.twitter.com/Ugo_Roux/status/471617073555062785", "471617073555062785")</f>
        <v>471617073555062785</v>
      </c>
      <c r="B2770" t="s">
        <v>370</v>
      </c>
      <c r="C2770" s="3">
        <v>41787.486655092587</v>
      </c>
      <c r="D2770" s="5" t="s">
        <v>28</v>
      </c>
      <c r="E2770">
        <v>0</v>
      </c>
      <c r="F2770">
        <v>0</v>
      </c>
      <c r="G2770">
        <v>0</v>
      </c>
      <c r="I2770" t="s">
        <v>2807</v>
      </c>
      <c r="N2770">
        <v>0</v>
      </c>
      <c r="O2770">
        <v>0</v>
      </c>
      <c r="P2770">
        <v>1</v>
      </c>
      <c r="Q2770">
        <v>0</v>
      </c>
    </row>
    <row r="2771" spans="1:17" x14ac:dyDescent="0.2">
      <c r="A2771" s="1" t="str">
        <f>HYPERLINK("http://www.twitter.com/Ugo_Roux/status/471616361081225216", "471616361081225216")</f>
        <v>471616361081225216</v>
      </c>
      <c r="B2771" t="s">
        <v>370</v>
      </c>
      <c r="C2771" s="3">
        <v>41787.4846875</v>
      </c>
      <c r="D2771" s="5" t="s">
        <v>28</v>
      </c>
      <c r="E2771">
        <v>0</v>
      </c>
      <c r="F2771">
        <v>0</v>
      </c>
      <c r="G2771">
        <v>0</v>
      </c>
      <c r="I2771" t="s">
        <v>2808</v>
      </c>
      <c r="N2771">
        <v>0</v>
      </c>
      <c r="O2771">
        <v>0</v>
      </c>
      <c r="P2771">
        <v>1</v>
      </c>
      <c r="Q2771">
        <v>0</v>
      </c>
    </row>
    <row r="2772" spans="1:17" x14ac:dyDescent="0.2">
      <c r="A2772" s="1" t="str">
        <f>HYPERLINK("http://www.twitter.com/Ugo_Roux/status/471616123863961600", "471616123863961600")</f>
        <v>471616123863961600</v>
      </c>
      <c r="B2772" t="s">
        <v>370</v>
      </c>
      <c r="C2772" s="3">
        <v>41787.484027777777</v>
      </c>
      <c r="D2772" s="5" t="s">
        <v>28</v>
      </c>
      <c r="E2772">
        <v>0</v>
      </c>
      <c r="F2772">
        <v>0</v>
      </c>
      <c r="G2772">
        <v>0</v>
      </c>
      <c r="I2772" t="s">
        <v>2809</v>
      </c>
      <c r="N2772">
        <v>0</v>
      </c>
      <c r="O2772">
        <v>0</v>
      </c>
      <c r="P2772">
        <v>1</v>
      </c>
      <c r="Q2772">
        <v>0</v>
      </c>
    </row>
    <row r="2773" spans="1:17" x14ac:dyDescent="0.2">
      <c r="A2773" s="1" t="str">
        <f>HYPERLINK("http://www.twitter.com/Ugo_Roux/status/471258041023614978", "471258041023614978")</f>
        <v>471258041023614978</v>
      </c>
      <c r="B2773" t="s">
        <v>47</v>
      </c>
      <c r="C2773" s="3">
        <v>41786.49591435185</v>
      </c>
      <c r="D2773" s="5" t="s">
        <v>28</v>
      </c>
      <c r="E2773">
        <v>0</v>
      </c>
      <c r="F2773">
        <v>1</v>
      </c>
      <c r="G2773">
        <v>0</v>
      </c>
      <c r="I2773" t="s">
        <v>2810</v>
      </c>
      <c r="N2773">
        <v>0</v>
      </c>
      <c r="O2773">
        <v>0</v>
      </c>
      <c r="P2773">
        <v>1</v>
      </c>
      <c r="Q2773">
        <v>0</v>
      </c>
    </row>
    <row r="2774" spans="1:17" x14ac:dyDescent="0.2">
      <c r="A2774" s="1" t="str">
        <f>HYPERLINK("http://www.twitter.com/Ugo_Roux/status/470213851204845568", "470213851204845568")</f>
        <v>470213851204845568</v>
      </c>
      <c r="B2774" t="s">
        <v>130</v>
      </c>
      <c r="C2774" s="3">
        <v>41783.614490740743</v>
      </c>
      <c r="D2774" s="5" t="s">
        <v>17</v>
      </c>
      <c r="E2774">
        <v>0</v>
      </c>
      <c r="F2774">
        <v>0</v>
      </c>
      <c r="G2774">
        <v>0</v>
      </c>
      <c r="I2774" t="s">
        <v>2811</v>
      </c>
      <c r="N2774">
        <v>0</v>
      </c>
      <c r="O2774">
        <v>0</v>
      </c>
      <c r="P2774">
        <v>1</v>
      </c>
      <c r="Q2774">
        <v>0</v>
      </c>
    </row>
    <row r="2775" spans="1:17" x14ac:dyDescent="0.2">
      <c r="A2775" s="1" t="str">
        <f>HYPERLINK("http://www.twitter.com/Ugo_Roux/status/469874890183827456", "469874890183827456")</f>
        <v>469874890183827456</v>
      </c>
      <c r="B2775" t="s">
        <v>47</v>
      </c>
      <c r="C2775" s="3">
        <v>41782.679143518522</v>
      </c>
      <c r="D2775" s="5" t="s">
        <v>41</v>
      </c>
      <c r="E2775">
        <v>0</v>
      </c>
      <c r="F2775">
        <v>1</v>
      </c>
      <c r="G2775">
        <v>1</v>
      </c>
      <c r="I2775" t="s">
        <v>2812</v>
      </c>
      <c r="N2775">
        <v>0</v>
      </c>
      <c r="O2775">
        <v>0</v>
      </c>
      <c r="P2775">
        <v>1</v>
      </c>
      <c r="Q2775">
        <v>0</v>
      </c>
    </row>
    <row r="2776" spans="1:17" x14ac:dyDescent="0.2">
      <c r="A2776" s="1" t="str">
        <f>HYPERLINK("http://www.twitter.com/Ugo_Roux/status/469841828972212225", "469841828972212225")</f>
        <v>469841828972212225</v>
      </c>
      <c r="B2776" t="s">
        <v>47</v>
      </c>
      <c r="C2776" s="3">
        <v>41782.587905092587</v>
      </c>
      <c r="D2776" s="5" t="s">
        <v>28</v>
      </c>
      <c r="E2776">
        <v>0</v>
      </c>
      <c r="F2776">
        <v>1</v>
      </c>
      <c r="G2776">
        <v>0</v>
      </c>
      <c r="I2776" t="s">
        <v>2813</v>
      </c>
      <c r="N2776">
        <v>0</v>
      </c>
      <c r="O2776">
        <v>0</v>
      </c>
      <c r="P2776">
        <v>1</v>
      </c>
      <c r="Q2776">
        <v>0</v>
      </c>
    </row>
    <row r="2777" spans="1:17" x14ac:dyDescent="0.2">
      <c r="A2777" s="1" t="str">
        <f>HYPERLINK("http://www.twitter.com/Ugo_Roux/status/469415357837766659", "469415357837766659")</f>
        <v>469415357837766659</v>
      </c>
      <c r="B2777" t="s">
        <v>47</v>
      </c>
      <c r="C2777" s="3">
        <v>41781.411076388889</v>
      </c>
      <c r="D2777" s="5" t="s">
        <v>41</v>
      </c>
      <c r="E2777">
        <v>2</v>
      </c>
      <c r="F2777">
        <v>1</v>
      </c>
      <c r="G2777">
        <v>0</v>
      </c>
      <c r="I2777" t="s">
        <v>2814</v>
      </c>
      <c r="N2777">
        <v>0</v>
      </c>
      <c r="O2777">
        <v>0</v>
      </c>
      <c r="P2777">
        <v>1</v>
      </c>
      <c r="Q2777">
        <v>0</v>
      </c>
    </row>
    <row r="2778" spans="1:17" x14ac:dyDescent="0.2">
      <c r="A2778" s="1" t="str">
        <f>HYPERLINK("http://www.twitter.com/Ugo_Roux/status/469105129980166147", "469105129980166147")</f>
        <v>469105129980166147</v>
      </c>
      <c r="B2778" t="s">
        <v>47</v>
      </c>
      <c r="C2778" s="3">
        <v>41780.555011574077</v>
      </c>
      <c r="D2778" s="5" t="s">
        <v>28</v>
      </c>
      <c r="E2778">
        <v>0</v>
      </c>
      <c r="F2778">
        <v>0</v>
      </c>
      <c r="G2778">
        <v>0</v>
      </c>
      <c r="I2778" t="s">
        <v>2815</v>
      </c>
      <c r="N2778">
        <v>-0.22439999999999999</v>
      </c>
      <c r="O2778">
        <v>0.1</v>
      </c>
      <c r="P2778">
        <v>0.9</v>
      </c>
      <c r="Q2778">
        <v>0</v>
      </c>
    </row>
    <row r="2779" spans="1:17" x14ac:dyDescent="0.2">
      <c r="A2779" s="1" t="str">
        <f>HYPERLINK("http://www.twitter.com/Ugo_Roux/status/469082337838641152", "469082337838641152")</f>
        <v>469082337838641152</v>
      </c>
      <c r="B2779" t="s">
        <v>130</v>
      </c>
      <c r="C2779" s="3">
        <v>41780.492118055547</v>
      </c>
      <c r="D2779" s="5" t="s">
        <v>28</v>
      </c>
      <c r="E2779">
        <v>0</v>
      </c>
      <c r="F2779">
        <v>0</v>
      </c>
      <c r="G2779">
        <v>0</v>
      </c>
      <c r="I2779" t="s">
        <v>2816</v>
      </c>
      <c r="N2779">
        <v>0</v>
      </c>
      <c r="O2779">
        <v>0</v>
      </c>
      <c r="P2779">
        <v>1</v>
      </c>
      <c r="Q2779">
        <v>0</v>
      </c>
    </row>
    <row r="2780" spans="1:17" x14ac:dyDescent="0.2">
      <c r="A2780" s="1" t="str">
        <f>HYPERLINK("http://www.twitter.com/Ugo_Roux/status/469046285878972416", "469046285878972416")</f>
        <v>469046285878972416</v>
      </c>
      <c r="B2780" t="s">
        <v>47</v>
      </c>
      <c r="C2780" s="3">
        <v>41780.392627314817</v>
      </c>
      <c r="D2780" s="5" t="s">
        <v>17</v>
      </c>
      <c r="E2780">
        <v>3</v>
      </c>
      <c r="F2780">
        <v>1</v>
      </c>
      <c r="G2780">
        <v>0</v>
      </c>
      <c r="I2780" t="s">
        <v>2817</v>
      </c>
      <c r="N2780">
        <v>0</v>
      </c>
      <c r="O2780">
        <v>0</v>
      </c>
      <c r="P2780">
        <v>1</v>
      </c>
      <c r="Q2780">
        <v>0</v>
      </c>
    </row>
    <row r="2781" spans="1:17" x14ac:dyDescent="0.2">
      <c r="A2781" s="1" t="str">
        <f>HYPERLINK("http://www.twitter.com/Ugo_Roux/status/467639484486803456", "467639484486803456")</f>
        <v>467639484486803456</v>
      </c>
      <c r="B2781" t="s">
        <v>47</v>
      </c>
      <c r="C2781" s="3">
        <v>41776.510601851849</v>
      </c>
      <c r="D2781" s="5" t="s">
        <v>17</v>
      </c>
      <c r="E2781">
        <v>0</v>
      </c>
      <c r="F2781">
        <v>1</v>
      </c>
      <c r="G2781">
        <v>0</v>
      </c>
      <c r="I2781" t="s">
        <v>2818</v>
      </c>
      <c r="N2781">
        <v>0</v>
      </c>
      <c r="O2781">
        <v>0</v>
      </c>
      <c r="P2781">
        <v>1</v>
      </c>
      <c r="Q2781">
        <v>0</v>
      </c>
    </row>
    <row r="2782" spans="1:17" x14ac:dyDescent="0.2">
      <c r="A2782" s="1" t="str">
        <f>HYPERLINK("http://www.twitter.com/Ugo_Roux/status/466926614971162624", "466926614971162624")</f>
        <v>466926614971162624</v>
      </c>
      <c r="B2782" t="s">
        <v>47</v>
      </c>
      <c r="C2782" s="3">
        <v>41774.543449074074</v>
      </c>
      <c r="D2782" s="5" t="s">
        <v>17</v>
      </c>
      <c r="E2782">
        <v>0</v>
      </c>
      <c r="F2782">
        <v>1</v>
      </c>
      <c r="G2782">
        <v>0</v>
      </c>
      <c r="I2782" t="s">
        <v>2819</v>
      </c>
      <c r="N2782">
        <v>0</v>
      </c>
      <c r="O2782">
        <v>0</v>
      </c>
      <c r="P2782">
        <v>1</v>
      </c>
      <c r="Q2782">
        <v>0</v>
      </c>
    </row>
    <row r="2783" spans="1:17" x14ac:dyDescent="0.2">
      <c r="A2783" s="1" t="str">
        <f>HYPERLINK("http://www.twitter.com/Ugo_Roux/status/466889955160375297", "466889955160375297")</f>
        <v>466889955160375297</v>
      </c>
      <c r="B2783" t="s">
        <v>16</v>
      </c>
      <c r="C2783" s="3">
        <v>41774.442291666674</v>
      </c>
      <c r="D2783" s="3" t="s">
        <v>17</v>
      </c>
      <c r="E2783">
        <v>0</v>
      </c>
      <c r="F2783">
        <v>0</v>
      </c>
      <c r="G2783">
        <v>0</v>
      </c>
      <c r="I2783" t="s">
        <v>2820</v>
      </c>
      <c r="J2783" t="str">
        <f>HYPERLINK("http://pbs.twimg.com/media/Bnq58FEIcAAmUqy.jpg", "http://pbs.twimg.com/media/Bnq58FEIcAAmUqy.jpg")</f>
        <v>http://pbs.twimg.com/media/Bnq58FEIcAAmUqy.jpg</v>
      </c>
      <c r="N2783">
        <v>0</v>
      </c>
      <c r="O2783">
        <v>0</v>
      </c>
      <c r="P2783">
        <v>1</v>
      </c>
      <c r="Q2783">
        <v>0</v>
      </c>
    </row>
    <row r="2784" spans="1:17" x14ac:dyDescent="0.2">
      <c r="A2784" s="1" t="str">
        <f>HYPERLINK("http://www.twitter.com/Ugo_Roux/status/466580146389278722", "466580146389278722")</f>
        <v>466580146389278722</v>
      </c>
      <c r="B2784" t="s">
        <v>16</v>
      </c>
      <c r="C2784" s="3">
        <v>41773.587384259263</v>
      </c>
      <c r="D2784" s="3" t="s">
        <v>41</v>
      </c>
      <c r="E2784">
        <v>0</v>
      </c>
      <c r="F2784">
        <v>1</v>
      </c>
      <c r="G2784">
        <v>0</v>
      </c>
      <c r="I2784" t="s">
        <v>2821</v>
      </c>
      <c r="J2784" t="str">
        <f>HYPERLINK("http://pbs.twimg.com/media/BnmgK0LIAAAm97b.jpg", "http://pbs.twimg.com/media/BnmgK0LIAAAm97b.jpg")</f>
        <v>http://pbs.twimg.com/media/BnmgK0LIAAAm97b.jpg</v>
      </c>
      <c r="N2784">
        <v>0</v>
      </c>
      <c r="O2784">
        <v>0</v>
      </c>
      <c r="P2784">
        <v>1</v>
      </c>
      <c r="Q2784">
        <v>0</v>
      </c>
    </row>
    <row r="2785" spans="1:17" x14ac:dyDescent="0.2">
      <c r="A2785" s="1" t="str">
        <f>HYPERLINK("http://www.twitter.com/Ugo_Roux/status/466573524342030337", "466573524342030337")</f>
        <v>466573524342030337</v>
      </c>
      <c r="B2785" t="s">
        <v>47</v>
      </c>
      <c r="C2785" s="3">
        <v>41773.569108796299</v>
      </c>
      <c r="D2785" s="5" t="s">
        <v>28</v>
      </c>
      <c r="E2785">
        <v>0</v>
      </c>
      <c r="F2785">
        <v>1</v>
      </c>
      <c r="G2785">
        <v>0</v>
      </c>
      <c r="I2785" t="s">
        <v>2822</v>
      </c>
      <c r="N2785">
        <v>0</v>
      </c>
      <c r="O2785">
        <v>0</v>
      </c>
      <c r="P2785">
        <v>1</v>
      </c>
      <c r="Q2785">
        <v>0</v>
      </c>
    </row>
    <row r="2786" spans="1:17" x14ac:dyDescent="0.2">
      <c r="A2786" s="1" t="str">
        <f>HYPERLINK("http://www.twitter.com/Ugo_Roux/status/465044354797928448", "465044354797928448")</f>
        <v>465044354797928448</v>
      </c>
      <c r="B2786" t="s">
        <v>47</v>
      </c>
      <c r="C2786" s="3">
        <v>41769.349398148152</v>
      </c>
      <c r="D2786" s="5" t="s">
        <v>17</v>
      </c>
      <c r="E2786">
        <v>2</v>
      </c>
      <c r="F2786">
        <v>4</v>
      </c>
      <c r="G2786">
        <v>0</v>
      </c>
      <c r="I2786" t="s">
        <v>2823</v>
      </c>
      <c r="J2786" t="str">
        <f>HYPERLINK("http://pbs.twimg.com/media/BnQrYDhIIAAFKFk.jpg", "http://pbs.twimg.com/media/BnQrYDhIIAAFKFk.jpg")</f>
        <v>http://pbs.twimg.com/media/BnQrYDhIIAAFKFk.jpg</v>
      </c>
      <c r="N2786">
        <v>0</v>
      </c>
      <c r="O2786">
        <v>0</v>
      </c>
      <c r="P2786">
        <v>1</v>
      </c>
      <c r="Q2786">
        <v>0</v>
      </c>
    </row>
    <row r="2787" spans="1:17" x14ac:dyDescent="0.2">
      <c r="A2787" s="1" t="str">
        <f>HYPERLINK("http://www.twitter.com/Ugo_Roux/status/463707481840287744", "463707481840287744")</f>
        <v>463707481840287744</v>
      </c>
      <c r="B2787" t="s">
        <v>47</v>
      </c>
      <c r="C2787" s="3">
        <v>41765.66033564815</v>
      </c>
      <c r="D2787" s="5" t="s">
        <v>17</v>
      </c>
      <c r="E2787">
        <v>0</v>
      </c>
      <c r="F2787">
        <v>1</v>
      </c>
      <c r="G2787">
        <v>0</v>
      </c>
      <c r="I2787" t="s">
        <v>2824</v>
      </c>
      <c r="N2787">
        <v>0</v>
      </c>
      <c r="O2787">
        <v>0</v>
      </c>
      <c r="P2787">
        <v>1</v>
      </c>
      <c r="Q2787">
        <v>0</v>
      </c>
    </row>
    <row r="2788" spans="1:17" x14ac:dyDescent="0.2">
      <c r="A2788" s="1" t="str">
        <f>HYPERLINK("http://www.twitter.com/Ugo_Roux/status/463699118788206592", "463699118788206592")</f>
        <v>463699118788206592</v>
      </c>
      <c r="B2788" t="s">
        <v>47</v>
      </c>
      <c r="C2788" s="3">
        <v>41765.637256944443</v>
      </c>
      <c r="D2788" s="5" t="s">
        <v>41</v>
      </c>
      <c r="E2788">
        <v>0</v>
      </c>
      <c r="F2788">
        <v>0</v>
      </c>
      <c r="G2788">
        <v>0</v>
      </c>
      <c r="I2788" t="s">
        <v>2825</v>
      </c>
      <c r="N2788">
        <v>0</v>
      </c>
      <c r="O2788">
        <v>0</v>
      </c>
      <c r="P2788">
        <v>1</v>
      </c>
      <c r="Q2788">
        <v>0</v>
      </c>
    </row>
    <row r="2789" spans="1:17" x14ac:dyDescent="0.2">
      <c r="A2789" s="1" t="str">
        <f>HYPERLINK("http://www.twitter.com/Ugo_Roux/status/463632452963942400", "463632452963942400")</f>
        <v>463632452963942400</v>
      </c>
      <c r="B2789" t="s">
        <v>47</v>
      </c>
      <c r="C2789" s="3">
        <v>41765.453298611108</v>
      </c>
      <c r="D2789" s="5" t="s">
        <v>28</v>
      </c>
      <c r="E2789">
        <v>1</v>
      </c>
      <c r="F2789">
        <v>5</v>
      </c>
      <c r="G2789">
        <v>0</v>
      </c>
      <c r="I2789" t="s">
        <v>2826</v>
      </c>
      <c r="N2789">
        <v>0</v>
      </c>
      <c r="O2789">
        <v>0</v>
      </c>
      <c r="P2789">
        <v>1</v>
      </c>
      <c r="Q2789">
        <v>0</v>
      </c>
    </row>
    <row r="2790" spans="1:17" x14ac:dyDescent="0.2">
      <c r="A2790" s="1" t="str">
        <f>HYPERLINK("http://www.twitter.com/Ugo_Roux/status/462583621157941248", "462583621157941248")</f>
        <v>462583621157941248</v>
      </c>
      <c r="B2790" t="s">
        <v>47</v>
      </c>
      <c r="C2790" s="3">
        <v>41762.559074074074</v>
      </c>
      <c r="D2790" s="5" t="s">
        <v>41</v>
      </c>
      <c r="E2790">
        <v>0</v>
      </c>
      <c r="F2790">
        <v>3</v>
      </c>
      <c r="G2790">
        <v>0</v>
      </c>
      <c r="I2790" t="s">
        <v>2827</v>
      </c>
      <c r="N2790">
        <v>0</v>
      </c>
      <c r="O2790">
        <v>0</v>
      </c>
      <c r="P2790">
        <v>1</v>
      </c>
      <c r="Q2790">
        <v>0</v>
      </c>
    </row>
    <row r="2791" spans="1:17" x14ac:dyDescent="0.2">
      <c r="A2791" s="1" t="str">
        <f>HYPERLINK("http://www.twitter.com/Ugo_Roux/status/462239339028959233", "462239339028959233")</f>
        <v>462239339028959233</v>
      </c>
      <c r="B2791" t="s">
        <v>47</v>
      </c>
      <c r="C2791" s="3">
        <v>41761.609039351853</v>
      </c>
      <c r="D2791" s="5" t="s">
        <v>17</v>
      </c>
      <c r="E2791">
        <v>2</v>
      </c>
      <c r="F2791">
        <v>1</v>
      </c>
      <c r="G2791">
        <v>0</v>
      </c>
      <c r="I2791" t="s">
        <v>2828</v>
      </c>
      <c r="N2791">
        <v>0</v>
      </c>
      <c r="O2791">
        <v>0</v>
      </c>
      <c r="P2791">
        <v>1</v>
      </c>
      <c r="Q2791">
        <v>0</v>
      </c>
    </row>
    <row r="2792" spans="1:17" x14ac:dyDescent="0.2">
      <c r="A2792" s="1" t="str">
        <f>HYPERLINK("http://www.twitter.com/Ugo_Roux/status/462239260532559873", "462239260532559873")</f>
        <v>462239260532559873</v>
      </c>
      <c r="B2792" t="s">
        <v>47</v>
      </c>
      <c r="C2792" s="3">
        <v>41761.608819444453</v>
      </c>
      <c r="D2792" s="5" t="s">
        <v>17</v>
      </c>
      <c r="E2792">
        <v>1</v>
      </c>
      <c r="F2792">
        <v>0</v>
      </c>
      <c r="G2792">
        <v>0</v>
      </c>
      <c r="I2792" t="s">
        <v>2829</v>
      </c>
      <c r="N2792">
        <v>0</v>
      </c>
      <c r="O2792">
        <v>0</v>
      </c>
      <c r="P2792">
        <v>1</v>
      </c>
      <c r="Q2792">
        <v>0</v>
      </c>
    </row>
    <row r="2793" spans="1:17" x14ac:dyDescent="0.2">
      <c r="A2793" s="1" t="str">
        <f>HYPERLINK("http://www.twitter.com/Ugo_Roux/status/462187824151003136", "462187824151003136")</f>
        <v>462187824151003136</v>
      </c>
      <c r="B2793" t="s">
        <v>16</v>
      </c>
      <c r="C2793" s="3">
        <v>41761.466874999998</v>
      </c>
      <c r="D2793" s="3" t="s">
        <v>41</v>
      </c>
      <c r="E2793">
        <v>0</v>
      </c>
      <c r="F2793">
        <v>0</v>
      </c>
      <c r="G2793">
        <v>0</v>
      </c>
      <c r="I2793" t="s">
        <v>2830</v>
      </c>
      <c r="N2793">
        <v>0</v>
      </c>
      <c r="O2793">
        <v>0</v>
      </c>
      <c r="P2793">
        <v>1</v>
      </c>
      <c r="Q2793">
        <v>0</v>
      </c>
    </row>
    <row r="2794" spans="1:17" x14ac:dyDescent="0.2">
      <c r="A2794" s="1" t="str">
        <f>HYPERLINK("http://www.twitter.com/Ugo_Roux/status/461060455562506240", "461060455562506240")</f>
        <v>461060455562506240</v>
      </c>
      <c r="B2794" t="s">
        <v>130</v>
      </c>
      <c r="C2794" s="3">
        <v>41758.355937499997</v>
      </c>
      <c r="D2794" s="5" t="s">
        <v>28</v>
      </c>
      <c r="E2794">
        <v>0</v>
      </c>
      <c r="F2794">
        <v>0</v>
      </c>
      <c r="G2794">
        <v>0</v>
      </c>
      <c r="I2794" t="s">
        <v>2831</v>
      </c>
      <c r="N2794">
        <v>0</v>
      </c>
      <c r="O2794">
        <v>0</v>
      </c>
      <c r="P2794">
        <v>1</v>
      </c>
      <c r="Q2794">
        <v>0</v>
      </c>
    </row>
    <row r="2795" spans="1:17" x14ac:dyDescent="0.2">
      <c r="A2795" s="1" t="str">
        <f>HYPERLINK("http://www.twitter.com/Ugo_Roux/status/459634676450091008", "459634676450091008")</f>
        <v>459634676450091008</v>
      </c>
      <c r="B2795" t="s">
        <v>370</v>
      </c>
      <c r="C2795" s="3">
        <v>41754.421539351853</v>
      </c>
      <c r="D2795" s="5" t="s">
        <v>28</v>
      </c>
      <c r="E2795">
        <v>0</v>
      </c>
      <c r="F2795">
        <v>0</v>
      </c>
      <c r="G2795">
        <v>0</v>
      </c>
      <c r="I2795" t="s">
        <v>2832</v>
      </c>
      <c r="N2795">
        <v>0</v>
      </c>
      <c r="O2795">
        <v>0</v>
      </c>
      <c r="P2795">
        <v>1</v>
      </c>
      <c r="Q2795">
        <v>0</v>
      </c>
    </row>
    <row r="2796" spans="1:17" x14ac:dyDescent="0.2">
      <c r="A2796" s="1" t="str">
        <f>HYPERLINK("http://www.twitter.com/Ugo_Roux/status/459634454814662656", "459634454814662656")</f>
        <v>459634454814662656</v>
      </c>
      <c r="B2796" t="s">
        <v>370</v>
      </c>
      <c r="C2796" s="3">
        <v>41754.420925925922</v>
      </c>
      <c r="D2796" s="5" t="s">
        <v>17</v>
      </c>
      <c r="E2796">
        <v>0</v>
      </c>
      <c r="F2796">
        <v>0</v>
      </c>
      <c r="G2796">
        <v>0</v>
      </c>
      <c r="I2796" t="s">
        <v>2833</v>
      </c>
      <c r="N2796">
        <v>0</v>
      </c>
      <c r="O2796">
        <v>0</v>
      </c>
      <c r="P2796">
        <v>1</v>
      </c>
      <c r="Q2796">
        <v>0</v>
      </c>
    </row>
    <row r="2797" spans="1:17" x14ac:dyDescent="0.2">
      <c r="A2797" s="1" t="str">
        <f>HYPERLINK("http://www.twitter.com/Ugo_Roux/status/459632960677756928", "459632960677756928")</f>
        <v>459632960677756928</v>
      </c>
      <c r="B2797" t="s">
        <v>370</v>
      </c>
      <c r="C2797" s="3">
        <v>41754.416805555556</v>
      </c>
      <c r="D2797" s="5" t="s">
        <v>28</v>
      </c>
      <c r="E2797">
        <v>0</v>
      </c>
      <c r="F2797">
        <v>0</v>
      </c>
      <c r="G2797">
        <v>0</v>
      </c>
      <c r="I2797" t="s">
        <v>2834</v>
      </c>
      <c r="N2797">
        <v>0</v>
      </c>
      <c r="O2797">
        <v>0</v>
      </c>
      <c r="P2797">
        <v>1</v>
      </c>
      <c r="Q2797">
        <v>0</v>
      </c>
    </row>
    <row r="2798" spans="1:17" x14ac:dyDescent="0.2">
      <c r="A2798" s="1" t="str">
        <f>HYPERLINK("http://www.twitter.com/Ugo_Roux/status/459345499498508288", "459345499498508288")</f>
        <v>459345499498508288</v>
      </c>
      <c r="B2798" t="s">
        <v>47</v>
      </c>
      <c r="C2798" s="3">
        <v>41753.623553240737</v>
      </c>
      <c r="D2798" s="5" t="s">
        <v>17</v>
      </c>
      <c r="E2798">
        <v>2</v>
      </c>
      <c r="F2798">
        <v>1</v>
      </c>
      <c r="G2798">
        <v>1</v>
      </c>
      <c r="I2798" t="s">
        <v>2835</v>
      </c>
      <c r="N2798">
        <v>0</v>
      </c>
      <c r="O2798">
        <v>0</v>
      </c>
      <c r="P2798">
        <v>1</v>
      </c>
      <c r="Q2798">
        <v>0</v>
      </c>
    </row>
    <row r="2799" spans="1:17" x14ac:dyDescent="0.2">
      <c r="A2799" s="1" t="str">
        <f>HYPERLINK("http://www.twitter.com/Ugo_Roux/status/459297733686206464", "459297733686206464")</f>
        <v>459297733686206464</v>
      </c>
      <c r="B2799" t="s">
        <v>47</v>
      </c>
      <c r="C2799" s="3">
        <v>41753.491747685177</v>
      </c>
      <c r="D2799" s="5" t="s">
        <v>17</v>
      </c>
      <c r="E2799">
        <v>1</v>
      </c>
      <c r="F2799">
        <v>2</v>
      </c>
      <c r="G2799">
        <v>0</v>
      </c>
      <c r="I2799" t="s">
        <v>2836</v>
      </c>
      <c r="N2799">
        <v>0</v>
      </c>
      <c r="O2799">
        <v>0</v>
      </c>
      <c r="P2799">
        <v>1</v>
      </c>
      <c r="Q2799">
        <v>0</v>
      </c>
    </row>
    <row r="2800" spans="1:17" x14ac:dyDescent="0.2">
      <c r="A2800" s="1" t="str">
        <f>HYPERLINK("http://www.twitter.com/Ugo_Roux/status/456396820130705408", "456396820130705408")</f>
        <v>456396820130705408</v>
      </c>
      <c r="B2800" t="s">
        <v>47</v>
      </c>
      <c r="C2800" s="3">
        <v>41745.486759259264</v>
      </c>
      <c r="D2800" s="5" t="s">
        <v>28</v>
      </c>
      <c r="E2800">
        <v>0</v>
      </c>
      <c r="F2800">
        <v>0</v>
      </c>
      <c r="G2800">
        <v>0</v>
      </c>
      <c r="I2800" t="s">
        <v>2837</v>
      </c>
      <c r="N2800">
        <v>0</v>
      </c>
      <c r="O2800">
        <v>0</v>
      </c>
      <c r="P2800">
        <v>1</v>
      </c>
      <c r="Q2800">
        <v>0</v>
      </c>
    </row>
    <row r="2801" spans="1:17" x14ac:dyDescent="0.2">
      <c r="A2801" s="1" t="str">
        <f>HYPERLINK("http://www.twitter.com/Ugo_Roux/status/456355053641936896", "456355053641936896")</f>
        <v>456355053641936896</v>
      </c>
      <c r="B2801" t="s">
        <v>47</v>
      </c>
      <c r="C2801" s="3">
        <v>41745.371504629627</v>
      </c>
      <c r="D2801" s="5" t="s">
        <v>28</v>
      </c>
      <c r="E2801">
        <v>0</v>
      </c>
      <c r="F2801">
        <v>2</v>
      </c>
      <c r="G2801">
        <v>0</v>
      </c>
      <c r="I2801" t="s">
        <v>2838</v>
      </c>
      <c r="N2801">
        <v>0</v>
      </c>
      <c r="O2801">
        <v>0</v>
      </c>
      <c r="P2801">
        <v>1</v>
      </c>
      <c r="Q2801">
        <v>0</v>
      </c>
    </row>
    <row r="2802" spans="1:17" x14ac:dyDescent="0.2">
      <c r="A2802" s="1" t="str">
        <f>HYPERLINK("http://www.twitter.com/Ugo_Roux/status/456037736864964608", "456037736864964608")</f>
        <v>456037736864964608</v>
      </c>
      <c r="B2802" t="s">
        <v>47</v>
      </c>
      <c r="C2802" s="3">
        <v>41744.495868055557</v>
      </c>
      <c r="D2802" s="5" t="s">
        <v>17</v>
      </c>
      <c r="E2802">
        <v>0</v>
      </c>
      <c r="F2802">
        <v>0</v>
      </c>
      <c r="G2802">
        <v>0</v>
      </c>
      <c r="I2802" t="s">
        <v>2839</v>
      </c>
      <c r="N2802">
        <v>0</v>
      </c>
      <c r="O2802">
        <v>0</v>
      </c>
      <c r="P2802">
        <v>1</v>
      </c>
      <c r="Q2802">
        <v>0</v>
      </c>
    </row>
    <row r="2803" spans="1:17" x14ac:dyDescent="0.2">
      <c r="A2803" s="1" t="str">
        <f>HYPERLINK("http://www.twitter.com/Ugo_Roux/status/454597411013677056", "454597411013677056")</f>
        <v>454597411013677056</v>
      </c>
      <c r="B2803" t="s">
        <v>47</v>
      </c>
      <c r="C2803" s="3">
        <v>41740.521331018521</v>
      </c>
      <c r="D2803" s="5" t="s">
        <v>17</v>
      </c>
      <c r="E2803">
        <v>0</v>
      </c>
      <c r="F2803">
        <v>1</v>
      </c>
      <c r="G2803">
        <v>0</v>
      </c>
      <c r="I2803" t="s">
        <v>2840</v>
      </c>
      <c r="N2803">
        <v>0</v>
      </c>
      <c r="O2803">
        <v>0</v>
      </c>
      <c r="P2803">
        <v>1</v>
      </c>
      <c r="Q2803">
        <v>0</v>
      </c>
    </row>
    <row r="2804" spans="1:17" x14ac:dyDescent="0.2">
      <c r="A2804" s="1" t="str">
        <f>HYPERLINK("http://www.twitter.com/Ugo_Roux/status/454209555745210368", "454209555745210368")</f>
        <v>454209555745210368</v>
      </c>
      <c r="B2804" t="s">
        <v>47</v>
      </c>
      <c r="C2804" s="3">
        <v>41739.451053240737</v>
      </c>
      <c r="D2804" s="5" t="s">
        <v>17</v>
      </c>
      <c r="E2804">
        <v>1</v>
      </c>
      <c r="F2804">
        <v>0</v>
      </c>
      <c r="G2804">
        <v>0</v>
      </c>
      <c r="I2804" t="s">
        <v>2841</v>
      </c>
      <c r="N2804">
        <v>0</v>
      </c>
      <c r="O2804">
        <v>0</v>
      </c>
      <c r="P2804">
        <v>1</v>
      </c>
      <c r="Q2804">
        <v>0</v>
      </c>
    </row>
    <row r="2805" spans="1:17" x14ac:dyDescent="0.2">
      <c r="A2805" s="1" t="str">
        <f>HYPERLINK("http://www.twitter.com/Ugo_Roux/status/453927861142192128", "453927861142192128")</f>
        <v>453927861142192128</v>
      </c>
      <c r="B2805" t="s">
        <v>47</v>
      </c>
      <c r="C2805" s="3">
        <v>41738.673726851863</v>
      </c>
      <c r="D2805" s="5" t="s">
        <v>28</v>
      </c>
      <c r="E2805">
        <v>0</v>
      </c>
      <c r="F2805">
        <v>1</v>
      </c>
      <c r="G2805">
        <v>0</v>
      </c>
      <c r="I2805" t="s">
        <v>2842</v>
      </c>
      <c r="N2805">
        <v>0</v>
      </c>
      <c r="O2805">
        <v>0</v>
      </c>
      <c r="P2805">
        <v>1</v>
      </c>
      <c r="Q2805">
        <v>0</v>
      </c>
    </row>
    <row r="2806" spans="1:17" x14ac:dyDescent="0.2">
      <c r="A2806" s="1" t="str">
        <f>HYPERLINK("http://www.twitter.com/Ugo_Roux/status/453858917043687424", "453858917043687424")</f>
        <v>453858917043687424</v>
      </c>
      <c r="B2806" t="s">
        <v>47</v>
      </c>
      <c r="C2806" s="3">
        <v>41738.483472222222</v>
      </c>
      <c r="D2806" s="5" t="s">
        <v>17</v>
      </c>
      <c r="E2806">
        <v>0</v>
      </c>
      <c r="F2806">
        <v>0</v>
      </c>
      <c r="G2806">
        <v>0</v>
      </c>
      <c r="I2806" t="s">
        <v>2843</v>
      </c>
      <c r="N2806">
        <v>0</v>
      </c>
      <c r="O2806">
        <v>0</v>
      </c>
      <c r="P2806">
        <v>1</v>
      </c>
      <c r="Q2806">
        <v>0</v>
      </c>
    </row>
    <row r="2807" spans="1:17" x14ac:dyDescent="0.2">
      <c r="A2807" s="1" t="str">
        <f>HYPERLINK("http://www.twitter.com/Ugo_Roux/status/453535846197919745", "453535846197919745")</f>
        <v>453535846197919745</v>
      </c>
      <c r="B2807" t="s">
        <v>47</v>
      </c>
      <c r="C2807" s="3">
        <v>41737.591967592591</v>
      </c>
      <c r="D2807" s="5" t="s">
        <v>17</v>
      </c>
      <c r="E2807">
        <v>0</v>
      </c>
      <c r="F2807">
        <v>1</v>
      </c>
      <c r="G2807">
        <v>1</v>
      </c>
      <c r="I2807" t="s">
        <v>2844</v>
      </c>
      <c r="N2807">
        <v>0</v>
      </c>
      <c r="O2807">
        <v>0</v>
      </c>
      <c r="P2807">
        <v>1</v>
      </c>
      <c r="Q2807">
        <v>0</v>
      </c>
    </row>
    <row r="2808" spans="1:17" x14ac:dyDescent="0.2">
      <c r="A2808" s="1" t="str">
        <f>HYPERLINK("http://www.twitter.com/Ugo_Roux/status/452429382700007425", "452429382700007425")</f>
        <v>452429382700007425</v>
      </c>
      <c r="B2808" t="s">
        <v>47</v>
      </c>
      <c r="C2808" s="3">
        <v>41734.538715277777</v>
      </c>
      <c r="D2808" s="5" t="s">
        <v>17</v>
      </c>
      <c r="E2808">
        <v>0</v>
      </c>
      <c r="F2808">
        <v>2</v>
      </c>
      <c r="G2808">
        <v>0</v>
      </c>
      <c r="I2808" t="s">
        <v>2845</v>
      </c>
      <c r="N2808">
        <v>0</v>
      </c>
      <c r="O2808">
        <v>0</v>
      </c>
      <c r="P2808">
        <v>1</v>
      </c>
      <c r="Q2808">
        <v>0</v>
      </c>
    </row>
    <row r="2809" spans="1:17" x14ac:dyDescent="0.2">
      <c r="A2809" s="1" t="str">
        <f>HYPERLINK("http://www.twitter.com/Ugo_Roux/status/452101845591556098", "452101845591556098")</f>
        <v>452101845591556098</v>
      </c>
      <c r="B2809" t="s">
        <v>47</v>
      </c>
      <c r="C2809" s="3">
        <v>41733.634884259263</v>
      </c>
      <c r="D2809" s="5" t="s">
        <v>17</v>
      </c>
      <c r="E2809">
        <v>0</v>
      </c>
      <c r="F2809">
        <v>0</v>
      </c>
      <c r="G2809">
        <v>0</v>
      </c>
      <c r="I2809" t="s">
        <v>2846</v>
      </c>
      <c r="N2809">
        <v>0</v>
      </c>
      <c r="O2809">
        <v>0</v>
      </c>
      <c r="P2809">
        <v>1</v>
      </c>
      <c r="Q2809">
        <v>0</v>
      </c>
    </row>
    <row r="2810" spans="1:17" x14ac:dyDescent="0.2">
      <c r="A2810" s="1" t="str">
        <f>HYPERLINK("http://www.twitter.com/Ugo_Roux/status/452088029566365697", "452088029566365697")</f>
        <v>452088029566365697</v>
      </c>
      <c r="B2810" t="s">
        <v>47</v>
      </c>
      <c r="C2810" s="3">
        <v>41733.596759259257</v>
      </c>
      <c r="D2810" s="5" t="s">
        <v>17</v>
      </c>
      <c r="E2810">
        <v>0</v>
      </c>
      <c r="F2810">
        <v>0</v>
      </c>
      <c r="G2810">
        <v>0</v>
      </c>
      <c r="I2810" t="s">
        <v>2847</v>
      </c>
      <c r="N2810">
        <v>0</v>
      </c>
      <c r="O2810">
        <v>0</v>
      </c>
      <c r="P2810">
        <v>1</v>
      </c>
      <c r="Q2810">
        <v>0</v>
      </c>
    </row>
    <row r="2811" spans="1:17" x14ac:dyDescent="0.2">
      <c r="A2811" s="1" t="str">
        <f>HYPERLINK("http://www.twitter.com/Ugo_Roux/status/452066284189282304", "452066284189282304")</f>
        <v>452066284189282304</v>
      </c>
      <c r="B2811" t="s">
        <v>47</v>
      </c>
      <c r="C2811" s="3">
        <v>41733.536747685182</v>
      </c>
      <c r="D2811" s="5" t="s">
        <v>41</v>
      </c>
      <c r="E2811">
        <v>1</v>
      </c>
      <c r="F2811">
        <v>0</v>
      </c>
      <c r="G2811">
        <v>0</v>
      </c>
      <c r="I2811" t="s">
        <v>2848</v>
      </c>
      <c r="N2811">
        <v>0</v>
      </c>
      <c r="O2811">
        <v>0</v>
      </c>
      <c r="P2811">
        <v>1</v>
      </c>
      <c r="Q2811">
        <v>0</v>
      </c>
    </row>
    <row r="2812" spans="1:17" x14ac:dyDescent="0.2">
      <c r="A2812" s="1" t="str">
        <f>HYPERLINK("http://www.twitter.com/Ugo_Roux/status/451008795268112384", "451008795268112384")</f>
        <v>451008795268112384</v>
      </c>
      <c r="B2812" t="s">
        <v>47</v>
      </c>
      <c r="C2812" s="3">
        <v>41730.618634259263</v>
      </c>
      <c r="D2812" s="5" t="s">
        <v>17</v>
      </c>
      <c r="E2812">
        <v>0</v>
      </c>
      <c r="F2812">
        <v>0</v>
      </c>
      <c r="G2812">
        <v>0</v>
      </c>
      <c r="I2812" t="s">
        <v>2849</v>
      </c>
      <c r="N2812">
        <v>0</v>
      </c>
      <c r="O2812">
        <v>0</v>
      </c>
      <c r="P2812">
        <v>1</v>
      </c>
      <c r="Q2812">
        <v>0</v>
      </c>
    </row>
    <row r="2813" spans="1:17" x14ac:dyDescent="0.2">
      <c r="A2813" s="1" t="str">
        <f>HYPERLINK("http://www.twitter.com/Ugo_Roux/status/449595633167777792", "449595633167777792")</f>
        <v>449595633167777792</v>
      </c>
      <c r="B2813" t="s">
        <v>47</v>
      </c>
      <c r="C2813" s="3">
        <v>41726.719050925924</v>
      </c>
      <c r="D2813" s="5" t="s">
        <v>17</v>
      </c>
      <c r="E2813">
        <v>0</v>
      </c>
      <c r="F2813">
        <v>0</v>
      </c>
      <c r="G2813">
        <v>0</v>
      </c>
      <c r="I2813" t="s">
        <v>2850</v>
      </c>
      <c r="N2813">
        <v>0</v>
      </c>
      <c r="O2813">
        <v>0</v>
      </c>
      <c r="P2813">
        <v>1</v>
      </c>
      <c r="Q2813">
        <v>0</v>
      </c>
    </row>
    <row r="2814" spans="1:17" x14ac:dyDescent="0.2">
      <c r="A2814" s="1" t="str">
        <f>HYPERLINK("http://www.twitter.com/Ugo_Roux/status/449595578306281473", "449595578306281473")</f>
        <v>449595578306281473</v>
      </c>
      <c r="B2814" t="s">
        <v>47</v>
      </c>
      <c r="C2814" s="3">
        <v>41726.718900462962</v>
      </c>
      <c r="D2814" s="5" t="s">
        <v>17</v>
      </c>
      <c r="E2814">
        <v>0</v>
      </c>
      <c r="F2814">
        <v>0</v>
      </c>
      <c r="G2814">
        <v>0</v>
      </c>
      <c r="I2814" t="s">
        <v>2851</v>
      </c>
      <c r="N2814">
        <v>0</v>
      </c>
      <c r="O2814">
        <v>0</v>
      </c>
      <c r="P2814">
        <v>1</v>
      </c>
      <c r="Q2814">
        <v>0</v>
      </c>
    </row>
    <row r="2815" spans="1:17" x14ac:dyDescent="0.2">
      <c r="A2815" s="1" t="str">
        <f>HYPERLINK("http://www.twitter.com/Ugo_Roux/status/448440086712307712", "448440086712307712")</f>
        <v>448440086712307712</v>
      </c>
      <c r="B2815" t="s">
        <v>47</v>
      </c>
      <c r="C2815" s="3">
        <v>41723.530347222222</v>
      </c>
      <c r="D2815" s="5" t="s">
        <v>17</v>
      </c>
      <c r="E2815">
        <v>1</v>
      </c>
      <c r="F2815">
        <v>0</v>
      </c>
      <c r="G2815">
        <v>0</v>
      </c>
      <c r="I2815" t="s">
        <v>2852</v>
      </c>
      <c r="N2815">
        <v>0</v>
      </c>
      <c r="O2815">
        <v>0</v>
      </c>
      <c r="P2815">
        <v>1</v>
      </c>
      <c r="Q2815">
        <v>0</v>
      </c>
    </row>
    <row r="2816" spans="1:17" x14ac:dyDescent="0.2">
      <c r="A2816" s="1" t="str">
        <f>HYPERLINK("http://www.twitter.com/Ugo_Roux/status/447069051538644992", "447069051538644992")</f>
        <v>447069051538644992</v>
      </c>
      <c r="B2816" t="s">
        <v>47</v>
      </c>
      <c r="C2816" s="3">
        <v>41719.747013888889</v>
      </c>
      <c r="D2816" s="5" t="s">
        <v>17</v>
      </c>
      <c r="E2816">
        <v>0</v>
      </c>
      <c r="F2816">
        <v>0</v>
      </c>
      <c r="G2816">
        <v>0</v>
      </c>
      <c r="I2816" t="s">
        <v>2853</v>
      </c>
      <c r="N2816">
        <v>0</v>
      </c>
      <c r="O2816">
        <v>0</v>
      </c>
      <c r="P2816">
        <v>1</v>
      </c>
      <c r="Q2816">
        <v>0</v>
      </c>
    </row>
    <row r="2817" spans="1:17" x14ac:dyDescent="0.2">
      <c r="A2817" s="1" t="str">
        <f>HYPERLINK("http://www.twitter.com/Ugo_Roux/status/445956855396052992", "445956855396052992")</f>
        <v>445956855396052992</v>
      </c>
      <c r="B2817" t="s">
        <v>47</v>
      </c>
      <c r="C2817" s="3">
        <v>41716.677939814806</v>
      </c>
      <c r="D2817" s="5" t="s">
        <v>28</v>
      </c>
      <c r="E2817">
        <v>0</v>
      </c>
      <c r="F2817">
        <v>0</v>
      </c>
      <c r="G2817">
        <v>0</v>
      </c>
      <c r="I2817" t="s">
        <v>2854</v>
      </c>
      <c r="N2817">
        <v>0</v>
      </c>
      <c r="O2817">
        <v>0</v>
      </c>
      <c r="P2817">
        <v>1</v>
      </c>
      <c r="Q2817">
        <v>0</v>
      </c>
    </row>
    <row r="2818" spans="1:17" x14ac:dyDescent="0.2">
      <c r="A2818" s="1" t="str">
        <f>HYPERLINK("http://www.twitter.com/Ugo_Roux/status/445924225518276608", "445924225518276608")</f>
        <v>445924225518276608</v>
      </c>
      <c r="B2818" t="s">
        <v>97</v>
      </c>
      <c r="C2818" s="3">
        <v>41716.587893518517</v>
      </c>
      <c r="D2818" s="5" t="s">
        <v>17</v>
      </c>
      <c r="E2818">
        <v>0</v>
      </c>
      <c r="F2818">
        <v>0</v>
      </c>
      <c r="G2818">
        <v>0</v>
      </c>
      <c r="I2818" t="s">
        <v>2855</v>
      </c>
      <c r="N2818">
        <v>0</v>
      </c>
      <c r="O2818">
        <v>0</v>
      </c>
      <c r="P2818">
        <v>1</v>
      </c>
      <c r="Q2818">
        <v>0</v>
      </c>
    </row>
    <row r="2819" spans="1:17" x14ac:dyDescent="0.2">
      <c r="A2819" s="1" t="str">
        <f>HYPERLINK("http://www.twitter.com/Ugo_Roux/status/445885678304243712", "445885678304243712")</f>
        <v>445885678304243712</v>
      </c>
      <c r="B2819" t="s">
        <v>97</v>
      </c>
      <c r="C2819" s="3">
        <v>41716.481527777767</v>
      </c>
      <c r="D2819" s="5" t="s">
        <v>41</v>
      </c>
      <c r="E2819">
        <v>0</v>
      </c>
      <c r="F2819">
        <v>0</v>
      </c>
      <c r="G2819">
        <v>0</v>
      </c>
      <c r="I2819" t="s">
        <v>2856</v>
      </c>
      <c r="N2819">
        <v>0</v>
      </c>
      <c r="O2819">
        <v>0</v>
      </c>
      <c r="P2819">
        <v>1</v>
      </c>
      <c r="Q2819">
        <v>0</v>
      </c>
    </row>
    <row r="2820" spans="1:17" x14ac:dyDescent="0.2">
      <c r="A2820" s="1" t="str">
        <f>HYPERLINK("http://www.twitter.com/Ugo_Roux/status/441187731444473856", "441187731444473856")</f>
        <v>441187731444473856</v>
      </c>
      <c r="B2820" t="s">
        <v>47</v>
      </c>
      <c r="C2820" s="3">
        <v>41703.51766203704</v>
      </c>
      <c r="D2820" s="5" t="s">
        <v>28</v>
      </c>
      <c r="E2820">
        <v>2</v>
      </c>
      <c r="F2820">
        <v>1</v>
      </c>
      <c r="G2820">
        <v>0</v>
      </c>
      <c r="I2820" t="s">
        <v>2857</v>
      </c>
      <c r="N2820">
        <v>0</v>
      </c>
      <c r="O2820">
        <v>0</v>
      </c>
      <c r="P2820">
        <v>1</v>
      </c>
      <c r="Q2820">
        <v>0</v>
      </c>
    </row>
    <row r="2821" spans="1:17" x14ac:dyDescent="0.2">
      <c r="A2821" s="1" t="str">
        <f>HYPERLINK("http://www.twitter.com/Ugo_Roux/status/441151476715360257", "441151476715360257")</f>
        <v>441151476715360257</v>
      </c>
      <c r="B2821" t="s">
        <v>47</v>
      </c>
      <c r="C2821" s="3">
        <v>41703.417615740742</v>
      </c>
      <c r="D2821" s="5" t="s">
        <v>17</v>
      </c>
      <c r="E2821">
        <v>0</v>
      </c>
      <c r="F2821">
        <v>0</v>
      </c>
      <c r="G2821">
        <v>0</v>
      </c>
      <c r="I2821" t="s">
        <v>2858</v>
      </c>
      <c r="N2821">
        <v>0</v>
      </c>
      <c r="O2821">
        <v>0</v>
      </c>
      <c r="P2821">
        <v>1</v>
      </c>
      <c r="Q2821">
        <v>0</v>
      </c>
    </row>
    <row r="2822" spans="1:17" x14ac:dyDescent="0.2">
      <c r="A2822" s="1" t="str">
        <f>HYPERLINK("http://www.twitter.com/Ugo_Roux/status/439734966985842688", "439734966985842688")</f>
        <v>439734966985842688</v>
      </c>
      <c r="B2822" t="s">
        <v>47</v>
      </c>
      <c r="C2822" s="3">
        <v>41699.508796296293</v>
      </c>
      <c r="D2822" s="5" t="s">
        <v>17</v>
      </c>
      <c r="E2822">
        <v>0</v>
      </c>
      <c r="F2822">
        <v>1</v>
      </c>
      <c r="G2822">
        <v>0</v>
      </c>
      <c r="I2822" t="s">
        <v>2859</v>
      </c>
      <c r="N2822">
        <v>0</v>
      </c>
      <c r="O2822">
        <v>0</v>
      </c>
      <c r="P2822">
        <v>1</v>
      </c>
      <c r="Q2822">
        <v>0</v>
      </c>
    </row>
    <row r="2823" spans="1:17" x14ac:dyDescent="0.2">
      <c r="A2823" s="1" t="str">
        <f>HYPERLINK("http://www.twitter.com/Ugo_Roux/status/439432984114896896", "439432984114896896")</f>
        <v>439432984114896896</v>
      </c>
      <c r="B2823" t="s">
        <v>47</v>
      </c>
      <c r="C2823" s="3">
        <v>41698.675486111111</v>
      </c>
      <c r="D2823" s="5" t="s">
        <v>17</v>
      </c>
      <c r="E2823">
        <v>0</v>
      </c>
      <c r="F2823">
        <v>2</v>
      </c>
      <c r="G2823">
        <v>0</v>
      </c>
      <c r="I2823" t="s">
        <v>2860</v>
      </c>
      <c r="N2823">
        <v>0</v>
      </c>
      <c r="O2823">
        <v>0</v>
      </c>
      <c r="P2823">
        <v>1</v>
      </c>
      <c r="Q2823">
        <v>0</v>
      </c>
    </row>
    <row r="2824" spans="1:17" x14ac:dyDescent="0.2">
      <c r="A2824" s="1" t="str">
        <f>HYPERLINK("http://www.twitter.com/Ugo_Roux/status/438689766725677056", "438689766725677056")</f>
        <v>438689766725677056</v>
      </c>
      <c r="B2824" t="s">
        <v>130</v>
      </c>
      <c r="C2824" s="3">
        <v>41696.624594907407</v>
      </c>
      <c r="D2824" s="5" t="s">
        <v>17</v>
      </c>
      <c r="E2824">
        <v>0</v>
      </c>
      <c r="F2824">
        <v>0</v>
      </c>
      <c r="G2824">
        <v>0</v>
      </c>
      <c r="I2824" t="s">
        <v>2861</v>
      </c>
      <c r="N2824">
        <v>0</v>
      </c>
      <c r="O2824">
        <v>0</v>
      </c>
      <c r="P2824">
        <v>1</v>
      </c>
      <c r="Q2824">
        <v>0</v>
      </c>
    </row>
    <row r="2825" spans="1:17" x14ac:dyDescent="0.2">
      <c r="A2825" s="1" t="str">
        <f>HYPERLINK("http://www.twitter.com/Ugo_Roux/status/437156845296574464", "437156845296574464")</f>
        <v>437156845296574464</v>
      </c>
      <c r="B2825" t="s">
        <v>130</v>
      </c>
      <c r="C2825" s="3">
        <v>41692.394537037027</v>
      </c>
      <c r="D2825" s="5" t="s">
        <v>28</v>
      </c>
      <c r="E2825">
        <v>0</v>
      </c>
      <c r="F2825">
        <v>0</v>
      </c>
      <c r="G2825">
        <v>0</v>
      </c>
      <c r="I2825" t="s">
        <v>2862</v>
      </c>
      <c r="N2825">
        <v>0</v>
      </c>
      <c r="O2825">
        <v>0</v>
      </c>
      <c r="P2825">
        <v>1</v>
      </c>
      <c r="Q2825">
        <v>0</v>
      </c>
    </row>
    <row r="2826" spans="1:17" x14ac:dyDescent="0.2">
      <c r="A2826" s="1" t="str">
        <f>HYPERLINK("http://www.twitter.com/Ugo_Roux/status/436911277672108032", "436911277672108032")</f>
        <v>436911277672108032</v>
      </c>
      <c r="B2826" t="s">
        <v>47</v>
      </c>
      <c r="C2826" s="3">
        <v>41691.716898148137</v>
      </c>
      <c r="D2826" s="5" t="s">
        <v>17</v>
      </c>
      <c r="E2826">
        <v>1</v>
      </c>
      <c r="F2826">
        <v>3</v>
      </c>
      <c r="G2826">
        <v>0</v>
      </c>
      <c r="I2826" t="s">
        <v>2863</v>
      </c>
      <c r="N2826">
        <v>0</v>
      </c>
      <c r="O2826">
        <v>0</v>
      </c>
      <c r="P2826">
        <v>1</v>
      </c>
      <c r="Q2826">
        <v>0</v>
      </c>
    </row>
    <row r="2827" spans="1:17" x14ac:dyDescent="0.2">
      <c r="A2827" s="1" t="str">
        <f>HYPERLINK("http://www.twitter.com/Ugo_Roux/status/436526736381972480", "436526736381972480")</f>
        <v>436526736381972480</v>
      </c>
      <c r="B2827" t="s">
        <v>370</v>
      </c>
      <c r="C2827" s="3">
        <v>41690.655763888892</v>
      </c>
      <c r="D2827" s="5" t="s">
        <v>625</v>
      </c>
      <c r="E2827">
        <v>0</v>
      </c>
      <c r="F2827">
        <v>0</v>
      </c>
      <c r="G2827">
        <v>0</v>
      </c>
      <c r="I2827" t="s">
        <v>2864</v>
      </c>
      <c r="N2827">
        <v>0</v>
      </c>
      <c r="O2827">
        <v>0</v>
      </c>
      <c r="P2827">
        <v>1</v>
      </c>
      <c r="Q2827">
        <v>0</v>
      </c>
    </row>
    <row r="2828" spans="1:17" x14ac:dyDescent="0.2">
      <c r="A2828" s="1" t="str">
        <f>HYPERLINK("http://www.twitter.com/Ugo_Roux/status/436143881545986048", "436143881545986048")</f>
        <v>436143881545986048</v>
      </c>
      <c r="B2828" t="s">
        <v>47</v>
      </c>
      <c r="C2828" s="3">
        <v>41689.599293981482</v>
      </c>
      <c r="D2828" s="5" t="s">
        <v>41</v>
      </c>
      <c r="E2828">
        <v>0</v>
      </c>
      <c r="F2828">
        <v>0</v>
      </c>
      <c r="G2828">
        <v>0</v>
      </c>
      <c r="I2828" t="s">
        <v>2865</v>
      </c>
      <c r="N2828">
        <v>0</v>
      </c>
      <c r="O2828">
        <v>0</v>
      </c>
      <c r="P2828">
        <v>1</v>
      </c>
      <c r="Q2828">
        <v>0</v>
      </c>
    </row>
    <row r="2829" spans="1:17" x14ac:dyDescent="0.2">
      <c r="A2829" s="1" t="str">
        <f>HYPERLINK("http://www.twitter.com/Ugo_Roux/status/436139162069389312", "436139162069389312")</f>
        <v>436139162069389312</v>
      </c>
      <c r="B2829" t="s">
        <v>47</v>
      </c>
      <c r="C2829" s="3">
        <v>41689.586261574077</v>
      </c>
      <c r="D2829" s="5" t="s">
        <v>17</v>
      </c>
      <c r="E2829">
        <v>0</v>
      </c>
      <c r="F2829">
        <v>0</v>
      </c>
      <c r="G2829">
        <v>0</v>
      </c>
      <c r="I2829" t="s">
        <v>2866</v>
      </c>
      <c r="N2829">
        <v>0</v>
      </c>
      <c r="O2829">
        <v>0</v>
      </c>
      <c r="P2829">
        <v>1</v>
      </c>
      <c r="Q2829">
        <v>0</v>
      </c>
    </row>
    <row r="2830" spans="1:17" x14ac:dyDescent="0.2">
      <c r="A2830" s="1" t="str">
        <f>HYPERLINK("http://www.twitter.com/Ugo_Roux/status/436138938739093504", "436138938739093504")</f>
        <v>436138938739093504</v>
      </c>
      <c r="B2830" t="s">
        <v>47</v>
      </c>
      <c r="C2830" s="3">
        <v>41689.585648148153</v>
      </c>
      <c r="D2830" s="5" t="s">
        <v>17</v>
      </c>
      <c r="E2830">
        <v>0</v>
      </c>
      <c r="F2830">
        <v>0</v>
      </c>
      <c r="G2830">
        <v>0</v>
      </c>
      <c r="I2830" t="s">
        <v>2867</v>
      </c>
      <c r="N2830">
        <v>0</v>
      </c>
      <c r="O2830">
        <v>0</v>
      </c>
      <c r="P2830">
        <v>1</v>
      </c>
      <c r="Q2830">
        <v>0</v>
      </c>
    </row>
    <row r="2831" spans="1:17" x14ac:dyDescent="0.2">
      <c r="A2831" s="1" t="str">
        <f>HYPERLINK("http://www.twitter.com/Ugo_Roux/status/436138014188638209", "436138014188638209")</f>
        <v>436138014188638209</v>
      </c>
      <c r="B2831" t="s">
        <v>47</v>
      </c>
      <c r="C2831" s="3">
        <v>41689.583101851851</v>
      </c>
      <c r="D2831" s="5" t="s">
        <v>17</v>
      </c>
      <c r="E2831">
        <v>2</v>
      </c>
      <c r="F2831">
        <v>0</v>
      </c>
      <c r="G2831">
        <v>0</v>
      </c>
      <c r="I2831" t="s">
        <v>2868</v>
      </c>
      <c r="N2831">
        <v>0</v>
      </c>
      <c r="O2831">
        <v>0</v>
      </c>
      <c r="P2831">
        <v>1</v>
      </c>
      <c r="Q2831">
        <v>0</v>
      </c>
    </row>
    <row r="2832" spans="1:17" x14ac:dyDescent="0.2">
      <c r="A2832" s="1" t="str">
        <f>HYPERLINK("http://www.twitter.com/Ugo_Roux/status/436135834165604352", "436135834165604352")</f>
        <v>436135834165604352</v>
      </c>
      <c r="B2832" t="s">
        <v>47</v>
      </c>
      <c r="C2832" s="3">
        <v>41689.57708333333</v>
      </c>
      <c r="D2832" s="5" t="s">
        <v>17</v>
      </c>
      <c r="E2832">
        <v>0</v>
      </c>
      <c r="F2832">
        <v>0</v>
      </c>
      <c r="G2832">
        <v>0</v>
      </c>
      <c r="I2832" t="s">
        <v>2869</v>
      </c>
      <c r="N2832">
        <v>0</v>
      </c>
      <c r="O2832">
        <v>0</v>
      </c>
      <c r="P2832">
        <v>1</v>
      </c>
      <c r="Q2832">
        <v>0</v>
      </c>
    </row>
    <row r="2833" spans="1:17" x14ac:dyDescent="0.2">
      <c r="A2833" s="1" t="str">
        <f>HYPERLINK("http://www.twitter.com/Ugo_Roux/status/435804625288302597", "435804625288302597")</f>
        <v>435804625288302597</v>
      </c>
      <c r="B2833" t="s">
        <v>130</v>
      </c>
      <c r="C2833" s="3">
        <v>41688.663124999999</v>
      </c>
      <c r="D2833" s="5" t="s">
        <v>28</v>
      </c>
      <c r="E2833">
        <v>0</v>
      </c>
      <c r="F2833">
        <v>1</v>
      </c>
      <c r="G2833">
        <v>0</v>
      </c>
      <c r="I2833" t="s">
        <v>2870</v>
      </c>
      <c r="N2833">
        <v>0</v>
      </c>
      <c r="O2833">
        <v>0</v>
      </c>
      <c r="P2833">
        <v>1</v>
      </c>
      <c r="Q2833">
        <v>0</v>
      </c>
    </row>
    <row r="2834" spans="1:17" x14ac:dyDescent="0.2">
      <c r="A2834" s="1" t="str">
        <f>HYPERLINK("http://www.twitter.com/Ugo_Roux/status/435800532490657792", "435800532490657792")</f>
        <v>435800532490657792</v>
      </c>
      <c r="B2834" t="s">
        <v>130</v>
      </c>
      <c r="C2834" s="3">
        <v>41688.651828703703</v>
      </c>
      <c r="D2834" s="5" t="s">
        <v>28</v>
      </c>
      <c r="E2834">
        <v>0</v>
      </c>
      <c r="F2834">
        <v>0</v>
      </c>
      <c r="G2834">
        <v>0</v>
      </c>
      <c r="I2834" t="s">
        <v>2871</v>
      </c>
      <c r="N2834">
        <v>0</v>
      </c>
      <c r="O2834">
        <v>0</v>
      </c>
      <c r="P2834">
        <v>1</v>
      </c>
      <c r="Q2834">
        <v>0</v>
      </c>
    </row>
    <row r="2835" spans="1:17" x14ac:dyDescent="0.2">
      <c r="A2835" s="1" t="str">
        <f>HYPERLINK("http://www.twitter.com/Ugo_Roux/status/435760272087973888", "435760272087973888")</f>
        <v>435760272087973888</v>
      </c>
      <c r="B2835" t="s">
        <v>47</v>
      </c>
      <c r="C2835" s="3">
        <v>41688.540729166663</v>
      </c>
      <c r="D2835" s="5" t="s">
        <v>17</v>
      </c>
      <c r="E2835">
        <v>0</v>
      </c>
      <c r="F2835">
        <v>0</v>
      </c>
      <c r="G2835">
        <v>0</v>
      </c>
      <c r="I2835" t="s">
        <v>2872</v>
      </c>
      <c r="N2835">
        <v>0</v>
      </c>
      <c r="O2835">
        <v>0</v>
      </c>
      <c r="P2835">
        <v>1</v>
      </c>
      <c r="Q2835">
        <v>0</v>
      </c>
    </row>
    <row r="2836" spans="1:17" x14ac:dyDescent="0.2">
      <c r="A2836" s="1" t="str">
        <f>HYPERLINK("http://www.twitter.com/Ugo_Roux/status/434632273715949569", "434632273715949569")</f>
        <v>434632273715949569</v>
      </c>
      <c r="B2836" t="s">
        <v>47</v>
      </c>
      <c r="C2836" s="3">
        <v>41685.428043981483</v>
      </c>
      <c r="D2836" s="5" t="s">
        <v>17</v>
      </c>
      <c r="E2836">
        <v>0</v>
      </c>
      <c r="F2836">
        <v>0</v>
      </c>
      <c r="G2836">
        <v>0</v>
      </c>
      <c r="I2836" t="s">
        <v>2873</v>
      </c>
      <c r="N2836">
        <v>0</v>
      </c>
      <c r="O2836">
        <v>0</v>
      </c>
      <c r="P2836">
        <v>1</v>
      </c>
      <c r="Q2836">
        <v>0</v>
      </c>
    </row>
    <row r="2837" spans="1:17" x14ac:dyDescent="0.2">
      <c r="A2837" s="1" t="str">
        <f>HYPERLINK("http://www.twitter.com/Ugo_Roux/status/434339433232744448", "434339433232744448")</f>
        <v>434339433232744448</v>
      </c>
      <c r="B2837" t="s">
        <v>97</v>
      </c>
      <c r="C2837" s="3">
        <v>41684.61996527778</v>
      </c>
      <c r="D2837" s="5" t="s">
        <v>24</v>
      </c>
      <c r="E2837">
        <v>0</v>
      </c>
      <c r="F2837">
        <v>0</v>
      </c>
      <c r="G2837">
        <v>0</v>
      </c>
      <c r="I2837" t="s">
        <v>2874</v>
      </c>
      <c r="N2837">
        <v>0</v>
      </c>
      <c r="O2837">
        <v>0</v>
      </c>
      <c r="P2837">
        <v>1</v>
      </c>
      <c r="Q2837">
        <v>0</v>
      </c>
    </row>
    <row r="2838" spans="1:17" x14ac:dyDescent="0.2">
      <c r="A2838" s="1" t="str">
        <f>HYPERLINK("http://www.twitter.com/Ugo_Roux/status/434327388076257281", "434327388076257281")</f>
        <v>434327388076257281</v>
      </c>
      <c r="B2838" t="s">
        <v>47</v>
      </c>
      <c r="C2838" s="3">
        <v>41684.586724537039</v>
      </c>
      <c r="D2838" s="5" t="s">
        <v>17</v>
      </c>
      <c r="E2838">
        <v>0</v>
      </c>
      <c r="F2838">
        <v>1</v>
      </c>
      <c r="G2838">
        <v>0</v>
      </c>
      <c r="I2838" t="s">
        <v>2875</v>
      </c>
      <c r="N2838">
        <v>0</v>
      </c>
      <c r="O2838">
        <v>0</v>
      </c>
      <c r="P2838">
        <v>1</v>
      </c>
      <c r="Q2838">
        <v>0</v>
      </c>
    </row>
    <row r="2839" spans="1:17" x14ac:dyDescent="0.2">
      <c r="A2839" s="1" t="str">
        <f>HYPERLINK("http://www.twitter.com/Ugo_Roux/status/434012492436492288", "434012492436492288")</f>
        <v>434012492436492288</v>
      </c>
      <c r="B2839" t="s">
        <v>47</v>
      </c>
      <c r="C2839" s="3">
        <v>41683.717777777783</v>
      </c>
      <c r="D2839" s="5" t="s">
        <v>17</v>
      </c>
      <c r="E2839">
        <v>0</v>
      </c>
      <c r="F2839">
        <v>0</v>
      </c>
      <c r="G2839">
        <v>0</v>
      </c>
      <c r="I2839" t="s">
        <v>2876</v>
      </c>
      <c r="N2839">
        <v>0.45879999999999999</v>
      </c>
      <c r="O2839">
        <v>0</v>
      </c>
      <c r="P2839">
        <v>0.82399999999999995</v>
      </c>
      <c r="Q2839">
        <v>0.17599999999999999</v>
      </c>
    </row>
    <row r="2840" spans="1:17" x14ac:dyDescent="0.2">
      <c r="A2840" s="1" t="str">
        <f>HYPERLINK("http://www.twitter.com/Ugo_Roux/status/432145167462989825", "432145167462989825")</f>
        <v>432145167462989825</v>
      </c>
      <c r="B2840" t="s">
        <v>130</v>
      </c>
      <c r="C2840" s="3">
        <v>41678.564942129633</v>
      </c>
      <c r="D2840" s="5" t="s">
        <v>41</v>
      </c>
      <c r="E2840">
        <v>0</v>
      </c>
      <c r="F2840">
        <v>0</v>
      </c>
      <c r="G2840">
        <v>0</v>
      </c>
      <c r="I2840" t="s">
        <v>2877</v>
      </c>
      <c r="N2840">
        <v>0</v>
      </c>
      <c r="O2840">
        <v>0</v>
      </c>
      <c r="P2840">
        <v>1</v>
      </c>
      <c r="Q2840">
        <v>0</v>
      </c>
    </row>
    <row r="2841" spans="1:17" x14ac:dyDescent="0.2">
      <c r="A2841" s="1" t="str">
        <f>HYPERLINK("http://www.twitter.com/Ugo_Roux/status/432145167902969856", "432145167902969856")</f>
        <v>432145167902969856</v>
      </c>
      <c r="B2841" t="s">
        <v>130</v>
      </c>
      <c r="C2841" s="3">
        <v>41678.564942129633</v>
      </c>
      <c r="D2841" s="5" t="s">
        <v>41</v>
      </c>
      <c r="E2841">
        <v>0</v>
      </c>
      <c r="F2841">
        <v>0</v>
      </c>
      <c r="G2841">
        <v>0</v>
      </c>
      <c r="I2841" t="s">
        <v>2878</v>
      </c>
      <c r="N2841">
        <v>0</v>
      </c>
      <c r="O2841">
        <v>0</v>
      </c>
      <c r="P2841">
        <v>1</v>
      </c>
      <c r="Q2841">
        <v>0</v>
      </c>
    </row>
    <row r="2842" spans="1:17" x14ac:dyDescent="0.2">
      <c r="A2842" s="1" t="str">
        <f>HYPERLINK("http://www.twitter.com/Ugo_Roux/status/429598555108409346", "429598555108409346")</f>
        <v>429598555108409346</v>
      </c>
      <c r="B2842" t="s">
        <v>47</v>
      </c>
      <c r="C2842" s="3">
        <v>41671.537627314807</v>
      </c>
      <c r="D2842" s="5" t="s">
        <v>17</v>
      </c>
      <c r="E2842">
        <v>0</v>
      </c>
      <c r="F2842">
        <v>0</v>
      </c>
      <c r="G2842">
        <v>0</v>
      </c>
      <c r="I2842" t="s">
        <v>2879</v>
      </c>
      <c r="N2842">
        <v>0</v>
      </c>
      <c r="O2842">
        <v>0</v>
      </c>
      <c r="P2842">
        <v>1</v>
      </c>
      <c r="Q2842">
        <v>0</v>
      </c>
    </row>
    <row r="2843" spans="1:17" x14ac:dyDescent="0.2">
      <c r="A2843" s="1" t="str">
        <f>HYPERLINK("http://www.twitter.com/Ugo_Roux/status/428512186512572417", "428512186512572417")</f>
        <v>428512186512572417</v>
      </c>
      <c r="B2843" t="s">
        <v>47</v>
      </c>
      <c r="C2843" s="3">
        <v>41668.539826388893</v>
      </c>
      <c r="D2843" s="5" t="s">
        <v>17</v>
      </c>
      <c r="E2843">
        <v>0</v>
      </c>
      <c r="F2843">
        <v>0</v>
      </c>
      <c r="G2843">
        <v>0</v>
      </c>
      <c r="I2843" t="s">
        <v>2880</v>
      </c>
      <c r="N2843">
        <v>0</v>
      </c>
      <c r="O2843">
        <v>0</v>
      </c>
      <c r="P2843">
        <v>1</v>
      </c>
      <c r="Q2843">
        <v>0</v>
      </c>
    </row>
    <row r="2844" spans="1:17" x14ac:dyDescent="0.2">
      <c r="A2844" s="1" t="str">
        <f>HYPERLINK("http://www.twitter.com/Ugo_Roux/status/428221196312645632", "428221196312645632")</f>
        <v>428221196312645632</v>
      </c>
      <c r="B2844" t="s">
        <v>47</v>
      </c>
      <c r="C2844" s="3">
        <v>41667.736840277779</v>
      </c>
      <c r="D2844" s="5" t="s">
        <v>460</v>
      </c>
      <c r="E2844">
        <v>1</v>
      </c>
      <c r="F2844">
        <v>0</v>
      </c>
      <c r="G2844">
        <v>0</v>
      </c>
      <c r="I2844" t="s">
        <v>2881</v>
      </c>
      <c r="N2844">
        <v>0</v>
      </c>
      <c r="O2844">
        <v>0</v>
      </c>
      <c r="P2844">
        <v>1</v>
      </c>
      <c r="Q2844">
        <v>0</v>
      </c>
    </row>
    <row r="2845" spans="1:17" x14ac:dyDescent="0.2">
      <c r="A2845" s="1" t="str">
        <f>HYPERLINK("http://www.twitter.com/Ugo_Roux/status/428193393395924992", "428193393395924992")</f>
        <v>428193393395924992</v>
      </c>
      <c r="B2845" t="s">
        <v>47</v>
      </c>
      <c r="C2845" s="3">
        <v>41667.660127314812</v>
      </c>
      <c r="D2845" s="5" t="s">
        <v>460</v>
      </c>
      <c r="E2845">
        <v>0</v>
      </c>
      <c r="F2845">
        <v>1</v>
      </c>
      <c r="G2845">
        <v>0</v>
      </c>
      <c r="I2845" t="s">
        <v>2882</v>
      </c>
      <c r="N2845">
        <v>0</v>
      </c>
      <c r="O2845">
        <v>0</v>
      </c>
      <c r="P2845">
        <v>1</v>
      </c>
      <c r="Q2845">
        <v>0</v>
      </c>
    </row>
    <row r="2846" spans="1:17" x14ac:dyDescent="0.2">
      <c r="A2846" s="1" t="str">
        <f>HYPERLINK("http://www.twitter.com/Ugo_Roux/status/428159184668864512", "428159184668864512")</f>
        <v>428159184668864512</v>
      </c>
      <c r="B2846" t="s">
        <v>47</v>
      </c>
      <c r="C2846" s="3">
        <v>41667.565729166658</v>
      </c>
      <c r="D2846" s="5" t="s">
        <v>28</v>
      </c>
      <c r="E2846">
        <v>0</v>
      </c>
      <c r="F2846">
        <v>1</v>
      </c>
      <c r="G2846">
        <v>0</v>
      </c>
      <c r="I2846" t="s">
        <v>2883</v>
      </c>
      <c r="N2846">
        <v>0.45879999999999999</v>
      </c>
      <c r="O2846">
        <v>0</v>
      </c>
      <c r="P2846">
        <v>0.81200000000000006</v>
      </c>
      <c r="Q2846">
        <v>0.188</v>
      </c>
    </row>
    <row r="2847" spans="1:17" x14ac:dyDescent="0.2">
      <c r="A2847" s="1" t="str">
        <f>HYPERLINK("http://www.twitter.com/Ugo_Roux/status/426353084710014976", "426353084710014976")</f>
        <v>426353084710014976</v>
      </c>
      <c r="B2847" t="s">
        <v>130</v>
      </c>
      <c r="C2847" s="3">
        <v>41662.58184027778</v>
      </c>
      <c r="D2847" s="5" t="s">
        <v>17</v>
      </c>
      <c r="E2847">
        <v>0</v>
      </c>
      <c r="F2847">
        <v>0</v>
      </c>
      <c r="G2847">
        <v>0</v>
      </c>
      <c r="I2847" t="s">
        <v>2884</v>
      </c>
      <c r="N2847">
        <v>0</v>
      </c>
      <c r="O2847">
        <v>0</v>
      </c>
      <c r="P2847">
        <v>1</v>
      </c>
      <c r="Q2847">
        <v>0</v>
      </c>
    </row>
    <row r="2848" spans="1:17" x14ac:dyDescent="0.2">
      <c r="A2848" s="1" t="str">
        <f>HYPERLINK("http://www.twitter.com/Ugo_Roux/status/426322795790733313", "426322795790733313")</f>
        <v>426322795790733313</v>
      </c>
      <c r="B2848" t="s">
        <v>47</v>
      </c>
      <c r="C2848" s="3">
        <v>41662.498252314806</v>
      </c>
      <c r="D2848" s="5" t="s">
        <v>17</v>
      </c>
      <c r="E2848">
        <v>0</v>
      </c>
      <c r="F2848">
        <v>0</v>
      </c>
      <c r="G2848">
        <v>0</v>
      </c>
      <c r="I2848" t="s">
        <v>2885</v>
      </c>
      <c r="N2848">
        <v>0</v>
      </c>
      <c r="O2848">
        <v>0</v>
      </c>
      <c r="P2848">
        <v>1</v>
      </c>
      <c r="Q2848">
        <v>0</v>
      </c>
    </row>
    <row r="2849" spans="1:17" x14ac:dyDescent="0.2">
      <c r="A2849" s="1" t="str">
        <f>HYPERLINK("http://www.twitter.com/Ugo_Roux/status/425954359399047168", "425954359399047168")</f>
        <v>425954359399047168</v>
      </c>
      <c r="B2849" t="s">
        <v>47</v>
      </c>
      <c r="C2849" s="3">
        <v>41661.481562499997</v>
      </c>
      <c r="D2849" s="5" t="s">
        <v>17</v>
      </c>
      <c r="E2849">
        <v>1</v>
      </c>
      <c r="F2849">
        <v>0</v>
      </c>
      <c r="G2849">
        <v>0</v>
      </c>
      <c r="I2849" t="s">
        <v>2886</v>
      </c>
      <c r="N2849">
        <v>0</v>
      </c>
      <c r="O2849">
        <v>0</v>
      </c>
      <c r="P2849">
        <v>1</v>
      </c>
      <c r="Q2849">
        <v>0</v>
      </c>
    </row>
    <row r="2850" spans="1:17" x14ac:dyDescent="0.2">
      <c r="A2850" s="1" t="str">
        <f>HYPERLINK("http://www.twitter.com/Ugo_Roux/status/425598861944434688", "425598861944434688")</f>
        <v>425598861944434688</v>
      </c>
      <c r="B2850" t="s">
        <v>47</v>
      </c>
      <c r="C2850" s="3">
        <v>41660.500578703701</v>
      </c>
      <c r="D2850" s="5" t="s">
        <v>17</v>
      </c>
      <c r="E2850">
        <v>2</v>
      </c>
      <c r="F2850">
        <v>7</v>
      </c>
      <c r="G2850">
        <v>0</v>
      </c>
      <c r="I2850" t="s">
        <v>2887</v>
      </c>
      <c r="N2850">
        <v>0</v>
      </c>
      <c r="O2850">
        <v>0</v>
      </c>
      <c r="P2850">
        <v>1</v>
      </c>
      <c r="Q2850">
        <v>0</v>
      </c>
    </row>
    <row r="2851" spans="1:17" x14ac:dyDescent="0.2">
      <c r="A2851" s="1" t="str">
        <f>HYPERLINK("http://www.twitter.com/Ugo_Roux/status/425592831504175105", "425592831504175105")</f>
        <v>425592831504175105</v>
      </c>
      <c r="B2851" t="s">
        <v>47</v>
      </c>
      <c r="C2851" s="3">
        <v>41660.483935185177</v>
      </c>
      <c r="D2851" s="5" t="s">
        <v>17</v>
      </c>
      <c r="E2851">
        <v>0</v>
      </c>
      <c r="F2851">
        <v>0</v>
      </c>
      <c r="G2851">
        <v>0</v>
      </c>
      <c r="I2851" t="s">
        <v>2888</v>
      </c>
      <c r="N2851">
        <v>0</v>
      </c>
      <c r="O2851">
        <v>0</v>
      </c>
      <c r="P2851">
        <v>1</v>
      </c>
      <c r="Q2851">
        <v>0</v>
      </c>
    </row>
    <row r="2852" spans="1:17" x14ac:dyDescent="0.2">
      <c r="A2852" s="1" t="str">
        <f>HYPERLINK("http://www.twitter.com/Ugo_Roux/status/423082833872424961", "423082833872424961")</f>
        <v>423082833872424961</v>
      </c>
      <c r="B2852" t="s">
        <v>130</v>
      </c>
      <c r="C2852" s="3">
        <v>41653.557662037027</v>
      </c>
      <c r="D2852" s="5" t="s">
        <v>41</v>
      </c>
      <c r="E2852">
        <v>0</v>
      </c>
      <c r="F2852">
        <v>0</v>
      </c>
      <c r="G2852">
        <v>0</v>
      </c>
      <c r="I2852" t="s">
        <v>2889</v>
      </c>
      <c r="N2852">
        <v>0</v>
      </c>
      <c r="O2852">
        <v>0</v>
      </c>
      <c r="P2852">
        <v>1</v>
      </c>
      <c r="Q2852">
        <v>0</v>
      </c>
    </row>
    <row r="2853" spans="1:17" x14ac:dyDescent="0.2">
      <c r="A2853" s="1" t="str">
        <f>HYPERLINK("http://www.twitter.com/Ugo_Roux/status/419438920267337730", "419438920267337730")</f>
        <v>419438920267337730</v>
      </c>
      <c r="B2853" t="s">
        <v>47</v>
      </c>
      <c r="C2853" s="3">
        <v>41643.502384259264</v>
      </c>
      <c r="D2853" s="5" t="s">
        <v>28</v>
      </c>
      <c r="E2853">
        <v>0</v>
      </c>
      <c r="F2853">
        <v>2</v>
      </c>
      <c r="G2853">
        <v>3</v>
      </c>
      <c r="I2853" t="s">
        <v>2890</v>
      </c>
      <c r="N2853">
        <v>0.29420000000000002</v>
      </c>
      <c r="O2853">
        <v>0</v>
      </c>
      <c r="P2853">
        <v>0.89100000000000001</v>
      </c>
      <c r="Q2853">
        <v>0.109</v>
      </c>
    </row>
    <row r="2854" spans="1:17" x14ac:dyDescent="0.2">
      <c r="A2854" s="1" t="str">
        <f>HYPERLINK("http://www.twitter.com/Ugo_Roux/status/419158735211069440", "419158735211069440")</f>
        <v>419158735211069440</v>
      </c>
      <c r="B2854" t="s">
        <v>47</v>
      </c>
      <c r="C2854" s="3">
        <v>41642.729212962957</v>
      </c>
      <c r="D2854" s="5" t="s">
        <v>17</v>
      </c>
      <c r="E2854">
        <v>0</v>
      </c>
      <c r="F2854">
        <v>0</v>
      </c>
      <c r="G2854">
        <v>0</v>
      </c>
      <c r="I2854" t="s">
        <v>2891</v>
      </c>
      <c r="N2854">
        <v>0</v>
      </c>
      <c r="O2854">
        <v>0</v>
      </c>
      <c r="P2854">
        <v>1</v>
      </c>
      <c r="Q2854">
        <v>0</v>
      </c>
    </row>
    <row r="2855" spans="1:17" x14ac:dyDescent="0.2">
      <c r="A2855" s="1" t="str">
        <f>HYPERLINK("http://www.twitter.com/Ugo_Roux/status/419075373083930625", "419075373083930625")</f>
        <v>419075373083930625</v>
      </c>
      <c r="B2855" t="s">
        <v>130</v>
      </c>
      <c r="C2855" s="3">
        <v>41642.499178240738</v>
      </c>
      <c r="D2855" s="5" t="s">
        <v>17</v>
      </c>
      <c r="E2855">
        <v>0</v>
      </c>
      <c r="F2855">
        <v>0</v>
      </c>
      <c r="G2855">
        <v>0</v>
      </c>
      <c r="I2855" t="s">
        <v>2892</v>
      </c>
      <c r="N2855">
        <v>0</v>
      </c>
      <c r="O2855">
        <v>0</v>
      </c>
      <c r="P2855">
        <v>1</v>
      </c>
      <c r="Q2855">
        <v>0</v>
      </c>
    </row>
    <row r="2856" spans="1:17" x14ac:dyDescent="0.2">
      <c r="A2856" s="1" t="str">
        <f>HYPERLINK("http://www.twitter.com/Ugo_Roux/status/419070360534155264", "419070360534155264")</f>
        <v>419070360534155264</v>
      </c>
      <c r="B2856" t="s">
        <v>47</v>
      </c>
      <c r="C2856" s="3">
        <v>41642.485347222217</v>
      </c>
      <c r="D2856" s="5" t="s">
        <v>41</v>
      </c>
      <c r="E2856">
        <v>0</v>
      </c>
      <c r="F2856">
        <v>0</v>
      </c>
      <c r="G2856">
        <v>0</v>
      </c>
      <c r="I2856" t="s">
        <v>2893</v>
      </c>
      <c r="N2856">
        <v>0</v>
      </c>
      <c r="O2856">
        <v>0</v>
      </c>
      <c r="P2856">
        <v>1</v>
      </c>
      <c r="Q2856">
        <v>0</v>
      </c>
    </row>
    <row r="2857" spans="1:17" x14ac:dyDescent="0.2">
      <c r="A2857" s="1" t="str">
        <f>HYPERLINK("http://www.twitter.com/Ugo_Roux/status/418717308018630657", "418717308018630657")</f>
        <v>418717308018630657</v>
      </c>
      <c r="B2857" t="s">
        <v>47</v>
      </c>
      <c r="C2857" s="3">
        <v>41641.511111111111</v>
      </c>
      <c r="D2857" s="5" t="s">
        <v>17</v>
      </c>
      <c r="E2857">
        <v>0</v>
      </c>
      <c r="F2857">
        <v>0</v>
      </c>
      <c r="G2857">
        <v>0</v>
      </c>
      <c r="I2857" t="s">
        <v>2894</v>
      </c>
      <c r="N2857">
        <v>0</v>
      </c>
      <c r="O2857">
        <v>0</v>
      </c>
      <c r="P2857">
        <v>1</v>
      </c>
      <c r="Q2857">
        <v>0</v>
      </c>
    </row>
    <row r="2858" spans="1:17" x14ac:dyDescent="0.2">
      <c r="A2858" s="1" t="str">
        <f>HYPERLINK("http://www.twitter.com/Ugo_Roux/status/416893431227502592", "416893431227502592")</f>
        <v>416893431227502592</v>
      </c>
      <c r="B2858" t="s">
        <v>47</v>
      </c>
      <c r="C2858" s="3">
        <v>41636.478171296287</v>
      </c>
      <c r="D2858" s="5" t="s">
        <v>17</v>
      </c>
      <c r="E2858">
        <v>2</v>
      </c>
      <c r="F2858">
        <v>5</v>
      </c>
      <c r="G2858">
        <v>0</v>
      </c>
      <c r="I2858" t="s">
        <v>2895</v>
      </c>
      <c r="N2858">
        <v>0</v>
      </c>
      <c r="O2858">
        <v>0</v>
      </c>
      <c r="P2858">
        <v>1</v>
      </c>
      <c r="Q2858">
        <v>0</v>
      </c>
    </row>
    <row r="2859" spans="1:17" x14ac:dyDescent="0.2">
      <c r="A2859" s="1" t="str">
        <f>HYPERLINK("http://www.twitter.com/Ugo_Roux/status/416559606194651137", "416559606194651137")</f>
        <v>416559606194651137</v>
      </c>
      <c r="B2859" t="s">
        <v>47</v>
      </c>
      <c r="C2859" s="3">
        <v>41635.556990740741</v>
      </c>
      <c r="D2859" s="5" t="s">
        <v>17</v>
      </c>
      <c r="E2859">
        <v>0</v>
      </c>
      <c r="F2859">
        <v>0</v>
      </c>
      <c r="G2859">
        <v>0</v>
      </c>
      <c r="I2859" t="s">
        <v>2896</v>
      </c>
      <c r="N2859">
        <v>0</v>
      </c>
      <c r="O2859">
        <v>0</v>
      </c>
      <c r="P2859">
        <v>1</v>
      </c>
      <c r="Q2859">
        <v>0</v>
      </c>
    </row>
    <row r="2860" spans="1:17" x14ac:dyDescent="0.2">
      <c r="A2860" s="1" t="str">
        <f>HYPERLINK("http://www.twitter.com/Ugo_Roux/status/416203813083955200", "416203813083955200")</f>
        <v>416203813083955200</v>
      </c>
      <c r="B2860" t="s">
        <v>47</v>
      </c>
      <c r="C2860" s="3">
        <v>41634.575185185182</v>
      </c>
      <c r="D2860" s="5" t="s">
        <v>17</v>
      </c>
      <c r="E2860">
        <v>0</v>
      </c>
      <c r="F2860">
        <v>0</v>
      </c>
      <c r="G2860">
        <v>0</v>
      </c>
      <c r="I2860" t="s">
        <v>2897</v>
      </c>
      <c r="N2860">
        <v>0.59940000000000004</v>
      </c>
      <c r="O2860">
        <v>0</v>
      </c>
      <c r="P2860">
        <v>0.755</v>
      </c>
      <c r="Q2860">
        <v>0.245</v>
      </c>
    </row>
    <row r="2861" spans="1:17" x14ac:dyDescent="0.2">
      <c r="A2861" s="1" t="str">
        <f>HYPERLINK("http://www.twitter.com/Ugo_Roux/status/415482341835145216", "415482341835145216")</f>
        <v>415482341835145216</v>
      </c>
      <c r="B2861" t="s">
        <v>47</v>
      </c>
      <c r="C2861" s="3">
        <v>41632.584305555552</v>
      </c>
      <c r="D2861" s="5" t="s">
        <v>17</v>
      </c>
      <c r="E2861">
        <v>0</v>
      </c>
      <c r="F2861">
        <v>0</v>
      </c>
      <c r="G2861">
        <v>0</v>
      </c>
      <c r="I2861" t="s">
        <v>2898</v>
      </c>
      <c r="N2861">
        <v>0</v>
      </c>
      <c r="O2861">
        <v>0</v>
      </c>
      <c r="P2861">
        <v>1</v>
      </c>
      <c r="Q2861">
        <v>0</v>
      </c>
    </row>
    <row r="2862" spans="1:17" x14ac:dyDescent="0.2">
      <c r="A2862" s="1" t="str">
        <f>HYPERLINK("http://www.twitter.com/Ugo_Roux/status/414065275534057472", "414065275534057472")</f>
        <v>414065275534057472</v>
      </c>
      <c r="B2862" t="s">
        <v>370</v>
      </c>
      <c r="C2862" s="3">
        <v>41628.673946759263</v>
      </c>
      <c r="D2862" s="5" t="s">
        <v>17</v>
      </c>
      <c r="E2862">
        <v>0</v>
      </c>
      <c r="F2862">
        <v>0</v>
      </c>
      <c r="G2862">
        <v>0</v>
      </c>
      <c r="I2862" t="s">
        <v>2899</v>
      </c>
      <c r="N2862">
        <v>0</v>
      </c>
      <c r="O2862">
        <v>0</v>
      </c>
      <c r="P2862">
        <v>1</v>
      </c>
      <c r="Q2862">
        <v>0</v>
      </c>
    </row>
    <row r="2863" spans="1:17" x14ac:dyDescent="0.2">
      <c r="A2863" s="1" t="str">
        <f>HYPERLINK("http://www.twitter.com/Ugo_Roux/status/414064944477667328", "414064944477667328")</f>
        <v>414064944477667328</v>
      </c>
      <c r="B2863" t="s">
        <v>370</v>
      </c>
      <c r="C2863" s="3">
        <v>41628.673032407409</v>
      </c>
      <c r="D2863" s="5" t="s">
        <v>17</v>
      </c>
      <c r="E2863">
        <v>0</v>
      </c>
      <c r="F2863">
        <v>0</v>
      </c>
      <c r="G2863">
        <v>0</v>
      </c>
      <c r="I2863" t="s">
        <v>2900</v>
      </c>
      <c r="N2863">
        <v>0</v>
      </c>
      <c r="O2863">
        <v>0</v>
      </c>
      <c r="P2863">
        <v>1</v>
      </c>
      <c r="Q2863">
        <v>0</v>
      </c>
    </row>
    <row r="2864" spans="1:17" x14ac:dyDescent="0.2">
      <c r="A2864" s="1" t="str">
        <f>HYPERLINK("http://www.twitter.com/Ugo_Roux/status/414064405496614912", "414064405496614912")</f>
        <v>414064405496614912</v>
      </c>
      <c r="B2864" t="s">
        <v>47</v>
      </c>
      <c r="C2864" s="3">
        <v>41628.671539351853</v>
      </c>
      <c r="D2864" s="5" t="s">
        <v>17</v>
      </c>
      <c r="E2864">
        <v>1</v>
      </c>
      <c r="F2864">
        <v>0</v>
      </c>
      <c r="G2864">
        <v>0</v>
      </c>
      <c r="I2864" t="s">
        <v>2901</v>
      </c>
      <c r="N2864">
        <v>0</v>
      </c>
      <c r="O2864">
        <v>0</v>
      </c>
      <c r="P2864">
        <v>1</v>
      </c>
      <c r="Q2864">
        <v>0</v>
      </c>
    </row>
    <row r="2865" spans="1:17" x14ac:dyDescent="0.2">
      <c r="A2865" s="1" t="str">
        <f>HYPERLINK("http://www.twitter.com/Ugo_Roux/status/413996558003482624", "413996558003482624")</f>
        <v>413996558003482624</v>
      </c>
      <c r="B2865" t="s">
        <v>130</v>
      </c>
      <c r="C2865" s="3">
        <v>41628.484317129631</v>
      </c>
      <c r="D2865" s="5" t="s">
        <v>28</v>
      </c>
      <c r="E2865">
        <v>0</v>
      </c>
      <c r="F2865">
        <v>0</v>
      </c>
      <c r="G2865">
        <v>0</v>
      </c>
      <c r="I2865" t="s">
        <v>2902</v>
      </c>
      <c r="N2865">
        <v>0</v>
      </c>
      <c r="O2865">
        <v>0</v>
      </c>
      <c r="P2865">
        <v>1</v>
      </c>
      <c r="Q2865">
        <v>0</v>
      </c>
    </row>
    <row r="2866" spans="1:17" x14ac:dyDescent="0.2">
      <c r="A2866" s="1" t="str">
        <f>HYPERLINK("http://www.twitter.com/Ugo_Roux/status/413678491750526976", "413678491750526976")</f>
        <v>413678491750526976</v>
      </c>
      <c r="B2866" t="s">
        <v>47</v>
      </c>
      <c r="C2866" s="3">
        <v>41627.606620370367</v>
      </c>
      <c r="D2866" s="5" t="s">
        <v>17</v>
      </c>
      <c r="E2866">
        <v>0</v>
      </c>
      <c r="F2866">
        <v>0</v>
      </c>
      <c r="G2866">
        <v>0</v>
      </c>
      <c r="I2866" t="s">
        <v>2903</v>
      </c>
      <c r="N2866">
        <v>0</v>
      </c>
      <c r="O2866">
        <v>0</v>
      </c>
      <c r="P2866">
        <v>1</v>
      </c>
      <c r="Q2866">
        <v>0</v>
      </c>
    </row>
    <row r="2867" spans="1:17" x14ac:dyDescent="0.2">
      <c r="A2867" s="1" t="str">
        <f>HYPERLINK("http://www.twitter.com/Ugo_Roux/status/413677165365194753", "413677165365194753")</f>
        <v>413677165365194753</v>
      </c>
      <c r="B2867" t="s">
        <v>47</v>
      </c>
      <c r="C2867" s="3">
        <v>41627.602962962963</v>
      </c>
      <c r="D2867" s="5" t="s">
        <v>17</v>
      </c>
      <c r="E2867">
        <v>0</v>
      </c>
      <c r="F2867">
        <v>0</v>
      </c>
      <c r="G2867">
        <v>0</v>
      </c>
      <c r="I2867" t="s">
        <v>2904</v>
      </c>
      <c r="N2867">
        <v>0</v>
      </c>
      <c r="O2867">
        <v>0</v>
      </c>
      <c r="P2867">
        <v>1</v>
      </c>
      <c r="Q2867">
        <v>0</v>
      </c>
    </row>
    <row r="2868" spans="1:17" x14ac:dyDescent="0.2">
      <c r="A2868" s="1" t="str">
        <f>HYPERLINK("http://www.twitter.com/Ugo_Roux/status/413674056303804416", "413674056303804416")</f>
        <v>413674056303804416</v>
      </c>
      <c r="B2868" t="s">
        <v>47</v>
      </c>
      <c r="C2868" s="3">
        <v>41627.594386574077</v>
      </c>
      <c r="D2868" s="5" t="s">
        <v>17</v>
      </c>
      <c r="E2868">
        <v>0</v>
      </c>
      <c r="F2868">
        <v>0</v>
      </c>
      <c r="G2868">
        <v>0</v>
      </c>
      <c r="I2868" t="s">
        <v>2905</v>
      </c>
      <c r="N2868">
        <v>0</v>
      </c>
      <c r="O2868">
        <v>0</v>
      </c>
      <c r="P2868">
        <v>1</v>
      </c>
      <c r="Q2868">
        <v>0</v>
      </c>
    </row>
    <row r="2869" spans="1:17" x14ac:dyDescent="0.2">
      <c r="A2869" s="1" t="str">
        <f>HYPERLINK("http://www.twitter.com/Ugo_Roux/status/412988746909249536", "412988746909249536")</f>
        <v>412988746909249536</v>
      </c>
      <c r="B2869" t="s">
        <v>47</v>
      </c>
      <c r="C2869" s="3">
        <v>41625.703287037039</v>
      </c>
      <c r="D2869" s="5" t="s">
        <v>17</v>
      </c>
      <c r="E2869">
        <v>0</v>
      </c>
      <c r="F2869">
        <v>1</v>
      </c>
      <c r="G2869">
        <v>0</v>
      </c>
      <c r="I2869" t="s">
        <v>2906</v>
      </c>
      <c r="N2869">
        <v>0</v>
      </c>
      <c r="O2869">
        <v>0</v>
      </c>
      <c r="P2869">
        <v>1</v>
      </c>
      <c r="Q2869">
        <v>0</v>
      </c>
    </row>
    <row r="2870" spans="1:17" x14ac:dyDescent="0.2">
      <c r="A2870" s="1" t="str">
        <f>HYPERLINK("http://www.twitter.com/Ugo_Roux/status/411892076993720320", "411892076993720320")</f>
        <v>411892076993720320</v>
      </c>
      <c r="B2870" t="s">
        <v>47</v>
      </c>
      <c r="C2870" s="3">
        <v>41622.677060185182</v>
      </c>
      <c r="D2870" s="5" t="s">
        <v>28</v>
      </c>
      <c r="E2870">
        <v>1</v>
      </c>
      <c r="F2870">
        <v>0</v>
      </c>
      <c r="G2870">
        <v>0</v>
      </c>
      <c r="I2870" t="s">
        <v>2907</v>
      </c>
      <c r="N2870">
        <v>0</v>
      </c>
      <c r="O2870">
        <v>0</v>
      </c>
      <c r="P2870">
        <v>1</v>
      </c>
      <c r="Q2870">
        <v>0</v>
      </c>
    </row>
    <row r="2871" spans="1:17" x14ac:dyDescent="0.2">
      <c r="A2871" s="1" t="str">
        <f>HYPERLINK("http://www.twitter.com/Ugo_Roux/status/411848356852281346", "411848356852281346")</f>
        <v>411848356852281346</v>
      </c>
      <c r="B2871" t="s">
        <v>47</v>
      </c>
      <c r="C2871" s="3">
        <v>41622.55641203704</v>
      </c>
      <c r="D2871" s="5" t="s">
        <v>17</v>
      </c>
      <c r="E2871">
        <v>0</v>
      </c>
      <c r="F2871">
        <v>0</v>
      </c>
      <c r="G2871">
        <v>0</v>
      </c>
      <c r="I2871" t="s">
        <v>2908</v>
      </c>
      <c r="N2871">
        <v>0.36120000000000002</v>
      </c>
      <c r="O2871">
        <v>0</v>
      </c>
      <c r="P2871">
        <v>0.78300000000000003</v>
      </c>
      <c r="Q2871">
        <v>0.217</v>
      </c>
    </row>
    <row r="2872" spans="1:17" x14ac:dyDescent="0.2">
      <c r="A2872" s="1" t="str">
        <f>HYPERLINK("http://www.twitter.com/Ugo_Roux/status/411110826221641729", "411110826221641729")</f>
        <v>411110826221641729</v>
      </c>
      <c r="B2872" t="s">
        <v>47</v>
      </c>
      <c r="C2872" s="3">
        <v>41620.521215277768</v>
      </c>
      <c r="D2872" s="5" t="s">
        <v>17</v>
      </c>
      <c r="E2872">
        <v>1</v>
      </c>
      <c r="F2872">
        <v>0</v>
      </c>
      <c r="G2872">
        <v>0</v>
      </c>
      <c r="I2872" t="s">
        <v>2909</v>
      </c>
      <c r="N2872">
        <v>-7.7200000000000005E-2</v>
      </c>
      <c r="O2872">
        <v>0.115</v>
      </c>
      <c r="P2872">
        <v>0.88500000000000001</v>
      </c>
      <c r="Q2872">
        <v>0</v>
      </c>
    </row>
    <row r="2873" spans="1:17" x14ac:dyDescent="0.2">
      <c r="A2873" s="1" t="str">
        <f>HYPERLINK("http://www.twitter.com/Ugo_Roux/status/410782988884905985", "410782988884905985")</f>
        <v>410782988884905985</v>
      </c>
      <c r="B2873" t="s">
        <v>47</v>
      </c>
      <c r="C2873" s="3">
        <v>41619.616562499999</v>
      </c>
      <c r="D2873" s="5" t="s">
        <v>17</v>
      </c>
      <c r="E2873">
        <v>0</v>
      </c>
      <c r="F2873">
        <v>0</v>
      </c>
      <c r="G2873">
        <v>0</v>
      </c>
      <c r="I2873" t="s">
        <v>2910</v>
      </c>
      <c r="N2873">
        <v>0</v>
      </c>
      <c r="O2873">
        <v>0</v>
      </c>
      <c r="P2873">
        <v>1</v>
      </c>
      <c r="Q2873">
        <v>0</v>
      </c>
    </row>
    <row r="2874" spans="1:17" x14ac:dyDescent="0.2">
      <c r="A2874" s="1" t="str">
        <f>HYPERLINK("http://www.twitter.com/Ugo_Roux/status/410299105181589504", "410299105181589504")</f>
        <v>410299105181589504</v>
      </c>
      <c r="B2874" t="s">
        <v>97</v>
      </c>
      <c r="C2874" s="3">
        <v>41618.2812962963</v>
      </c>
      <c r="D2874" s="5" t="s">
        <v>28</v>
      </c>
      <c r="E2874">
        <v>0</v>
      </c>
      <c r="F2874">
        <v>0</v>
      </c>
      <c r="G2874">
        <v>0</v>
      </c>
      <c r="I2874" t="s">
        <v>2911</v>
      </c>
      <c r="N2874">
        <v>0</v>
      </c>
      <c r="O2874">
        <v>0</v>
      </c>
      <c r="P2874">
        <v>1</v>
      </c>
      <c r="Q2874">
        <v>0</v>
      </c>
    </row>
    <row r="2875" spans="1:17" x14ac:dyDescent="0.2">
      <c r="A2875" s="1" t="str">
        <f>HYPERLINK("http://www.twitter.com/Ugo_Roux/status/407819692686864384", "407819692686864384")</f>
        <v>407819692686864384</v>
      </c>
      <c r="B2875" t="s">
        <v>47</v>
      </c>
      <c r="C2875" s="3">
        <v>41611.439421296287</v>
      </c>
      <c r="D2875" s="5" t="s">
        <v>28</v>
      </c>
      <c r="E2875">
        <v>0</v>
      </c>
      <c r="F2875">
        <v>0</v>
      </c>
      <c r="G2875">
        <v>0</v>
      </c>
      <c r="I2875" t="s">
        <v>2912</v>
      </c>
      <c r="N2875">
        <v>0</v>
      </c>
      <c r="O2875">
        <v>0</v>
      </c>
      <c r="P2875">
        <v>1</v>
      </c>
      <c r="Q2875">
        <v>0</v>
      </c>
    </row>
    <row r="2876" spans="1:17" x14ac:dyDescent="0.2">
      <c r="A2876" s="1" t="str">
        <f>HYPERLINK("http://www.twitter.com/Ugo_Roux/status/406809377127936000", "406809377127936000")</f>
        <v>406809377127936000</v>
      </c>
      <c r="B2876" t="s">
        <v>97</v>
      </c>
      <c r="C2876" s="3">
        <v>41608.65148148148</v>
      </c>
      <c r="D2876" s="5" t="s">
        <v>41</v>
      </c>
      <c r="E2876">
        <v>0</v>
      </c>
      <c r="F2876">
        <v>0</v>
      </c>
      <c r="G2876">
        <v>0</v>
      </c>
      <c r="I2876" t="s">
        <v>2913</v>
      </c>
      <c r="N2876">
        <v>0</v>
      </c>
      <c r="O2876">
        <v>0</v>
      </c>
      <c r="P2876">
        <v>1</v>
      </c>
      <c r="Q2876">
        <v>0</v>
      </c>
    </row>
    <row r="2877" spans="1:17" x14ac:dyDescent="0.2">
      <c r="A2877" s="1" t="str">
        <f>HYPERLINK("http://www.twitter.com/Ugo_Roux/status/405314947439411200", "405314947439411200")</f>
        <v>405314947439411200</v>
      </c>
      <c r="B2877" t="s">
        <v>97</v>
      </c>
      <c r="C2877" s="3">
        <v>41604.527638888889</v>
      </c>
      <c r="D2877" s="5" t="s">
        <v>41</v>
      </c>
      <c r="E2877">
        <v>0</v>
      </c>
      <c r="F2877">
        <v>0</v>
      </c>
      <c r="G2877">
        <v>0</v>
      </c>
      <c r="I2877" t="s">
        <v>2914</v>
      </c>
      <c r="N2877">
        <v>0</v>
      </c>
      <c r="O2877">
        <v>0</v>
      </c>
      <c r="P2877">
        <v>1</v>
      </c>
      <c r="Q2877">
        <v>0</v>
      </c>
    </row>
    <row r="2878" spans="1:17" x14ac:dyDescent="0.2">
      <c r="A2878" s="1" t="str">
        <f>HYPERLINK("http://www.twitter.com/Ugo_Roux/status/403534839489769472", "403534839489769472")</f>
        <v>403534839489769472</v>
      </c>
      <c r="B2878" t="s">
        <v>130</v>
      </c>
      <c r="C2878" s="3">
        <v>41599.615474537037</v>
      </c>
      <c r="D2878" s="5" t="s">
        <v>17</v>
      </c>
      <c r="E2878">
        <v>0</v>
      </c>
      <c r="F2878">
        <v>0</v>
      </c>
      <c r="G2878">
        <v>0</v>
      </c>
      <c r="I2878" t="s">
        <v>2915</v>
      </c>
      <c r="N2878">
        <v>0</v>
      </c>
      <c r="O2878">
        <v>0</v>
      </c>
      <c r="P2878">
        <v>1</v>
      </c>
      <c r="Q2878">
        <v>0</v>
      </c>
    </row>
    <row r="2879" spans="1:17" x14ac:dyDescent="0.2">
      <c r="A2879" s="1" t="str">
        <f>HYPERLINK("http://www.twitter.com/Ugo_Roux/status/403518134612922368", "403518134612922368")</f>
        <v>403518134612922368</v>
      </c>
      <c r="B2879" t="s">
        <v>97</v>
      </c>
      <c r="C2879" s="3">
        <v>41599.569374999999</v>
      </c>
      <c r="D2879" s="5" t="s">
        <v>41</v>
      </c>
      <c r="E2879">
        <v>0</v>
      </c>
      <c r="F2879">
        <v>0</v>
      </c>
      <c r="G2879">
        <v>0</v>
      </c>
      <c r="I2879" t="s">
        <v>2916</v>
      </c>
      <c r="N2879">
        <v>0</v>
      </c>
      <c r="O2879">
        <v>0</v>
      </c>
      <c r="P2879">
        <v>1</v>
      </c>
      <c r="Q2879">
        <v>0</v>
      </c>
    </row>
    <row r="2880" spans="1:17" x14ac:dyDescent="0.2">
      <c r="A2880" s="1" t="str">
        <f>HYPERLINK("http://www.twitter.com/Ugo_Roux/status/401000285331402753", "401000285331402753")</f>
        <v>401000285331402753</v>
      </c>
      <c r="B2880" t="s">
        <v>97</v>
      </c>
      <c r="C2880" s="3">
        <v>41592.621435185189</v>
      </c>
      <c r="D2880" s="5" t="s">
        <v>28</v>
      </c>
      <c r="E2880">
        <v>0</v>
      </c>
      <c r="F2880">
        <v>0</v>
      </c>
      <c r="G2880">
        <v>0</v>
      </c>
      <c r="I2880" t="s">
        <v>2917</v>
      </c>
      <c r="N2880">
        <v>0</v>
      </c>
      <c r="O2880">
        <v>0</v>
      </c>
      <c r="P2880">
        <v>1</v>
      </c>
      <c r="Q2880">
        <v>0</v>
      </c>
    </row>
    <row r="2881" spans="1:17" x14ac:dyDescent="0.2">
      <c r="A2881" s="1" t="str">
        <f>HYPERLINK("http://www.twitter.com/Ugo_Roux/status/398393919186432000", "398393919186432000")</f>
        <v>398393919186432000</v>
      </c>
      <c r="B2881" t="s">
        <v>130</v>
      </c>
      <c r="C2881" s="3">
        <v>41585.429236111107</v>
      </c>
      <c r="D2881" s="5" t="s">
        <v>41</v>
      </c>
      <c r="E2881">
        <v>0</v>
      </c>
      <c r="F2881">
        <v>0</v>
      </c>
      <c r="G2881">
        <v>0</v>
      </c>
      <c r="I2881" t="s">
        <v>2918</v>
      </c>
      <c r="N2881">
        <v>0</v>
      </c>
      <c r="O2881">
        <v>0</v>
      </c>
      <c r="P2881">
        <v>1</v>
      </c>
      <c r="Q2881">
        <v>0</v>
      </c>
    </row>
    <row r="2882" spans="1:17" x14ac:dyDescent="0.2">
      <c r="A2882" s="1" t="str">
        <f>HYPERLINK("http://www.twitter.com/Ugo_Roux/status/396578817436680192", "396578817436680192")</f>
        <v>396578817436680192</v>
      </c>
      <c r="B2882" t="s">
        <v>370</v>
      </c>
      <c r="C2882" s="3">
        <v>41580.42050925926</v>
      </c>
      <c r="D2882" s="5" t="s">
        <v>28</v>
      </c>
      <c r="E2882">
        <v>0</v>
      </c>
      <c r="F2882">
        <v>0</v>
      </c>
      <c r="G2882">
        <v>0</v>
      </c>
      <c r="I2882" t="s">
        <v>2919</v>
      </c>
      <c r="N2882">
        <v>0</v>
      </c>
      <c r="O2882">
        <v>0</v>
      </c>
      <c r="P2882">
        <v>1</v>
      </c>
      <c r="Q2882">
        <v>0</v>
      </c>
    </row>
    <row r="2883" spans="1:17" x14ac:dyDescent="0.2">
      <c r="A2883" s="1" t="str">
        <f>HYPERLINK("http://www.twitter.com/Ugo_Roux/status/396576316352626688", "396576316352626688")</f>
        <v>396576316352626688</v>
      </c>
      <c r="B2883" t="s">
        <v>370</v>
      </c>
      <c r="C2883" s="3">
        <v>41580.413611111107</v>
      </c>
      <c r="D2883" s="5" t="s">
        <v>28</v>
      </c>
      <c r="E2883">
        <v>1</v>
      </c>
      <c r="F2883">
        <v>0</v>
      </c>
      <c r="G2883">
        <v>0</v>
      </c>
      <c r="I2883" t="s">
        <v>2920</v>
      </c>
      <c r="N2883">
        <v>0</v>
      </c>
      <c r="O2883">
        <v>0</v>
      </c>
      <c r="P2883">
        <v>1</v>
      </c>
      <c r="Q2883">
        <v>0</v>
      </c>
    </row>
    <row r="2884" spans="1:17" x14ac:dyDescent="0.2">
      <c r="A2884" s="1" t="str">
        <f>HYPERLINK("http://www.twitter.com/Ugo_Roux/status/396573656031436800", "396573656031436800")</f>
        <v>396573656031436800</v>
      </c>
      <c r="B2884" t="s">
        <v>370</v>
      </c>
      <c r="C2884" s="3">
        <v>41580.406273148154</v>
      </c>
      <c r="D2884" s="5" t="s">
        <v>239</v>
      </c>
      <c r="E2884">
        <v>0</v>
      </c>
      <c r="F2884">
        <v>0</v>
      </c>
      <c r="G2884">
        <v>0</v>
      </c>
      <c r="I2884" t="s">
        <v>2921</v>
      </c>
      <c r="N2884">
        <v>0</v>
      </c>
      <c r="O2884">
        <v>0</v>
      </c>
      <c r="P2884">
        <v>1</v>
      </c>
      <c r="Q2884">
        <v>0</v>
      </c>
    </row>
    <row r="2885" spans="1:17" x14ac:dyDescent="0.2">
      <c r="A2885" s="1" t="str">
        <f>HYPERLINK("http://www.twitter.com/Ugo_Roux/status/396368801841049600", "396368801841049600")</f>
        <v>396368801841049600</v>
      </c>
      <c r="B2885" t="s">
        <v>130</v>
      </c>
      <c r="C2885" s="3">
        <v>41579.840983796297</v>
      </c>
      <c r="D2885" s="5" t="s">
        <v>41</v>
      </c>
      <c r="E2885">
        <v>0</v>
      </c>
      <c r="F2885">
        <v>0</v>
      </c>
      <c r="G2885">
        <v>0</v>
      </c>
      <c r="I2885" t="s">
        <v>2922</v>
      </c>
      <c r="N2885">
        <v>0</v>
      </c>
      <c r="O2885">
        <v>0</v>
      </c>
      <c r="P2885">
        <v>1</v>
      </c>
      <c r="Q2885">
        <v>0</v>
      </c>
    </row>
    <row r="2886" spans="1:17" x14ac:dyDescent="0.2">
      <c r="A2886" s="1" t="str">
        <f>HYPERLINK("http://www.twitter.com/Ugo_Roux/status/396368631036383232", "396368631036383232")</f>
        <v>396368631036383232</v>
      </c>
      <c r="B2886" t="s">
        <v>130</v>
      </c>
      <c r="C2886" s="3">
        <v>41579.840509259258</v>
      </c>
      <c r="D2886" s="5" t="s">
        <v>41</v>
      </c>
      <c r="E2886">
        <v>0</v>
      </c>
      <c r="F2886">
        <v>0</v>
      </c>
      <c r="G2886">
        <v>0</v>
      </c>
      <c r="I2886" t="s">
        <v>2923</v>
      </c>
      <c r="N2886">
        <v>0</v>
      </c>
      <c r="O2886">
        <v>0</v>
      </c>
      <c r="P2886">
        <v>1</v>
      </c>
      <c r="Q2886">
        <v>0</v>
      </c>
    </row>
    <row r="2887" spans="1:17" x14ac:dyDescent="0.2">
      <c r="A2887" s="1" t="str">
        <f>HYPERLINK("http://www.twitter.com/Ugo_Roux/status/396368619116171264", "396368619116171264")</f>
        <v>396368619116171264</v>
      </c>
      <c r="B2887" t="s">
        <v>130</v>
      </c>
      <c r="C2887" s="3">
        <v>41579.840474537043</v>
      </c>
      <c r="D2887" s="5" t="s">
        <v>41</v>
      </c>
      <c r="E2887">
        <v>0</v>
      </c>
      <c r="F2887">
        <v>0</v>
      </c>
      <c r="G2887">
        <v>0</v>
      </c>
      <c r="I2887" t="s">
        <v>2924</v>
      </c>
      <c r="N2887">
        <v>0</v>
      </c>
      <c r="O2887">
        <v>0</v>
      </c>
      <c r="P2887">
        <v>1</v>
      </c>
      <c r="Q2887">
        <v>0</v>
      </c>
    </row>
    <row r="2888" spans="1:17" x14ac:dyDescent="0.2">
      <c r="A2888" s="1" t="str">
        <f>HYPERLINK("http://www.twitter.com/Ugo_Roux/status/394068158408957952", "394068158408957952")</f>
        <v>394068158408957952</v>
      </c>
      <c r="B2888" t="s">
        <v>97</v>
      </c>
      <c r="C2888" s="3">
        <v>41573.492418981477</v>
      </c>
      <c r="D2888" s="5" t="s">
        <v>41</v>
      </c>
      <c r="E2888">
        <v>0</v>
      </c>
      <c r="F2888">
        <v>0</v>
      </c>
      <c r="G2888">
        <v>0</v>
      </c>
      <c r="I2888" t="s">
        <v>2925</v>
      </c>
      <c r="N2888">
        <v>0</v>
      </c>
      <c r="O2888">
        <v>0</v>
      </c>
      <c r="P2888">
        <v>1</v>
      </c>
      <c r="Q2888">
        <v>0</v>
      </c>
    </row>
    <row r="2889" spans="1:17" x14ac:dyDescent="0.2">
      <c r="A2889" s="1" t="str">
        <f>HYPERLINK("http://www.twitter.com/Ugo_Roux/status/394020516161654784", "394020516161654784")</f>
        <v>394020516161654784</v>
      </c>
      <c r="B2889" t="s">
        <v>130</v>
      </c>
      <c r="C2889" s="3">
        <v>41573.360949074071</v>
      </c>
      <c r="D2889" s="5" t="s">
        <v>41</v>
      </c>
      <c r="E2889">
        <v>0</v>
      </c>
      <c r="F2889">
        <v>0</v>
      </c>
      <c r="G2889">
        <v>0</v>
      </c>
      <c r="I2889" t="s">
        <v>2926</v>
      </c>
      <c r="N2889">
        <v>0</v>
      </c>
      <c r="O2889">
        <v>0</v>
      </c>
      <c r="P2889">
        <v>1</v>
      </c>
      <c r="Q2889">
        <v>0</v>
      </c>
    </row>
    <row r="2890" spans="1:17" x14ac:dyDescent="0.2">
      <c r="A2890" s="1" t="str">
        <f>HYPERLINK("http://www.twitter.com/Ugo_Roux/status/394020487980150784", "394020487980150784")</f>
        <v>394020487980150784</v>
      </c>
      <c r="B2890" t="s">
        <v>130</v>
      </c>
      <c r="C2890" s="3">
        <v>41573.360868055563</v>
      </c>
      <c r="D2890" s="5" t="s">
        <v>41</v>
      </c>
      <c r="E2890">
        <v>0</v>
      </c>
      <c r="F2890">
        <v>0</v>
      </c>
      <c r="G2890">
        <v>0</v>
      </c>
      <c r="I2890" t="s">
        <v>2927</v>
      </c>
      <c r="N2890">
        <v>0</v>
      </c>
      <c r="O2890">
        <v>0</v>
      </c>
      <c r="P2890">
        <v>1</v>
      </c>
      <c r="Q2890">
        <v>0</v>
      </c>
    </row>
    <row r="2891" spans="1:17" x14ac:dyDescent="0.2">
      <c r="A2891" s="1" t="str">
        <f>HYPERLINK("http://www.twitter.com/Ugo_Roux/status/394020472972922880", "394020472972922880")</f>
        <v>394020472972922880</v>
      </c>
      <c r="B2891" t="s">
        <v>130</v>
      </c>
      <c r="C2891" s="3">
        <v>41573.360821759263</v>
      </c>
      <c r="D2891" s="5" t="s">
        <v>41</v>
      </c>
      <c r="E2891">
        <v>0</v>
      </c>
      <c r="F2891">
        <v>0</v>
      </c>
      <c r="G2891">
        <v>0</v>
      </c>
      <c r="I2891" t="s">
        <v>2928</v>
      </c>
      <c r="N2891">
        <v>0</v>
      </c>
      <c r="O2891">
        <v>0</v>
      </c>
      <c r="P2891">
        <v>1</v>
      </c>
      <c r="Q2891">
        <v>0</v>
      </c>
    </row>
    <row r="2892" spans="1:17" x14ac:dyDescent="0.2">
      <c r="A2892" s="1" t="str">
        <f>HYPERLINK("http://www.twitter.com/Ugo_Roux/status/393340242096582656", "393340242096582656")</f>
        <v>393340242096582656</v>
      </c>
      <c r="B2892" t="s">
        <v>130</v>
      </c>
      <c r="C2892" s="3">
        <v>41571.483749999999</v>
      </c>
      <c r="D2892" s="5" t="s">
        <v>41</v>
      </c>
      <c r="E2892">
        <v>0</v>
      </c>
      <c r="F2892">
        <v>0</v>
      </c>
      <c r="G2892">
        <v>0</v>
      </c>
      <c r="I2892" t="s">
        <v>2929</v>
      </c>
      <c r="N2892">
        <v>0.42149999999999999</v>
      </c>
      <c r="O2892">
        <v>0</v>
      </c>
      <c r="P2892">
        <v>0.85099999999999998</v>
      </c>
      <c r="Q2892">
        <v>0.14899999999999999</v>
      </c>
    </row>
    <row r="2893" spans="1:17" x14ac:dyDescent="0.2">
      <c r="A2893" s="1" t="str">
        <f>HYPERLINK("http://www.twitter.com/Ugo_Roux/status/392923359983308800", "392923359983308800")</f>
        <v>392923359983308800</v>
      </c>
      <c r="B2893" t="s">
        <v>97</v>
      </c>
      <c r="C2893" s="3">
        <v>41570.333368055559</v>
      </c>
      <c r="D2893" s="5" t="s">
        <v>24</v>
      </c>
      <c r="E2893">
        <v>0</v>
      </c>
      <c r="F2893">
        <v>0</v>
      </c>
      <c r="G2893">
        <v>0</v>
      </c>
      <c r="I2893" t="s">
        <v>2930</v>
      </c>
      <c r="N2893">
        <v>0</v>
      </c>
      <c r="O2893">
        <v>0</v>
      </c>
      <c r="P2893">
        <v>1</v>
      </c>
      <c r="Q2893">
        <v>0</v>
      </c>
    </row>
    <row r="2894" spans="1:17" x14ac:dyDescent="0.2">
      <c r="A2894" s="1" t="str">
        <f>HYPERLINK("http://www.twitter.com/Ugo_Roux/status/390422135006838784", "390422135006838784")</f>
        <v>390422135006838784</v>
      </c>
      <c r="B2894" t="s">
        <v>130</v>
      </c>
      <c r="C2894" s="3">
        <v>41563.431307870371</v>
      </c>
      <c r="D2894" s="5" t="s">
        <v>28</v>
      </c>
      <c r="E2894">
        <v>0</v>
      </c>
      <c r="F2894">
        <v>0</v>
      </c>
      <c r="G2894">
        <v>0</v>
      </c>
      <c r="I2894" t="s">
        <v>2931</v>
      </c>
      <c r="N2894">
        <v>0</v>
      </c>
      <c r="O2894">
        <v>0</v>
      </c>
      <c r="P2894">
        <v>1</v>
      </c>
      <c r="Q2894">
        <v>0</v>
      </c>
    </row>
    <row r="2895" spans="1:17" x14ac:dyDescent="0.2">
      <c r="A2895" s="1" t="str">
        <f>HYPERLINK("http://www.twitter.com/Ugo_Roux/status/385344829708050432", "385344829708050432")</f>
        <v>385344829708050432</v>
      </c>
      <c r="B2895" t="s">
        <v>130</v>
      </c>
      <c r="C2895" s="3">
        <v>41549.420613425929</v>
      </c>
      <c r="D2895" s="5" t="s">
        <v>28</v>
      </c>
      <c r="E2895">
        <v>0</v>
      </c>
      <c r="F2895">
        <v>0</v>
      </c>
      <c r="G2895">
        <v>0</v>
      </c>
      <c r="I2895" t="s">
        <v>2932</v>
      </c>
      <c r="N2895">
        <v>0</v>
      </c>
      <c r="O2895">
        <v>0</v>
      </c>
      <c r="P2895">
        <v>1</v>
      </c>
      <c r="Q2895">
        <v>0</v>
      </c>
    </row>
    <row r="2896" spans="1:17" x14ac:dyDescent="0.2">
      <c r="A2896" s="1" t="str">
        <f>HYPERLINK("http://www.twitter.com/Ugo_Roux/status/382913130894213120", "382913130894213120")</f>
        <v>382913130894213120</v>
      </c>
      <c r="B2896" t="s">
        <v>97</v>
      </c>
      <c r="C2896" s="3">
        <v>41542.710405092592</v>
      </c>
      <c r="D2896" s="5" t="s">
        <v>41</v>
      </c>
      <c r="E2896">
        <v>0</v>
      </c>
      <c r="F2896">
        <v>0</v>
      </c>
      <c r="G2896">
        <v>0</v>
      </c>
      <c r="I2896" t="s">
        <v>2933</v>
      </c>
      <c r="N2896">
        <v>0</v>
      </c>
      <c r="O2896">
        <v>0</v>
      </c>
      <c r="P2896">
        <v>1</v>
      </c>
      <c r="Q2896">
        <v>0</v>
      </c>
    </row>
    <row r="2897" spans="1:17" x14ac:dyDescent="0.2">
      <c r="A2897" s="1" t="str">
        <f>HYPERLINK("http://www.twitter.com/Ugo_Roux/status/382774147644133376", "382774147644133376")</f>
        <v>382774147644133376</v>
      </c>
      <c r="B2897" t="s">
        <v>97</v>
      </c>
      <c r="C2897" s="3">
        <v>41542.326886574083</v>
      </c>
      <c r="D2897" s="5" t="s">
        <v>28</v>
      </c>
      <c r="E2897">
        <v>0</v>
      </c>
      <c r="F2897">
        <v>0</v>
      </c>
      <c r="G2897">
        <v>0</v>
      </c>
      <c r="I2897" t="s">
        <v>2934</v>
      </c>
      <c r="N2897">
        <v>0</v>
      </c>
      <c r="O2897">
        <v>0</v>
      </c>
      <c r="P2897">
        <v>1</v>
      </c>
      <c r="Q2897">
        <v>0</v>
      </c>
    </row>
    <row r="2898" spans="1:17" x14ac:dyDescent="0.2">
      <c r="A2898" s="1" t="str">
        <f>HYPERLINK("http://www.twitter.com/Ugo_Roux/status/381071752211619840", "381071752211619840")</f>
        <v>381071752211619840</v>
      </c>
      <c r="B2898" t="s">
        <v>370</v>
      </c>
      <c r="C2898" s="3">
        <v>41537.629166666673</v>
      </c>
      <c r="D2898" s="5" t="s">
        <v>28</v>
      </c>
      <c r="E2898">
        <v>0</v>
      </c>
      <c r="F2898">
        <v>0</v>
      </c>
      <c r="G2898">
        <v>0</v>
      </c>
      <c r="I2898" t="s">
        <v>2935</v>
      </c>
      <c r="N2898">
        <v>0</v>
      </c>
      <c r="O2898">
        <v>0</v>
      </c>
      <c r="P2898">
        <v>1</v>
      </c>
      <c r="Q2898">
        <v>0</v>
      </c>
    </row>
    <row r="2899" spans="1:17" x14ac:dyDescent="0.2">
      <c r="A2899" s="1" t="str">
        <f>HYPERLINK("http://www.twitter.com/Ugo_Roux/status/378860208908673024", "378860208908673024")</f>
        <v>378860208908673024</v>
      </c>
      <c r="B2899" t="s">
        <v>97</v>
      </c>
      <c r="C2899" s="3">
        <v>41531.526469907411</v>
      </c>
      <c r="D2899" s="5" t="s">
        <v>17</v>
      </c>
      <c r="E2899">
        <v>0</v>
      </c>
      <c r="F2899">
        <v>0</v>
      </c>
      <c r="G2899">
        <v>0</v>
      </c>
      <c r="I2899" t="s">
        <v>2936</v>
      </c>
      <c r="N2899">
        <v>0</v>
      </c>
      <c r="O2899">
        <v>0</v>
      </c>
      <c r="P2899">
        <v>1</v>
      </c>
      <c r="Q2899">
        <v>0</v>
      </c>
    </row>
    <row r="2900" spans="1:17" x14ac:dyDescent="0.2">
      <c r="A2900" s="1" t="str">
        <f>HYPERLINK("http://www.twitter.com/Ugo_Roux/status/375961839105888256", "375961839105888256")</f>
        <v>375961839105888256</v>
      </c>
      <c r="B2900" t="s">
        <v>97</v>
      </c>
      <c r="C2900" s="3">
        <v>41523.528495370367</v>
      </c>
      <c r="D2900" s="5" t="s">
        <v>28</v>
      </c>
      <c r="E2900">
        <v>0</v>
      </c>
      <c r="F2900">
        <v>0</v>
      </c>
      <c r="G2900">
        <v>0</v>
      </c>
      <c r="I2900" t="s">
        <v>2937</v>
      </c>
      <c r="N2900">
        <v>0</v>
      </c>
      <c r="O2900">
        <v>0</v>
      </c>
      <c r="P2900">
        <v>1</v>
      </c>
      <c r="Q2900">
        <v>0</v>
      </c>
    </row>
    <row r="2901" spans="1:17" x14ac:dyDescent="0.2">
      <c r="A2901" s="1" t="str">
        <f>HYPERLINK("http://www.twitter.com/Ugo_Roux/status/375196566262251520", "375196566262251520")</f>
        <v>375196566262251520</v>
      </c>
      <c r="B2901" t="s">
        <v>97</v>
      </c>
      <c r="C2901" s="3">
        <v>41521.41673611111</v>
      </c>
      <c r="D2901" s="5" t="s">
        <v>28</v>
      </c>
      <c r="E2901">
        <v>0</v>
      </c>
      <c r="F2901">
        <v>0</v>
      </c>
      <c r="G2901">
        <v>0</v>
      </c>
      <c r="I2901" t="s">
        <v>2938</v>
      </c>
      <c r="N2901">
        <v>0</v>
      </c>
      <c r="O2901">
        <v>0</v>
      </c>
      <c r="P2901">
        <v>1</v>
      </c>
      <c r="Q2901">
        <v>0</v>
      </c>
    </row>
    <row r="2902" spans="1:17" x14ac:dyDescent="0.2">
      <c r="A2902" s="1" t="str">
        <f>HYPERLINK("http://www.twitter.com/Ugo_Roux/status/374803563597148160", "374803563597148160")</f>
        <v>374803563597148160</v>
      </c>
      <c r="B2902" t="s">
        <v>370</v>
      </c>
      <c r="C2902" s="3">
        <v>41520.332256944443</v>
      </c>
      <c r="D2902" s="5" t="s">
        <v>17</v>
      </c>
      <c r="E2902">
        <v>0</v>
      </c>
      <c r="F2902">
        <v>0</v>
      </c>
      <c r="G2902">
        <v>0</v>
      </c>
      <c r="I2902" t="s">
        <v>2939</v>
      </c>
      <c r="N2902">
        <v>0</v>
      </c>
      <c r="O2902">
        <v>0</v>
      </c>
      <c r="P2902">
        <v>1</v>
      </c>
      <c r="Q2902">
        <v>0</v>
      </c>
    </row>
    <row r="2903" spans="1:17" x14ac:dyDescent="0.2">
      <c r="A2903" s="1" t="str">
        <f>HYPERLINK("http://www.twitter.com/Ugo_Roux/status/374803319283150848", "374803319283150848")</f>
        <v>374803319283150848</v>
      </c>
      <c r="B2903" t="s">
        <v>370</v>
      </c>
      <c r="C2903" s="3">
        <v>41520.331585648149</v>
      </c>
      <c r="D2903" s="5" t="s">
        <v>28</v>
      </c>
      <c r="E2903">
        <v>0</v>
      </c>
      <c r="F2903">
        <v>0</v>
      </c>
      <c r="G2903">
        <v>0</v>
      </c>
      <c r="I2903" t="s">
        <v>2940</v>
      </c>
      <c r="N2903">
        <v>0</v>
      </c>
      <c r="O2903">
        <v>0</v>
      </c>
      <c r="P2903">
        <v>1</v>
      </c>
      <c r="Q2903">
        <v>0</v>
      </c>
    </row>
    <row r="2904" spans="1:17" x14ac:dyDescent="0.2">
      <c r="A2904" s="1" t="str">
        <f>HYPERLINK("http://www.twitter.com/Ugo_Roux/status/372701343581884416", "372701343581884416")</f>
        <v>372701343581884416</v>
      </c>
      <c r="B2904" t="s">
        <v>97</v>
      </c>
      <c r="C2904" s="3">
        <v>41514.531238425923</v>
      </c>
      <c r="D2904" s="5" t="s">
        <v>24</v>
      </c>
      <c r="E2904">
        <v>0</v>
      </c>
      <c r="F2904">
        <v>0</v>
      </c>
      <c r="G2904">
        <v>0</v>
      </c>
      <c r="I2904" t="s">
        <v>2941</v>
      </c>
      <c r="N2904">
        <v>0</v>
      </c>
      <c r="O2904">
        <v>0</v>
      </c>
      <c r="P2904">
        <v>1</v>
      </c>
      <c r="Q2904">
        <v>0</v>
      </c>
    </row>
    <row r="2905" spans="1:17" x14ac:dyDescent="0.2">
      <c r="A2905" s="1" t="str">
        <f>HYPERLINK("http://www.twitter.com/Ugo_Roux/status/370510083706593280", "370510083706593280")</f>
        <v>370510083706593280</v>
      </c>
      <c r="B2905" t="s">
        <v>97</v>
      </c>
      <c r="C2905" s="3">
        <v>41508.484513888892</v>
      </c>
      <c r="D2905" s="5" t="s">
        <v>24</v>
      </c>
      <c r="E2905">
        <v>0</v>
      </c>
      <c r="F2905">
        <v>0</v>
      </c>
      <c r="G2905">
        <v>0</v>
      </c>
      <c r="I2905" t="s">
        <v>2942</v>
      </c>
      <c r="N2905">
        <v>0</v>
      </c>
      <c r="O2905">
        <v>0</v>
      </c>
      <c r="P2905">
        <v>1</v>
      </c>
      <c r="Q2905">
        <v>0</v>
      </c>
    </row>
    <row r="2906" spans="1:17" x14ac:dyDescent="0.2">
      <c r="A2906" s="1" t="str">
        <f>HYPERLINK("http://www.twitter.com/Ugo_Roux/status/362513006225137664", "362513006225137664")</f>
        <v>362513006225137664</v>
      </c>
      <c r="B2906" t="s">
        <v>130</v>
      </c>
      <c r="C2906" s="3">
        <v>41486.41678240741</v>
      </c>
      <c r="D2906" s="5" t="s">
        <v>17</v>
      </c>
      <c r="E2906">
        <v>0</v>
      </c>
      <c r="F2906">
        <v>1</v>
      </c>
      <c r="G2906">
        <v>0</v>
      </c>
      <c r="I2906" t="s">
        <v>2943</v>
      </c>
      <c r="N2906">
        <v>0.57189999999999996</v>
      </c>
      <c r="O2906">
        <v>0</v>
      </c>
      <c r="P2906">
        <v>0.82099999999999995</v>
      </c>
      <c r="Q2906">
        <v>0.17899999999999999</v>
      </c>
    </row>
    <row r="2907" spans="1:17" x14ac:dyDescent="0.2">
      <c r="A2907" s="1" t="str">
        <f>HYPERLINK("http://www.twitter.com/Ugo_Roux/status/360794539126042624", "360794539126042624")</f>
        <v>360794539126042624</v>
      </c>
      <c r="B2907" t="s">
        <v>97</v>
      </c>
      <c r="C2907" s="3">
        <v>41481.674722222233</v>
      </c>
      <c r="D2907" s="5" t="s">
        <v>24</v>
      </c>
      <c r="E2907">
        <v>0</v>
      </c>
      <c r="F2907">
        <v>0</v>
      </c>
      <c r="G2907">
        <v>0</v>
      </c>
      <c r="I2907" t="s">
        <v>2944</v>
      </c>
      <c r="N2907">
        <v>0</v>
      </c>
      <c r="O2907">
        <v>0</v>
      </c>
      <c r="P2907">
        <v>1</v>
      </c>
      <c r="Q2907">
        <v>0</v>
      </c>
    </row>
    <row r="2908" spans="1:17" x14ac:dyDescent="0.2">
      <c r="A2908" s="1" t="str">
        <f>HYPERLINK("http://www.twitter.com/Ugo_Roux/status/358210662549307392", "358210662549307392")</f>
        <v>358210662549307392</v>
      </c>
      <c r="B2908" t="s">
        <v>130</v>
      </c>
      <c r="C2908" s="3">
        <v>41474.544571759259</v>
      </c>
      <c r="D2908" s="5" t="s">
        <v>28</v>
      </c>
      <c r="E2908">
        <v>0</v>
      </c>
      <c r="F2908">
        <v>0</v>
      </c>
      <c r="G2908">
        <v>0</v>
      </c>
      <c r="I2908" t="s">
        <v>2945</v>
      </c>
      <c r="N2908">
        <v>0</v>
      </c>
      <c r="O2908">
        <v>0</v>
      </c>
      <c r="P2908">
        <v>1</v>
      </c>
      <c r="Q2908">
        <v>0</v>
      </c>
    </row>
    <row r="2909" spans="1:17" x14ac:dyDescent="0.2">
      <c r="A2909" s="1" t="str">
        <f>HYPERLINK("http://www.twitter.com/Ugo_Roux/status/357399645145665536", "357399645145665536")</f>
        <v>357399645145665536</v>
      </c>
      <c r="B2909" t="s">
        <v>97</v>
      </c>
      <c r="C2909" s="3">
        <v>41472.306597222218</v>
      </c>
      <c r="D2909" s="5" t="s">
        <v>28</v>
      </c>
      <c r="E2909">
        <v>0</v>
      </c>
      <c r="F2909">
        <v>1</v>
      </c>
      <c r="G2909">
        <v>0</v>
      </c>
      <c r="I2909" t="s">
        <v>2946</v>
      </c>
      <c r="N2909">
        <v>0</v>
      </c>
      <c r="O2909">
        <v>0</v>
      </c>
      <c r="P2909">
        <v>1</v>
      </c>
      <c r="Q2909">
        <v>0</v>
      </c>
    </row>
    <row r="2910" spans="1:17" x14ac:dyDescent="0.2">
      <c r="A2910" s="1" t="str">
        <f>HYPERLINK("http://www.twitter.com/Ugo_Roux/status/355968717525491714", "355968717525491714")</f>
        <v>355968717525491714</v>
      </c>
      <c r="B2910" t="s">
        <v>130</v>
      </c>
      <c r="C2910" s="3">
        <v>41468.357986111107</v>
      </c>
      <c r="D2910" s="5" t="s">
        <v>28</v>
      </c>
      <c r="E2910">
        <v>0</v>
      </c>
      <c r="F2910">
        <v>0</v>
      </c>
      <c r="G2910">
        <v>0</v>
      </c>
      <c r="I2910" t="s">
        <v>2947</v>
      </c>
      <c r="N2910">
        <v>0</v>
      </c>
      <c r="O2910">
        <v>0</v>
      </c>
      <c r="P2910">
        <v>1</v>
      </c>
      <c r="Q2910">
        <v>0</v>
      </c>
    </row>
    <row r="2911" spans="1:17" x14ac:dyDescent="0.2">
      <c r="A2911" s="1" t="str">
        <f>HYPERLINK("http://www.twitter.com/Ugo_Roux/status/352739670699937792", "352739670699937792")</f>
        <v>352739670699937792</v>
      </c>
      <c r="B2911" t="s">
        <v>97</v>
      </c>
      <c r="C2911" s="3">
        <v>41459.447511574072</v>
      </c>
      <c r="D2911" s="5" t="s">
        <v>17</v>
      </c>
      <c r="E2911">
        <v>0</v>
      </c>
      <c r="F2911">
        <v>0</v>
      </c>
      <c r="G2911">
        <v>0</v>
      </c>
      <c r="I2911" t="s">
        <v>2948</v>
      </c>
      <c r="N2911">
        <v>0</v>
      </c>
      <c r="O2911">
        <v>0</v>
      </c>
      <c r="P2911">
        <v>1</v>
      </c>
      <c r="Q2911">
        <v>0</v>
      </c>
    </row>
    <row r="2912" spans="1:17" x14ac:dyDescent="0.2">
      <c r="A2912" s="1" t="str">
        <f>HYPERLINK("http://www.twitter.com/Ugo_Roux/status/352714173328785408", "352714173328785408")</f>
        <v>352714173328785408</v>
      </c>
      <c r="B2912" t="s">
        <v>130</v>
      </c>
      <c r="C2912" s="3">
        <v>41459.377152777779</v>
      </c>
      <c r="D2912" s="5" t="s">
        <v>17</v>
      </c>
      <c r="E2912">
        <v>0</v>
      </c>
      <c r="F2912">
        <v>0</v>
      </c>
      <c r="G2912">
        <v>0</v>
      </c>
      <c r="I2912" t="s">
        <v>2949</v>
      </c>
      <c r="N2912">
        <v>0</v>
      </c>
      <c r="O2912">
        <v>0</v>
      </c>
      <c r="P2912">
        <v>1</v>
      </c>
      <c r="Q2912">
        <v>0</v>
      </c>
    </row>
    <row r="2913" spans="1:17" x14ac:dyDescent="0.2">
      <c r="A2913" s="1" t="str">
        <f>HYPERLINK("http://www.twitter.com/Ugo_Roux/status/349836263202897920", "349836263202897920")</f>
        <v>349836263202897920</v>
      </c>
      <c r="B2913" t="s">
        <v>97</v>
      </c>
      <c r="C2913" s="3">
        <v>41451.435636574082</v>
      </c>
      <c r="D2913" s="5" t="s">
        <v>24</v>
      </c>
      <c r="E2913">
        <v>0</v>
      </c>
      <c r="F2913">
        <v>0</v>
      </c>
      <c r="G2913">
        <v>0</v>
      </c>
      <c r="I2913" t="s">
        <v>2950</v>
      </c>
      <c r="N2913">
        <v>0</v>
      </c>
      <c r="O2913">
        <v>0</v>
      </c>
      <c r="P2913">
        <v>1</v>
      </c>
      <c r="Q2913">
        <v>0</v>
      </c>
    </row>
    <row r="2914" spans="1:17" x14ac:dyDescent="0.2">
      <c r="A2914" s="1" t="str">
        <f>HYPERLINK("http://www.twitter.com/Ugo_Roux/status/349815543307575297", "349815543307575297")</f>
        <v>349815543307575297</v>
      </c>
      <c r="B2914" t="s">
        <v>97</v>
      </c>
      <c r="C2914" s="3">
        <v>41451.378460648149</v>
      </c>
      <c r="D2914" s="5" t="s">
        <v>24</v>
      </c>
      <c r="E2914">
        <v>0</v>
      </c>
      <c r="F2914">
        <v>0</v>
      </c>
      <c r="G2914">
        <v>0</v>
      </c>
      <c r="I2914" t="s">
        <v>2951</v>
      </c>
      <c r="N2914">
        <v>0</v>
      </c>
      <c r="O2914">
        <v>0</v>
      </c>
      <c r="P2914">
        <v>1</v>
      </c>
      <c r="Q2914">
        <v>0</v>
      </c>
    </row>
    <row r="2915" spans="1:17" x14ac:dyDescent="0.2">
      <c r="A2915" s="1" t="str">
        <f>HYPERLINK("http://www.twitter.com/Ugo_Roux/status/347272639611543552", "347272639611543552")</f>
        <v>347272639611543552</v>
      </c>
      <c r="B2915" t="s">
        <v>97</v>
      </c>
      <c r="C2915" s="3">
        <v>41444.361377314817</v>
      </c>
      <c r="D2915" s="5" t="s">
        <v>24</v>
      </c>
      <c r="E2915">
        <v>0</v>
      </c>
      <c r="F2915">
        <v>0</v>
      </c>
      <c r="G2915">
        <v>0</v>
      </c>
      <c r="I2915" t="s">
        <v>2952</v>
      </c>
      <c r="N2915">
        <v>0</v>
      </c>
      <c r="O2915">
        <v>0</v>
      </c>
      <c r="P2915">
        <v>1</v>
      </c>
      <c r="Q2915">
        <v>0</v>
      </c>
    </row>
    <row r="2916" spans="1:17" x14ac:dyDescent="0.2">
      <c r="A2916" s="1" t="str">
        <f>HYPERLINK("http://www.twitter.com/Ugo_Roux/status/347267840488919040", "347267840488919040")</f>
        <v>347267840488919040</v>
      </c>
      <c r="B2916" t="s">
        <v>370</v>
      </c>
      <c r="C2916" s="3">
        <v>41444.348136574074</v>
      </c>
      <c r="D2916" s="5" t="s">
        <v>28</v>
      </c>
      <c r="E2916">
        <v>0</v>
      </c>
      <c r="F2916">
        <v>0</v>
      </c>
      <c r="G2916">
        <v>0</v>
      </c>
      <c r="I2916" t="s">
        <v>2953</v>
      </c>
      <c r="N2916">
        <v>0</v>
      </c>
      <c r="O2916">
        <v>0</v>
      </c>
      <c r="P2916">
        <v>1</v>
      </c>
      <c r="Q2916">
        <v>0</v>
      </c>
    </row>
    <row r="2917" spans="1:17" x14ac:dyDescent="0.2">
      <c r="A2917" s="1" t="str">
        <f>HYPERLINK("http://www.twitter.com/Ugo_Roux/status/345092581539082240", "345092581539082240")</f>
        <v>345092581539082240</v>
      </c>
      <c r="B2917" t="s">
        <v>130</v>
      </c>
      <c r="C2917" s="3">
        <v>41438.345567129632</v>
      </c>
      <c r="D2917" s="5" t="s">
        <v>17</v>
      </c>
      <c r="E2917">
        <v>0</v>
      </c>
      <c r="F2917">
        <v>3</v>
      </c>
      <c r="G2917">
        <v>0</v>
      </c>
      <c r="I2917" t="s">
        <v>2954</v>
      </c>
      <c r="N2917">
        <v>0</v>
      </c>
      <c r="O2917">
        <v>0</v>
      </c>
      <c r="P2917">
        <v>1</v>
      </c>
      <c r="Q2917">
        <v>0</v>
      </c>
    </row>
    <row r="2918" spans="1:17" x14ac:dyDescent="0.2">
      <c r="A2918" s="1" t="str">
        <f>HYPERLINK("http://www.twitter.com/Ugo_Roux/status/344844063771602944", "344844063771602944")</f>
        <v>344844063771602944</v>
      </c>
      <c r="B2918" t="s">
        <v>130</v>
      </c>
      <c r="C2918" s="3">
        <v>41437.659791666672</v>
      </c>
      <c r="D2918" s="5" t="s">
        <v>41</v>
      </c>
      <c r="E2918">
        <v>0</v>
      </c>
      <c r="F2918">
        <v>0</v>
      </c>
      <c r="G2918">
        <v>0</v>
      </c>
      <c r="I2918" t="s">
        <v>2955</v>
      </c>
      <c r="N2918">
        <v>0.50929999999999997</v>
      </c>
      <c r="O2918">
        <v>0</v>
      </c>
      <c r="P2918">
        <v>0.82</v>
      </c>
      <c r="Q2918">
        <v>0.18</v>
      </c>
    </row>
    <row r="2919" spans="1:17" x14ac:dyDescent="0.2">
      <c r="A2919" s="1" t="str">
        <f>HYPERLINK("http://www.twitter.com/Ugo_Roux/status/342593910721351680", "342593910721351680")</f>
        <v>342593910721351680</v>
      </c>
      <c r="B2919" t="s">
        <v>130</v>
      </c>
      <c r="C2919" s="3">
        <v>41431.450555555559</v>
      </c>
      <c r="D2919" s="5" t="s">
        <v>28</v>
      </c>
      <c r="E2919">
        <v>0</v>
      </c>
      <c r="F2919">
        <v>0</v>
      </c>
      <c r="G2919">
        <v>0</v>
      </c>
      <c r="I2919" t="s">
        <v>2956</v>
      </c>
      <c r="N2919">
        <v>0</v>
      </c>
      <c r="O2919">
        <v>0</v>
      </c>
      <c r="P2919">
        <v>1</v>
      </c>
      <c r="Q2919">
        <v>0</v>
      </c>
    </row>
    <row r="2920" spans="1:17" x14ac:dyDescent="0.2">
      <c r="A2920" s="1" t="str">
        <f>HYPERLINK("http://www.twitter.com/Ugo_Roux/status/342006723227291649", "342006723227291649")</f>
        <v>342006723227291649</v>
      </c>
      <c r="B2920" t="s">
        <v>130</v>
      </c>
      <c r="C2920" s="3">
        <v>41429.83021990741</v>
      </c>
      <c r="D2920" s="5" t="s">
        <v>28</v>
      </c>
      <c r="E2920">
        <v>0</v>
      </c>
      <c r="F2920">
        <v>0</v>
      </c>
      <c r="G2920">
        <v>0</v>
      </c>
      <c r="I2920" t="s">
        <v>2957</v>
      </c>
      <c r="N2920">
        <v>0</v>
      </c>
      <c r="O2920">
        <v>0</v>
      </c>
      <c r="P2920">
        <v>1</v>
      </c>
      <c r="Q2920">
        <v>0</v>
      </c>
    </row>
    <row r="2921" spans="1:17" x14ac:dyDescent="0.2">
      <c r="A2921" s="1" t="str">
        <f>HYPERLINK("http://www.twitter.com/Ugo_Roux/status/342005444845375488", "342005444845375488")</f>
        <v>342005444845375488</v>
      </c>
      <c r="B2921" t="s">
        <v>130</v>
      </c>
      <c r="C2921" s="3">
        <v>41429.826689814807</v>
      </c>
      <c r="D2921" s="5" t="s">
        <v>28</v>
      </c>
      <c r="E2921">
        <v>0</v>
      </c>
      <c r="F2921">
        <v>0</v>
      </c>
      <c r="G2921">
        <v>0</v>
      </c>
      <c r="I2921" t="s">
        <v>2958</v>
      </c>
      <c r="N2921">
        <v>0</v>
      </c>
      <c r="O2921">
        <v>0</v>
      </c>
      <c r="P2921">
        <v>1</v>
      </c>
      <c r="Q2921">
        <v>0</v>
      </c>
    </row>
    <row r="2922" spans="1:17" x14ac:dyDescent="0.2">
      <c r="A2922" s="1" t="str">
        <f>HYPERLINK("http://www.twitter.com/Ugo_Roux/status/340349186962780160", "340349186962780160")</f>
        <v>340349186962780160</v>
      </c>
      <c r="B2922" t="s">
        <v>130</v>
      </c>
      <c r="C2922" s="3">
        <v>41425.256296296298</v>
      </c>
      <c r="D2922" s="5" t="s">
        <v>17</v>
      </c>
      <c r="E2922">
        <v>0</v>
      </c>
      <c r="F2922">
        <v>0</v>
      </c>
      <c r="G2922">
        <v>0</v>
      </c>
      <c r="I2922" t="s">
        <v>2959</v>
      </c>
      <c r="N2922">
        <v>0</v>
      </c>
      <c r="O2922">
        <v>0</v>
      </c>
      <c r="P2922">
        <v>1</v>
      </c>
      <c r="Q2922">
        <v>0</v>
      </c>
    </row>
    <row r="2923" spans="1:17" x14ac:dyDescent="0.2">
      <c r="A2923" s="1" t="str">
        <f>HYPERLINK("http://www.twitter.com/Ugo_Roux/status/337925225104699393", "337925225104699393")</f>
        <v>337925225104699393</v>
      </c>
      <c r="B2923" t="s">
        <v>130</v>
      </c>
      <c r="C2923" s="3">
        <v>41418.567430555559</v>
      </c>
      <c r="D2923" s="5" t="s">
        <v>17</v>
      </c>
      <c r="E2923">
        <v>0</v>
      </c>
      <c r="F2923">
        <v>0</v>
      </c>
      <c r="G2923">
        <v>0</v>
      </c>
      <c r="I2923" t="s">
        <v>2960</v>
      </c>
      <c r="N2923">
        <v>0</v>
      </c>
      <c r="O2923">
        <v>0</v>
      </c>
      <c r="P2923">
        <v>1</v>
      </c>
      <c r="Q2923">
        <v>0</v>
      </c>
    </row>
    <row r="2924" spans="1:17" x14ac:dyDescent="0.2">
      <c r="A2924" s="1" t="str">
        <f>HYPERLINK("http://www.twitter.com/Ugo_Roux/status/337925205982851074", "337925205982851074")</f>
        <v>337925205982851074</v>
      </c>
      <c r="B2924" t="s">
        <v>130</v>
      </c>
      <c r="C2924" s="3">
        <v>41418.567384259259</v>
      </c>
      <c r="D2924" s="5" t="s">
        <v>41</v>
      </c>
      <c r="E2924">
        <v>0</v>
      </c>
      <c r="F2924">
        <v>0</v>
      </c>
      <c r="G2924">
        <v>0</v>
      </c>
      <c r="I2924" t="s">
        <v>2961</v>
      </c>
      <c r="N2924">
        <v>0</v>
      </c>
      <c r="O2924">
        <v>0</v>
      </c>
      <c r="P2924">
        <v>1</v>
      </c>
      <c r="Q2924">
        <v>0</v>
      </c>
    </row>
    <row r="2925" spans="1:17" x14ac:dyDescent="0.2">
      <c r="A2925" s="1" t="str">
        <f>HYPERLINK("http://www.twitter.com/Ugo_Roux/status/337836251388452865", "337836251388452865")</f>
        <v>337836251388452865</v>
      </c>
      <c r="B2925" t="s">
        <v>370</v>
      </c>
      <c r="C2925" s="3">
        <v>41418.321909722217</v>
      </c>
      <c r="D2925" s="5" t="s">
        <v>28</v>
      </c>
      <c r="E2925">
        <v>0</v>
      </c>
      <c r="F2925">
        <v>0</v>
      </c>
      <c r="G2925">
        <v>0</v>
      </c>
      <c r="I2925" t="s">
        <v>2962</v>
      </c>
      <c r="N2925">
        <v>0</v>
      </c>
      <c r="O2925">
        <v>0</v>
      </c>
      <c r="P2925">
        <v>1</v>
      </c>
      <c r="Q2925">
        <v>0</v>
      </c>
    </row>
    <row r="2926" spans="1:17" x14ac:dyDescent="0.2">
      <c r="A2926" s="1" t="str">
        <f>HYPERLINK("http://www.twitter.com/Ugo_Roux/status/337832932121145344", "337832932121145344")</f>
        <v>337832932121145344</v>
      </c>
      <c r="B2926" t="s">
        <v>370</v>
      </c>
      <c r="C2926" s="3">
        <v>41418.312754629631</v>
      </c>
      <c r="D2926" s="5" t="s">
        <v>28</v>
      </c>
      <c r="E2926">
        <v>0</v>
      </c>
      <c r="F2926">
        <v>0</v>
      </c>
      <c r="G2926">
        <v>0</v>
      </c>
      <c r="I2926" t="s">
        <v>2963</v>
      </c>
      <c r="N2926">
        <v>0</v>
      </c>
      <c r="O2926">
        <v>0</v>
      </c>
      <c r="P2926">
        <v>1</v>
      </c>
      <c r="Q2926">
        <v>0</v>
      </c>
    </row>
    <row r="2927" spans="1:17" x14ac:dyDescent="0.2">
      <c r="A2927" s="1" t="str">
        <f>HYPERLINK("http://www.twitter.com/Ugo_Roux/status/337136395829276672", "337136395829276672")</f>
        <v>337136395829276672</v>
      </c>
      <c r="B2927" t="s">
        <v>130</v>
      </c>
      <c r="C2927" s="3">
        <v>41416.390682870369</v>
      </c>
      <c r="D2927" s="5" t="s">
        <v>17</v>
      </c>
      <c r="E2927">
        <v>0</v>
      </c>
      <c r="F2927">
        <v>0</v>
      </c>
      <c r="G2927">
        <v>0</v>
      </c>
      <c r="I2927" t="s">
        <v>2964</v>
      </c>
      <c r="N2927">
        <v>0</v>
      </c>
      <c r="O2927">
        <v>0</v>
      </c>
      <c r="P2927">
        <v>1</v>
      </c>
      <c r="Q2927">
        <v>0</v>
      </c>
    </row>
    <row r="2928" spans="1:17" x14ac:dyDescent="0.2">
      <c r="A2928" s="1" t="str">
        <f>HYPERLINK("http://www.twitter.com/Ugo_Roux/status/335772408168448000", "335772408168448000")</f>
        <v>335772408168448000</v>
      </c>
      <c r="B2928" t="s">
        <v>130</v>
      </c>
      <c r="C2928" s="3">
        <v>41412.626793981479</v>
      </c>
      <c r="D2928" s="5" t="s">
        <v>28</v>
      </c>
      <c r="E2928">
        <v>0</v>
      </c>
      <c r="F2928">
        <v>0</v>
      </c>
      <c r="G2928">
        <v>0</v>
      </c>
      <c r="I2928" t="s">
        <v>2965</v>
      </c>
      <c r="N2928">
        <v>0</v>
      </c>
      <c r="O2928">
        <v>0</v>
      </c>
      <c r="P2928">
        <v>1</v>
      </c>
      <c r="Q2928">
        <v>0</v>
      </c>
    </row>
    <row r="2929" spans="1:17" x14ac:dyDescent="0.2">
      <c r="A2929" s="1" t="str">
        <f>HYPERLINK("http://www.twitter.com/Ugo_Roux/status/335386556615499776", "335386556615499776")</f>
        <v>335386556615499776</v>
      </c>
      <c r="B2929" t="s">
        <v>130</v>
      </c>
      <c r="C2929" s="3">
        <v>41411.562037037038</v>
      </c>
      <c r="D2929" s="5" t="s">
        <v>41</v>
      </c>
      <c r="E2929">
        <v>0</v>
      </c>
      <c r="F2929">
        <v>0</v>
      </c>
      <c r="G2929">
        <v>0</v>
      </c>
      <c r="I2929" t="s">
        <v>2966</v>
      </c>
      <c r="N2929">
        <v>0</v>
      </c>
      <c r="O2929">
        <v>0</v>
      </c>
      <c r="P2929">
        <v>1</v>
      </c>
      <c r="Q2929">
        <v>0</v>
      </c>
    </row>
    <row r="2930" spans="1:17" x14ac:dyDescent="0.2">
      <c r="A2930" s="1" t="str">
        <f>HYPERLINK("http://www.twitter.com/Ugo_Roux/status/334958993774616576", "334958993774616576")</f>
        <v>334958993774616576</v>
      </c>
      <c r="B2930" t="s">
        <v>97</v>
      </c>
      <c r="C2930" s="3">
        <v>41410.382199074083</v>
      </c>
      <c r="D2930" s="5" t="s">
        <v>515</v>
      </c>
      <c r="E2930">
        <v>0</v>
      </c>
      <c r="F2930">
        <v>0</v>
      </c>
      <c r="G2930">
        <v>0</v>
      </c>
      <c r="I2930" t="s">
        <v>2967</v>
      </c>
      <c r="N2930">
        <v>0</v>
      </c>
      <c r="O2930">
        <v>0</v>
      </c>
      <c r="P2930">
        <v>1</v>
      </c>
      <c r="Q2930">
        <v>0</v>
      </c>
    </row>
    <row r="2931" spans="1:17" x14ac:dyDescent="0.2">
      <c r="A2931" s="1" t="str">
        <f>HYPERLINK("http://www.twitter.com/Ugo_Roux/status/334257229865832448", "334257229865832448")</f>
        <v>334257229865832448</v>
      </c>
      <c r="B2931" t="s">
        <v>130</v>
      </c>
      <c r="C2931" s="3">
        <v>41408.445694444446</v>
      </c>
      <c r="D2931" s="5" t="s">
        <v>17</v>
      </c>
      <c r="E2931">
        <v>0</v>
      </c>
      <c r="F2931">
        <v>0</v>
      </c>
      <c r="G2931">
        <v>0</v>
      </c>
      <c r="I2931" t="s">
        <v>2968</v>
      </c>
      <c r="N2931">
        <v>0</v>
      </c>
      <c r="O2931">
        <v>0</v>
      </c>
      <c r="P2931">
        <v>1</v>
      </c>
      <c r="Q2931">
        <v>0</v>
      </c>
    </row>
    <row r="2932" spans="1:17" x14ac:dyDescent="0.2">
      <c r="A2932" s="1" t="str">
        <f>HYPERLINK("http://www.twitter.com/Ugo_Roux/status/330683131235553280", "330683131235553280")</f>
        <v>330683131235553280</v>
      </c>
      <c r="B2932" t="s">
        <v>97</v>
      </c>
      <c r="C2932" s="3">
        <v>41398.583055555559</v>
      </c>
      <c r="D2932" s="5" t="s">
        <v>17</v>
      </c>
      <c r="E2932">
        <v>0</v>
      </c>
      <c r="F2932">
        <v>0</v>
      </c>
      <c r="G2932">
        <v>0</v>
      </c>
      <c r="I2932" t="s">
        <v>2969</v>
      </c>
      <c r="N2932">
        <v>0</v>
      </c>
      <c r="O2932">
        <v>0</v>
      </c>
      <c r="P2932">
        <v>1</v>
      </c>
      <c r="Q2932">
        <v>0</v>
      </c>
    </row>
    <row r="2933" spans="1:17" x14ac:dyDescent="0.2">
      <c r="A2933" s="1" t="str">
        <f>HYPERLINK("http://www.twitter.com/Ugo_Roux/status/330601165794471936", "330601165794471936")</f>
        <v>330601165794471936</v>
      </c>
      <c r="B2933" t="s">
        <v>130</v>
      </c>
      <c r="C2933" s="3">
        <v>41398.356874999998</v>
      </c>
      <c r="D2933" s="5" t="s">
        <v>41</v>
      </c>
      <c r="E2933">
        <v>0</v>
      </c>
      <c r="F2933">
        <v>0</v>
      </c>
      <c r="G2933">
        <v>0</v>
      </c>
      <c r="I2933" t="s">
        <v>2970</v>
      </c>
      <c r="N2933">
        <v>0</v>
      </c>
      <c r="O2933">
        <v>0</v>
      </c>
      <c r="P2933">
        <v>1</v>
      </c>
      <c r="Q2933">
        <v>0</v>
      </c>
    </row>
    <row r="2934" spans="1:17" x14ac:dyDescent="0.2">
      <c r="A2934" s="1" t="str">
        <f>HYPERLINK("http://www.twitter.com/Ugo_Roux/status/329237190787870720", "329237190787870720")</f>
        <v>329237190787870720</v>
      </c>
      <c r="B2934" t="s">
        <v>97</v>
      </c>
      <c r="C2934" s="3">
        <v>41394.59302083333</v>
      </c>
      <c r="D2934" s="5" t="s">
        <v>28</v>
      </c>
      <c r="E2934">
        <v>0</v>
      </c>
      <c r="F2934">
        <v>0</v>
      </c>
      <c r="G2934">
        <v>0</v>
      </c>
      <c r="I2934" t="s">
        <v>2971</v>
      </c>
      <c r="N2934">
        <v>0</v>
      </c>
      <c r="O2934">
        <v>0</v>
      </c>
      <c r="P2934">
        <v>1</v>
      </c>
      <c r="Q2934">
        <v>0</v>
      </c>
    </row>
    <row r="2935" spans="1:17" x14ac:dyDescent="0.2">
      <c r="A2935" s="1" t="str">
        <f>HYPERLINK("http://www.twitter.com/Ugo_Roux/status/329214057011892224", "329214057011892224")</f>
        <v>329214057011892224</v>
      </c>
      <c r="B2935" t="s">
        <v>130</v>
      </c>
      <c r="C2935" s="3">
        <v>41394.529189814813</v>
      </c>
      <c r="D2935" s="5" t="s">
        <v>41</v>
      </c>
      <c r="E2935">
        <v>0</v>
      </c>
      <c r="F2935">
        <v>0</v>
      </c>
      <c r="G2935">
        <v>0</v>
      </c>
      <c r="I2935" t="s">
        <v>2972</v>
      </c>
      <c r="N2935">
        <v>0</v>
      </c>
      <c r="O2935">
        <v>0</v>
      </c>
      <c r="P2935">
        <v>1</v>
      </c>
      <c r="Q2935">
        <v>0</v>
      </c>
    </row>
    <row r="2936" spans="1:17" x14ac:dyDescent="0.2">
      <c r="A2936" s="1" t="str">
        <f>HYPERLINK("http://www.twitter.com/Ugo_Roux/status/327369961049841664", "327369961049841664")</f>
        <v>327369961049841664</v>
      </c>
      <c r="B2936" t="s">
        <v>370</v>
      </c>
      <c r="C2936" s="3">
        <v>41389.440451388888</v>
      </c>
      <c r="D2936" s="5" t="s">
        <v>28</v>
      </c>
      <c r="E2936">
        <v>0</v>
      </c>
      <c r="F2936">
        <v>0</v>
      </c>
      <c r="G2936">
        <v>0</v>
      </c>
      <c r="I2936" t="s">
        <v>2973</v>
      </c>
      <c r="N2936">
        <v>0</v>
      </c>
      <c r="O2936">
        <v>0</v>
      </c>
      <c r="P2936">
        <v>1</v>
      </c>
      <c r="Q2936">
        <v>0</v>
      </c>
    </row>
    <row r="2937" spans="1:17" x14ac:dyDescent="0.2">
      <c r="A2937" s="1" t="str">
        <f>HYPERLINK("http://www.twitter.com/Ugo_Roux/status/327006473202855936", "327006473202855936")</f>
        <v>327006473202855936</v>
      </c>
      <c r="B2937" t="s">
        <v>130</v>
      </c>
      <c r="C2937" s="3">
        <v>41388.437418981477</v>
      </c>
      <c r="D2937" s="5" t="s">
        <v>17</v>
      </c>
      <c r="E2937">
        <v>0</v>
      </c>
      <c r="F2937">
        <v>0</v>
      </c>
      <c r="G2937">
        <v>0</v>
      </c>
      <c r="I2937" t="s">
        <v>2974</v>
      </c>
      <c r="N2937">
        <v>0</v>
      </c>
      <c r="O2937">
        <v>0</v>
      </c>
      <c r="P2937">
        <v>1</v>
      </c>
      <c r="Q2937">
        <v>0</v>
      </c>
    </row>
    <row r="2938" spans="1:17" x14ac:dyDescent="0.2">
      <c r="A2938" s="1" t="str">
        <f>HYPERLINK("http://www.twitter.com/Ugo_Roux/status/326976419722821633", "326976419722821633")</f>
        <v>326976419722821633</v>
      </c>
      <c r="B2938" t="s">
        <v>130</v>
      </c>
      <c r="C2938" s="3">
        <v>41388.354490740741</v>
      </c>
      <c r="D2938" s="5" t="s">
        <v>17</v>
      </c>
      <c r="E2938">
        <v>0</v>
      </c>
      <c r="F2938">
        <v>0</v>
      </c>
      <c r="G2938">
        <v>0</v>
      </c>
      <c r="I2938" t="s">
        <v>2975</v>
      </c>
      <c r="N2938">
        <v>0</v>
      </c>
      <c r="O2938">
        <v>0</v>
      </c>
      <c r="P2938">
        <v>1</v>
      </c>
      <c r="Q2938">
        <v>0</v>
      </c>
    </row>
    <row r="2939" spans="1:17" x14ac:dyDescent="0.2">
      <c r="A2939" s="1" t="str">
        <f>HYPERLINK("http://www.twitter.com/Ugo_Roux/status/325864810359169025", "325864810359169025")</f>
        <v>325864810359169025</v>
      </c>
      <c r="B2939" t="s">
        <v>130</v>
      </c>
      <c r="C2939" s="3">
        <v>41385.28702546296</v>
      </c>
      <c r="D2939" s="5" t="s">
        <v>17</v>
      </c>
      <c r="E2939">
        <v>0</v>
      </c>
      <c r="F2939">
        <v>0</v>
      </c>
      <c r="G2939">
        <v>0</v>
      </c>
      <c r="I2939" t="s">
        <v>2976</v>
      </c>
      <c r="N2939">
        <v>0</v>
      </c>
      <c r="O2939">
        <v>0</v>
      </c>
      <c r="P2939">
        <v>1</v>
      </c>
      <c r="Q2939">
        <v>0</v>
      </c>
    </row>
    <row r="2940" spans="1:17" x14ac:dyDescent="0.2">
      <c r="A2940" s="1" t="str">
        <f>HYPERLINK("http://www.twitter.com/Ugo_Roux/status/324872472228933632", "324872472228933632")</f>
        <v>324872472228933632</v>
      </c>
      <c r="B2940" t="s">
        <v>130</v>
      </c>
      <c r="C2940" s="3">
        <v>41382.548692129632</v>
      </c>
      <c r="D2940" s="5" t="s">
        <v>41</v>
      </c>
      <c r="E2940">
        <v>0</v>
      </c>
      <c r="F2940">
        <v>0</v>
      </c>
      <c r="G2940">
        <v>0</v>
      </c>
      <c r="I2940" t="s">
        <v>2977</v>
      </c>
      <c r="N2940">
        <v>0</v>
      </c>
      <c r="O2940">
        <v>0</v>
      </c>
      <c r="P2940">
        <v>1</v>
      </c>
      <c r="Q2940">
        <v>0</v>
      </c>
    </row>
    <row r="2941" spans="1:17" x14ac:dyDescent="0.2">
      <c r="A2941" s="1" t="str">
        <f>HYPERLINK("http://www.twitter.com/Ugo_Roux/status/324100395704147968", "324100395704147968")</f>
        <v>324100395704147968</v>
      </c>
      <c r="B2941" t="s">
        <v>97</v>
      </c>
      <c r="C2941" s="3">
        <v>41380.418171296304</v>
      </c>
      <c r="D2941" s="5" t="s">
        <v>41</v>
      </c>
      <c r="E2941">
        <v>0</v>
      </c>
      <c r="F2941">
        <v>0</v>
      </c>
      <c r="G2941">
        <v>0</v>
      </c>
      <c r="I2941" t="s">
        <v>2978</v>
      </c>
      <c r="N2941">
        <v>0</v>
      </c>
      <c r="O2941">
        <v>0</v>
      </c>
      <c r="P2941">
        <v>1</v>
      </c>
      <c r="Q2941">
        <v>0</v>
      </c>
    </row>
    <row r="2942" spans="1:17" x14ac:dyDescent="0.2">
      <c r="A2942" s="1" t="str">
        <f>HYPERLINK("http://www.twitter.com/Ugo_Roux/status/323055739159601152", "323055739159601152")</f>
        <v>323055739159601152</v>
      </c>
      <c r="B2942" t="s">
        <v>130</v>
      </c>
      <c r="C2942" s="3">
        <v>41377.535462962973</v>
      </c>
      <c r="D2942" s="5" t="s">
        <v>17</v>
      </c>
      <c r="E2942">
        <v>0</v>
      </c>
      <c r="F2942">
        <v>0</v>
      </c>
      <c r="G2942">
        <v>0</v>
      </c>
      <c r="I2942" t="s">
        <v>2979</v>
      </c>
      <c r="N2942">
        <v>0</v>
      </c>
      <c r="O2942">
        <v>0</v>
      </c>
      <c r="P2942">
        <v>1</v>
      </c>
      <c r="Q2942">
        <v>0</v>
      </c>
    </row>
    <row r="2943" spans="1:17" x14ac:dyDescent="0.2">
      <c r="A2943" s="1" t="str">
        <f>HYPERLINK("http://www.twitter.com/Ugo_Roux/status/319451626484154369", "319451626484154369")</f>
        <v>319451626484154369</v>
      </c>
      <c r="B2943" t="s">
        <v>130</v>
      </c>
      <c r="C2943" s="3">
        <v>41367.590011574073</v>
      </c>
      <c r="D2943" s="5" t="s">
        <v>28</v>
      </c>
      <c r="E2943">
        <v>0</v>
      </c>
      <c r="F2943">
        <v>1</v>
      </c>
      <c r="G2943">
        <v>0</v>
      </c>
      <c r="I2943" t="s">
        <v>2980</v>
      </c>
      <c r="N2943">
        <v>0</v>
      </c>
      <c r="O2943">
        <v>0</v>
      </c>
      <c r="P2943">
        <v>1</v>
      </c>
      <c r="Q2943">
        <v>0</v>
      </c>
    </row>
    <row r="2944" spans="1:17" x14ac:dyDescent="0.2">
      <c r="A2944" s="1" t="str">
        <f>HYPERLINK("http://www.twitter.com/Ugo_Roux/status/319112708773511168", "319112708773511168")</f>
        <v>319112708773511168</v>
      </c>
      <c r="B2944" t="s">
        <v>130</v>
      </c>
      <c r="C2944" s="3">
        <v>41366.654780092591</v>
      </c>
      <c r="D2944" s="5" t="s">
        <v>17</v>
      </c>
      <c r="E2944">
        <v>0</v>
      </c>
      <c r="F2944">
        <v>0</v>
      </c>
      <c r="G2944">
        <v>0</v>
      </c>
      <c r="I2944" t="s">
        <v>2981</v>
      </c>
      <c r="N2944">
        <v>0</v>
      </c>
      <c r="O2944">
        <v>0</v>
      </c>
      <c r="P2944">
        <v>1</v>
      </c>
      <c r="Q2944">
        <v>0</v>
      </c>
    </row>
    <row r="2945" spans="1:17" x14ac:dyDescent="0.2">
      <c r="A2945" s="1" t="str">
        <f>HYPERLINK("http://www.twitter.com/Ugo_Roux/status/317599985321537536", "317599985321537536")</f>
        <v>317599985321537536</v>
      </c>
      <c r="B2945" t="s">
        <v>97</v>
      </c>
      <c r="C2945" s="3">
        <v>41362.480451388888</v>
      </c>
      <c r="D2945" s="5" t="s">
        <v>17</v>
      </c>
      <c r="E2945">
        <v>0</v>
      </c>
      <c r="F2945">
        <v>0</v>
      </c>
      <c r="G2945">
        <v>0</v>
      </c>
      <c r="I2945" t="s">
        <v>2982</v>
      </c>
      <c r="N2945">
        <v>0</v>
      </c>
      <c r="O2945">
        <v>0</v>
      </c>
      <c r="P2945">
        <v>1</v>
      </c>
      <c r="Q2945">
        <v>0</v>
      </c>
    </row>
    <row r="2946" spans="1:17" x14ac:dyDescent="0.2">
      <c r="A2946" s="1" t="str">
        <f>HYPERLINK("http://www.twitter.com/Ugo_Roux/status/317563748237856768", "317563748237856768")</f>
        <v>317563748237856768</v>
      </c>
      <c r="B2946" t="s">
        <v>370</v>
      </c>
      <c r="C2946" s="3">
        <v>41362.380462962959</v>
      </c>
      <c r="D2946" s="5" t="s">
        <v>28</v>
      </c>
      <c r="E2946">
        <v>0</v>
      </c>
      <c r="F2946">
        <v>0</v>
      </c>
      <c r="G2946">
        <v>0</v>
      </c>
      <c r="I2946" t="s">
        <v>2983</v>
      </c>
      <c r="N2946">
        <v>0</v>
      </c>
      <c r="O2946">
        <v>0</v>
      </c>
      <c r="P2946">
        <v>1</v>
      </c>
      <c r="Q2946">
        <v>0</v>
      </c>
    </row>
    <row r="2947" spans="1:17" x14ac:dyDescent="0.2">
      <c r="A2947" s="1" t="str">
        <f>HYPERLINK("http://www.twitter.com/Ugo_Roux/status/317253949289795587", "317253949289795587")</f>
        <v>317253949289795587</v>
      </c>
      <c r="B2947" t="s">
        <v>97</v>
      </c>
      <c r="C2947" s="3">
        <v>41361.525578703702</v>
      </c>
      <c r="D2947" s="5" t="s">
        <v>17</v>
      </c>
      <c r="E2947">
        <v>0</v>
      </c>
      <c r="F2947">
        <v>0</v>
      </c>
      <c r="G2947">
        <v>0</v>
      </c>
      <c r="I2947" t="s">
        <v>2984</v>
      </c>
      <c r="N2947">
        <v>0</v>
      </c>
      <c r="O2947">
        <v>0</v>
      </c>
      <c r="P2947">
        <v>1</v>
      </c>
      <c r="Q2947">
        <v>0</v>
      </c>
    </row>
    <row r="2948" spans="1:17" x14ac:dyDescent="0.2">
      <c r="A2948" s="1" t="str">
        <f>HYPERLINK("http://www.twitter.com/Ugo_Roux/status/316937122248536064", "316937122248536064")</f>
        <v>316937122248536064</v>
      </c>
      <c r="B2948" t="s">
        <v>97</v>
      </c>
      <c r="C2948" s="3">
        <v>41360.651307870372</v>
      </c>
      <c r="D2948" s="5" t="s">
        <v>41</v>
      </c>
      <c r="E2948">
        <v>0</v>
      </c>
      <c r="F2948">
        <v>0</v>
      </c>
      <c r="G2948">
        <v>0</v>
      </c>
      <c r="I2948" t="s">
        <v>2985</v>
      </c>
      <c r="N2948">
        <v>0</v>
      </c>
      <c r="O2948">
        <v>0</v>
      </c>
      <c r="P2948">
        <v>1</v>
      </c>
      <c r="Q2948">
        <v>0</v>
      </c>
    </row>
    <row r="2949" spans="1:17" x14ac:dyDescent="0.2">
      <c r="A2949" s="1" t="str">
        <f>HYPERLINK("http://www.twitter.com/Ugo_Roux/status/315470741694996480", "315470741694996480")</f>
        <v>315470741694996480</v>
      </c>
      <c r="B2949" t="s">
        <v>130</v>
      </c>
      <c r="C2949" s="3">
        <v>41356.604861111111</v>
      </c>
      <c r="D2949" s="5" t="s">
        <v>24</v>
      </c>
      <c r="E2949">
        <v>0</v>
      </c>
      <c r="F2949">
        <v>0</v>
      </c>
      <c r="G2949">
        <v>0</v>
      </c>
      <c r="I2949" t="s">
        <v>2986</v>
      </c>
      <c r="N2949">
        <v>0</v>
      </c>
      <c r="O2949">
        <v>0</v>
      </c>
      <c r="P2949">
        <v>1</v>
      </c>
      <c r="Q2949">
        <v>0</v>
      </c>
    </row>
    <row r="2950" spans="1:17" x14ac:dyDescent="0.2">
      <c r="A2950" s="1" t="str">
        <f>HYPERLINK("http://www.twitter.com/Ugo_Roux/status/315062812072345602", "315062812072345602")</f>
        <v>315062812072345602</v>
      </c>
      <c r="B2950" t="s">
        <v>97</v>
      </c>
      <c r="C2950" s="3">
        <v>41355.479189814818</v>
      </c>
      <c r="D2950" s="5" t="s">
        <v>28</v>
      </c>
      <c r="E2950">
        <v>0</v>
      </c>
      <c r="F2950">
        <v>0</v>
      </c>
      <c r="G2950">
        <v>0</v>
      </c>
      <c r="I2950" t="s">
        <v>2987</v>
      </c>
      <c r="N2950">
        <v>0</v>
      </c>
      <c r="O2950">
        <v>0</v>
      </c>
      <c r="P2950">
        <v>1</v>
      </c>
      <c r="Q2950">
        <v>0</v>
      </c>
    </row>
    <row r="2951" spans="1:17" x14ac:dyDescent="0.2">
      <c r="A2951" s="1" t="str">
        <f>HYPERLINK("http://www.twitter.com/Ugo_Roux/status/309748773414924288", "309748773414924288")</f>
        <v>309748773414924288</v>
      </c>
      <c r="B2951" t="s">
        <v>97</v>
      </c>
      <c r="C2951" s="3">
        <v>41340.815243055556</v>
      </c>
      <c r="D2951" s="5" t="s">
        <v>17</v>
      </c>
      <c r="E2951">
        <v>0</v>
      </c>
      <c r="F2951">
        <v>0</v>
      </c>
      <c r="G2951">
        <v>0</v>
      </c>
      <c r="I2951" t="s">
        <v>2988</v>
      </c>
      <c r="N2951">
        <v>0</v>
      </c>
      <c r="O2951">
        <v>0</v>
      </c>
      <c r="P2951">
        <v>1</v>
      </c>
      <c r="Q2951">
        <v>0</v>
      </c>
    </row>
    <row r="2952" spans="1:17" x14ac:dyDescent="0.2">
      <c r="A2952" s="1" t="str">
        <f>HYPERLINK("http://www.twitter.com/Ugo_Roux/status/309331185652355072", "309331185652355072")</f>
        <v>309331185652355072</v>
      </c>
      <c r="B2952" t="s">
        <v>130</v>
      </c>
      <c r="C2952" s="3">
        <v>41339.662916666668</v>
      </c>
      <c r="D2952" s="5" t="s">
        <v>28</v>
      </c>
      <c r="E2952">
        <v>0</v>
      </c>
      <c r="F2952">
        <v>0</v>
      </c>
      <c r="G2952">
        <v>0</v>
      </c>
      <c r="I2952" t="s">
        <v>2989</v>
      </c>
      <c r="N2952">
        <v>0</v>
      </c>
      <c r="O2952">
        <v>0</v>
      </c>
      <c r="P2952">
        <v>1</v>
      </c>
      <c r="Q2952">
        <v>0</v>
      </c>
    </row>
    <row r="2953" spans="1:17" x14ac:dyDescent="0.2">
      <c r="A2953" s="1" t="str">
        <f>HYPERLINK("http://www.twitter.com/Ugo_Roux/status/307861073543958528", "307861073543958528")</f>
        <v>307861073543958528</v>
      </c>
      <c r="B2953" t="s">
        <v>130</v>
      </c>
      <c r="C2953" s="3">
        <v>41335.606180555558</v>
      </c>
      <c r="D2953" s="5" t="s">
        <v>17</v>
      </c>
      <c r="E2953">
        <v>0</v>
      </c>
      <c r="F2953">
        <v>0</v>
      </c>
      <c r="G2953">
        <v>0</v>
      </c>
      <c r="I2953" t="s">
        <v>2990</v>
      </c>
      <c r="N2953">
        <v>0</v>
      </c>
      <c r="O2953">
        <v>0</v>
      </c>
      <c r="P2953">
        <v>1</v>
      </c>
      <c r="Q2953">
        <v>0</v>
      </c>
    </row>
    <row r="2954" spans="1:17" x14ac:dyDescent="0.2">
      <c r="A2954" s="1" t="str">
        <f>HYPERLINK("http://www.twitter.com/Ugo_Roux/status/305353314810355712", "305353314810355712")</f>
        <v>305353314810355712</v>
      </c>
      <c r="B2954" t="s">
        <v>130</v>
      </c>
      <c r="C2954" s="3">
        <v>41328.68608796296</v>
      </c>
      <c r="D2954" s="5" t="s">
        <v>28</v>
      </c>
      <c r="E2954">
        <v>0</v>
      </c>
      <c r="F2954">
        <v>0</v>
      </c>
      <c r="G2954">
        <v>0</v>
      </c>
      <c r="I2954" t="s">
        <v>2991</v>
      </c>
      <c r="N2954">
        <v>0.47670000000000001</v>
      </c>
      <c r="O2954">
        <v>0</v>
      </c>
      <c r="P2954">
        <v>0.81899999999999995</v>
      </c>
      <c r="Q2954">
        <v>0.18099999999999999</v>
      </c>
    </row>
    <row r="2955" spans="1:17" x14ac:dyDescent="0.2">
      <c r="A2955" s="1" t="str">
        <f>HYPERLINK("http://www.twitter.com/Ugo_Roux/status/305346384368922624", "305346384368922624")</f>
        <v>305346384368922624</v>
      </c>
      <c r="B2955" t="s">
        <v>130</v>
      </c>
      <c r="C2955" s="3">
        <v>41328.666956018518</v>
      </c>
      <c r="D2955" s="5" t="s">
        <v>28</v>
      </c>
      <c r="E2955">
        <v>0</v>
      </c>
      <c r="F2955">
        <v>0</v>
      </c>
      <c r="G2955">
        <v>0</v>
      </c>
      <c r="I2955" t="s">
        <v>2992</v>
      </c>
      <c r="N2955">
        <v>0</v>
      </c>
      <c r="O2955">
        <v>0</v>
      </c>
      <c r="P2955">
        <v>1</v>
      </c>
      <c r="Q2955">
        <v>0</v>
      </c>
    </row>
    <row r="2956" spans="1:17" x14ac:dyDescent="0.2">
      <c r="A2956" s="1" t="str">
        <f>HYPERLINK("http://www.twitter.com/Ugo_Roux/status/305345657772834817", "305345657772834817")</f>
        <v>305345657772834817</v>
      </c>
      <c r="B2956" t="s">
        <v>130</v>
      </c>
      <c r="C2956" s="3">
        <v>41328.664953703701</v>
      </c>
      <c r="D2956" s="5" t="s">
        <v>28</v>
      </c>
      <c r="E2956">
        <v>0</v>
      </c>
      <c r="F2956">
        <v>0</v>
      </c>
      <c r="G2956">
        <v>0</v>
      </c>
      <c r="I2956" t="s">
        <v>2993</v>
      </c>
      <c r="N2956">
        <v>0</v>
      </c>
      <c r="O2956">
        <v>0</v>
      </c>
      <c r="P2956">
        <v>1</v>
      </c>
      <c r="Q2956">
        <v>0</v>
      </c>
    </row>
    <row r="2957" spans="1:17" x14ac:dyDescent="0.2">
      <c r="A2957" s="1" t="str">
        <f>HYPERLINK("http://www.twitter.com/Ugo_Roux/status/305298164477468672", "305298164477468672")</f>
        <v>305298164477468672</v>
      </c>
      <c r="B2957" t="s">
        <v>130</v>
      </c>
      <c r="C2957" s="3">
        <v>41328.533900462957</v>
      </c>
      <c r="D2957" s="5" t="s">
        <v>17</v>
      </c>
      <c r="E2957">
        <v>0</v>
      </c>
      <c r="F2957">
        <v>0</v>
      </c>
      <c r="G2957">
        <v>0</v>
      </c>
      <c r="I2957" t="s">
        <v>2994</v>
      </c>
      <c r="N2957">
        <v>0</v>
      </c>
      <c r="O2957">
        <v>0</v>
      </c>
      <c r="P2957">
        <v>1</v>
      </c>
      <c r="Q2957">
        <v>0</v>
      </c>
    </row>
    <row r="2958" spans="1:17" x14ac:dyDescent="0.2">
      <c r="A2958" s="1" t="str">
        <f>HYPERLINK("http://www.twitter.com/Ugo_Roux/status/304960315437764609", "304960315437764609")</f>
        <v>304960315437764609</v>
      </c>
      <c r="B2958" t="s">
        <v>370</v>
      </c>
      <c r="C2958" s="3">
        <v>41327.6016087963</v>
      </c>
      <c r="D2958" s="5" t="s">
        <v>28</v>
      </c>
      <c r="E2958">
        <v>0</v>
      </c>
      <c r="F2958">
        <v>0</v>
      </c>
      <c r="G2958">
        <v>0</v>
      </c>
      <c r="I2958" t="s">
        <v>2995</v>
      </c>
      <c r="N2958">
        <v>0</v>
      </c>
      <c r="O2958">
        <v>0</v>
      </c>
      <c r="P2958">
        <v>1</v>
      </c>
      <c r="Q2958">
        <v>0</v>
      </c>
    </row>
    <row r="2959" spans="1:17" x14ac:dyDescent="0.2">
      <c r="A2959" s="1" t="str">
        <f>HYPERLINK("http://www.twitter.com/Ugo_Roux/status/299887583402532865", "299887583402532865")</f>
        <v>299887583402532865</v>
      </c>
      <c r="B2959" t="s">
        <v>97</v>
      </c>
      <c r="C2959" s="3">
        <v>41313.603541666656</v>
      </c>
      <c r="D2959" s="5" t="s">
        <v>17</v>
      </c>
      <c r="E2959">
        <v>0</v>
      </c>
      <c r="F2959">
        <v>0</v>
      </c>
      <c r="G2959">
        <v>0</v>
      </c>
      <c r="I2959" t="s">
        <v>2996</v>
      </c>
      <c r="N2959">
        <v>0</v>
      </c>
      <c r="O2959">
        <v>0</v>
      </c>
      <c r="P2959">
        <v>1</v>
      </c>
      <c r="Q2959">
        <v>0</v>
      </c>
    </row>
    <row r="2960" spans="1:17" x14ac:dyDescent="0.2">
      <c r="A2960" s="1" t="str">
        <f>HYPERLINK("http://www.twitter.com/Ugo_Roux/status/299193556889903104", "299193556889903104")</f>
        <v>299193556889903104</v>
      </c>
      <c r="B2960" t="s">
        <v>97</v>
      </c>
      <c r="C2960" s="3">
        <v>41311.688391203701</v>
      </c>
      <c r="D2960" s="5" t="s">
        <v>28</v>
      </c>
      <c r="E2960">
        <v>0</v>
      </c>
      <c r="F2960">
        <v>0</v>
      </c>
      <c r="G2960">
        <v>0</v>
      </c>
      <c r="I2960" t="s">
        <v>2997</v>
      </c>
      <c r="N2960">
        <v>0</v>
      </c>
      <c r="O2960">
        <v>0</v>
      </c>
      <c r="P2960">
        <v>1</v>
      </c>
      <c r="Q2960">
        <v>0</v>
      </c>
    </row>
    <row r="2961" spans="1:17" x14ac:dyDescent="0.2">
      <c r="A2961" s="1" t="str">
        <f>HYPERLINK("http://www.twitter.com/Ugo_Roux/status/296583605927440384", "296583605927440384")</f>
        <v>296583605927440384</v>
      </c>
      <c r="B2961" t="s">
        <v>130</v>
      </c>
      <c r="C2961" s="3">
        <v>41304.486296296287</v>
      </c>
      <c r="D2961" s="5" t="s">
        <v>28</v>
      </c>
      <c r="E2961">
        <v>0</v>
      </c>
      <c r="F2961">
        <v>0</v>
      </c>
      <c r="G2961">
        <v>0</v>
      </c>
      <c r="I2961" t="s">
        <v>2998</v>
      </c>
      <c r="N2961">
        <v>0</v>
      </c>
      <c r="O2961">
        <v>0</v>
      </c>
      <c r="P2961">
        <v>1</v>
      </c>
      <c r="Q2961">
        <v>0</v>
      </c>
    </row>
    <row r="2962" spans="1:17" x14ac:dyDescent="0.2">
      <c r="A2962" s="1" t="str">
        <f>HYPERLINK("http://www.twitter.com/Ugo_Roux/status/295162393846243328", "295162393846243328")</f>
        <v>295162393846243328</v>
      </c>
      <c r="B2962" t="s">
        <v>130</v>
      </c>
      <c r="C2962" s="3">
        <v>41300.564502314817</v>
      </c>
      <c r="D2962" s="5" t="s">
        <v>41</v>
      </c>
      <c r="E2962">
        <v>0</v>
      </c>
      <c r="F2962">
        <v>0</v>
      </c>
      <c r="G2962">
        <v>0</v>
      </c>
      <c r="I2962" t="s">
        <v>2999</v>
      </c>
      <c r="N2962">
        <v>0.63690000000000002</v>
      </c>
      <c r="O2962">
        <v>0</v>
      </c>
      <c r="P2962">
        <v>0.32300000000000001</v>
      </c>
      <c r="Q2962">
        <v>0.67700000000000005</v>
      </c>
    </row>
    <row r="2963" spans="1:17" x14ac:dyDescent="0.2">
      <c r="A2963" s="1" t="str">
        <f>HYPERLINK("http://www.twitter.com/Ugo_Roux/status/293245798165135360", "293245798165135360")</f>
        <v>293245798165135360</v>
      </c>
      <c r="B2963" t="s">
        <v>97</v>
      </c>
      <c r="C2963" s="3">
        <v>41295.275706018518</v>
      </c>
      <c r="D2963" s="5" t="s">
        <v>41</v>
      </c>
      <c r="E2963">
        <v>0</v>
      </c>
      <c r="F2963">
        <v>0</v>
      </c>
      <c r="G2963">
        <v>0</v>
      </c>
      <c r="I2963" t="s">
        <v>3000</v>
      </c>
      <c r="N2963">
        <v>0</v>
      </c>
      <c r="O2963">
        <v>0</v>
      </c>
      <c r="P2963">
        <v>1</v>
      </c>
      <c r="Q2963">
        <v>0</v>
      </c>
    </row>
    <row r="2964" spans="1:17" x14ac:dyDescent="0.2">
      <c r="A2964" s="1" t="str">
        <f>HYPERLINK("http://www.twitter.com/Ugo_Roux/status/292198292127891456", "292198292127891456")</f>
        <v>292198292127891456</v>
      </c>
      <c r="B2964" t="s">
        <v>370</v>
      </c>
      <c r="C2964" s="3">
        <v>41292.385138888887</v>
      </c>
      <c r="D2964" s="5" t="s">
        <v>28</v>
      </c>
      <c r="E2964">
        <v>0</v>
      </c>
      <c r="F2964">
        <v>0</v>
      </c>
      <c r="G2964">
        <v>0</v>
      </c>
      <c r="I2964" t="s">
        <v>3001</v>
      </c>
      <c r="N2964">
        <v>0</v>
      </c>
      <c r="O2964">
        <v>0</v>
      </c>
      <c r="P2964">
        <v>1</v>
      </c>
      <c r="Q2964">
        <v>0</v>
      </c>
    </row>
    <row r="2965" spans="1:17" x14ac:dyDescent="0.2">
      <c r="A2965" s="1" t="str">
        <f>HYPERLINK("http://www.twitter.com/Ugo_Roux/status/292197924241293312", "292197924241293312")</f>
        <v>292197924241293312</v>
      </c>
      <c r="B2965" t="s">
        <v>370</v>
      </c>
      <c r="C2965" s="3">
        <v>41292.384120370371</v>
      </c>
      <c r="D2965" s="5" t="s">
        <v>28</v>
      </c>
      <c r="E2965">
        <v>0</v>
      </c>
      <c r="F2965">
        <v>0</v>
      </c>
      <c r="G2965">
        <v>0</v>
      </c>
      <c r="I2965" t="s">
        <v>3002</v>
      </c>
      <c r="N2965">
        <v>0</v>
      </c>
      <c r="O2965">
        <v>0</v>
      </c>
      <c r="P2965">
        <v>1</v>
      </c>
      <c r="Q2965">
        <v>0</v>
      </c>
    </row>
    <row r="2966" spans="1:17" x14ac:dyDescent="0.2">
      <c r="A2966" s="1" t="str">
        <f>HYPERLINK("http://www.twitter.com/Ugo_Roux/status/292196696270704641", "292196696270704641")</f>
        <v>292196696270704641</v>
      </c>
      <c r="B2966" t="s">
        <v>370</v>
      </c>
      <c r="C2966" s="3">
        <v>41292.380729166667</v>
      </c>
      <c r="D2966" s="5" t="s">
        <v>17</v>
      </c>
      <c r="E2966">
        <v>0</v>
      </c>
      <c r="F2966">
        <v>0</v>
      </c>
      <c r="G2966">
        <v>0</v>
      </c>
      <c r="I2966" t="s">
        <v>3003</v>
      </c>
      <c r="N2966">
        <v>0</v>
      </c>
      <c r="O2966">
        <v>0</v>
      </c>
      <c r="P2966">
        <v>1</v>
      </c>
      <c r="Q2966">
        <v>0</v>
      </c>
    </row>
    <row r="2967" spans="1:17" x14ac:dyDescent="0.2">
      <c r="A2967" s="1" t="str">
        <f>HYPERLINK("http://www.twitter.com/Ugo_Roux/status/292195533982928896", "292195533982928896")</f>
        <v>292195533982928896</v>
      </c>
      <c r="B2967" t="s">
        <v>370</v>
      </c>
      <c r="C2967" s="3">
        <v>41292.377523148149</v>
      </c>
      <c r="D2967" s="5" t="s">
        <v>239</v>
      </c>
      <c r="E2967">
        <v>0</v>
      </c>
      <c r="F2967">
        <v>0</v>
      </c>
      <c r="G2967">
        <v>0</v>
      </c>
      <c r="I2967" t="s">
        <v>3004</v>
      </c>
      <c r="N2967">
        <v>0</v>
      </c>
      <c r="O2967">
        <v>0</v>
      </c>
      <c r="P2967">
        <v>1</v>
      </c>
      <c r="Q2967">
        <v>0</v>
      </c>
    </row>
    <row r="2968" spans="1:17" x14ac:dyDescent="0.2">
      <c r="A2968" s="1" t="str">
        <f>HYPERLINK("http://www.twitter.com/Ugo_Roux/status/291931241895317504", "291931241895317504")</f>
        <v>291931241895317504</v>
      </c>
      <c r="B2968" t="s">
        <v>130</v>
      </c>
      <c r="C2968" s="3">
        <v>41291.648217592592</v>
      </c>
      <c r="D2968" s="5" t="s">
        <v>41</v>
      </c>
      <c r="E2968">
        <v>0</v>
      </c>
      <c r="F2968">
        <v>0</v>
      </c>
      <c r="G2968">
        <v>0</v>
      </c>
      <c r="I2968" t="s">
        <v>3005</v>
      </c>
      <c r="N2968">
        <v>0</v>
      </c>
      <c r="O2968">
        <v>0</v>
      </c>
      <c r="P2968">
        <v>1</v>
      </c>
      <c r="Q2968">
        <v>0</v>
      </c>
    </row>
    <row r="2969" spans="1:17" x14ac:dyDescent="0.2">
      <c r="A2969" s="1" t="str">
        <f>HYPERLINK("http://www.twitter.com/Ugo_Roux/status/290079996012294144", "290079996012294144")</f>
        <v>290079996012294144</v>
      </c>
      <c r="B2969" t="s">
        <v>130</v>
      </c>
      <c r="C2969" s="3">
        <v>41286.539756944447</v>
      </c>
      <c r="D2969" s="5" t="s">
        <v>17</v>
      </c>
      <c r="E2969">
        <v>0</v>
      </c>
      <c r="F2969">
        <v>0</v>
      </c>
      <c r="G2969">
        <v>0</v>
      </c>
      <c r="I2969" t="s">
        <v>3006</v>
      </c>
      <c r="N2969">
        <v>0</v>
      </c>
      <c r="O2969">
        <v>0</v>
      </c>
      <c r="P2969">
        <v>1</v>
      </c>
      <c r="Q2969">
        <v>0</v>
      </c>
    </row>
    <row r="2970" spans="1:17" x14ac:dyDescent="0.2">
      <c r="A2970" s="1" t="str">
        <f>HYPERLINK("http://www.twitter.com/Ugo_Roux/status/289782113383890944", "289782113383890944")</f>
        <v>289782113383890944</v>
      </c>
      <c r="B2970" t="s">
        <v>130</v>
      </c>
      <c r="C2970" s="3">
        <v>41285.71775462963</v>
      </c>
      <c r="D2970" s="5" t="s">
        <v>515</v>
      </c>
      <c r="E2970">
        <v>0</v>
      </c>
      <c r="F2970">
        <v>0</v>
      </c>
      <c r="G2970">
        <v>0</v>
      </c>
      <c r="I2970" t="s">
        <v>3007</v>
      </c>
      <c r="N2970">
        <v>0.15310000000000001</v>
      </c>
      <c r="O2970">
        <v>0</v>
      </c>
      <c r="P2970">
        <v>0.91800000000000004</v>
      </c>
      <c r="Q2970">
        <v>8.2000000000000003E-2</v>
      </c>
    </row>
    <row r="2971" spans="1:17" x14ac:dyDescent="0.2">
      <c r="A2971" s="1" t="str">
        <f>HYPERLINK("http://www.twitter.com/Ugo_Roux/status/289049852715888640", "289049852715888640")</f>
        <v>289049852715888640</v>
      </c>
      <c r="B2971" t="s">
        <v>370</v>
      </c>
      <c r="C2971" s="3">
        <v>41283.697094907409</v>
      </c>
      <c r="D2971" s="5" t="s">
        <v>28</v>
      </c>
      <c r="E2971">
        <v>0</v>
      </c>
      <c r="F2971">
        <v>0</v>
      </c>
      <c r="G2971">
        <v>0</v>
      </c>
      <c r="I2971" t="s">
        <v>3008</v>
      </c>
      <c r="N2971">
        <v>0</v>
      </c>
      <c r="O2971">
        <v>0</v>
      </c>
      <c r="P2971">
        <v>1</v>
      </c>
      <c r="Q2971">
        <v>0</v>
      </c>
    </row>
    <row r="2972" spans="1:17" x14ac:dyDescent="0.2">
      <c r="A2972" s="1" t="str">
        <f>HYPERLINK("http://www.twitter.com/Ugo_Roux/status/289049474490322944", "289049474490322944")</f>
        <v>289049474490322944</v>
      </c>
      <c r="B2972" t="s">
        <v>370</v>
      </c>
      <c r="C2972" s="3">
        <v>41283.696053240739</v>
      </c>
      <c r="D2972" s="5" t="s">
        <v>17</v>
      </c>
      <c r="E2972">
        <v>0</v>
      </c>
      <c r="F2972">
        <v>0</v>
      </c>
      <c r="G2972">
        <v>0</v>
      </c>
      <c r="I2972" t="s">
        <v>3009</v>
      </c>
      <c r="N2972">
        <v>0</v>
      </c>
      <c r="O2972">
        <v>0</v>
      </c>
      <c r="P2972">
        <v>1</v>
      </c>
      <c r="Q2972">
        <v>0</v>
      </c>
    </row>
    <row r="2973" spans="1:17" x14ac:dyDescent="0.2">
      <c r="A2973" s="1" t="str">
        <f>HYPERLINK("http://www.twitter.com/Ugo_Roux/status/288660789915680768", "288660789915680768")</f>
        <v>288660789915680768</v>
      </c>
      <c r="B2973" t="s">
        <v>97</v>
      </c>
      <c r="C2973" s="3">
        <v>41282.623495370368</v>
      </c>
      <c r="D2973" s="5" t="s">
        <v>17</v>
      </c>
      <c r="E2973">
        <v>0</v>
      </c>
      <c r="F2973">
        <v>0</v>
      </c>
      <c r="G2973">
        <v>0</v>
      </c>
      <c r="I2973" t="s">
        <v>3010</v>
      </c>
      <c r="N2973">
        <v>0</v>
      </c>
      <c r="O2973">
        <v>0</v>
      </c>
      <c r="P2973">
        <v>1</v>
      </c>
      <c r="Q2973">
        <v>0</v>
      </c>
    </row>
    <row r="2974" spans="1:17" x14ac:dyDescent="0.2">
      <c r="A2974" s="1" t="str">
        <f>HYPERLINK("http://www.twitter.com/Ugo_Roux/status/288581701620363264", "288581701620363264")</f>
        <v>288581701620363264</v>
      </c>
      <c r="B2974" t="s">
        <v>130</v>
      </c>
      <c r="C2974" s="3">
        <v>41282.405243055553</v>
      </c>
      <c r="D2974" s="5" t="s">
        <v>28</v>
      </c>
      <c r="E2974">
        <v>0</v>
      </c>
      <c r="F2974">
        <v>1</v>
      </c>
      <c r="G2974">
        <v>0</v>
      </c>
      <c r="I2974" t="s">
        <v>3011</v>
      </c>
      <c r="N2974">
        <v>0</v>
      </c>
      <c r="O2974">
        <v>0</v>
      </c>
      <c r="P2974">
        <v>1</v>
      </c>
      <c r="Q2974">
        <v>0</v>
      </c>
    </row>
    <row r="2975" spans="1:17" x14ac:dyDescent="0.2">
      <c r="A2975" s="1" t="str">
        <f>HYPERLINK("http://www.twitter.com/Ugo_Roux/status/288581359398686720", "288581359398686720")</f>
        <v>288581359398686720</v>
      </c>
      <c r="B2975" t="s">
        <v>130</v>
      </c>
      <c r="C2975" s="3">
        <v>41282.404305555552</v>
      </c>
      <c r="D2975" s="5" t="s">
        <v>28</v>
      </c>
      <c r="E2975">
        <v>0</v>
      </c>
      <c r="F2975">
        <v>0</v>
      </c>
      <c r="G2975">
        <v>0</v>
      </c>
      <c r="I2975" t="s">
        <v>3012</v>
      </c>
      <c r="N2975">
        <v>0</v>
      </c>
      <c r="O2975">
        <v>0</v>
      </c>
      <c r="P2975">
        <v>1</v>
      </c>
      <c r="Q2975">
        <v>0</v>
      </c>
    </row>
    <row r="2976" spans="1:17" x14ac:dyDescent="0.2">
      <c r="A2976" s="1" t="str">
        <f>HYPERLINK("http://www.twitter.com/Ugo_Roux/status/288581164132888576", "288581164132888576")</f>
        <v>288581164132888576</v>
      </c>
      <c r="B2976" t="s">
        <v>130</v>
      </c>
      <c r="C2976" s="3">
        <v>41282.403761574067</v>
      </c>
      <c r="D2976" s="5" t="s">
        <v>28</v>
      </c>
      <c r="E2976">
        <v>0</v>
      </c>
      <c r="F2976">
        <v>0</v>
      </c>
      <c r="G2976">
        <v>0</v>
      </c>
      <c r="I2976" t="s">
        <v>3013</v>
      </c>
      <c r="N2976">
        <v>0</v>
      </c>
      <c r="O2976">
        <v>0</v>
      </c>
      <c r="P2976">
        <v>1</v>
      </c>
      <c r="Q2976">
        <v>0</v>
      </c>
    </row>
    <row r="2977" spans="1:17" x14ac:dyDescent="0.2">
      <c r="A2977" s="1" t="str">
        <f>HYPERLINK("http://www.twitter.com/Ugo_Roux/status/281694926213902337", "281694926213902337")</f>
        <v>281694926213902337</v>
      </c>
      <c r="B2977" t="s">
        <v>97</v>
      </c>
      <c r="C2977" s="3">
        <v>41263.401365740741</v>
      </c>
      <c r="D2977" s="5" t="s">
        <v>24</v>
      </c>
      <c r="E2977">
        <v>0</v>
      </c>
      <c r="F2977">
        <v>0</v>
      </c>
      <c r="G2977">
        <v>0</v>
      </c>
      <c r="I2977" t="s">
        <v>3014</v>
      </c>
      <c r="N2977">
        <v>0</v>
      </c>
      <c r="O2977">
        <v>0</v>
      </c>
      <c r="P2977">
        <v>1</v>
      </c>
      <c r="Q2977">
        <v>0</v>
      </c>
    </row>
    <row r="2978" spans="1:17" x14ac:dyDescent="0.2">
      <c r="A2978" s="1" t="str">
        <f>HYPERLINK("http://www.twitter.com/Ugo_Roux/status/281689758873309185", "281689758873309185")</f>
        <v>281689758873309185</v>
      </c>
      <c r="B2978" t="s">
        <v>97</v>
      </c>
      <c r="C2978" s="3">
        <v>41263.387106481481</v>
      </c>
      <c r="D2978" s="5" t="s">
        <v>41</v>
      </c>
      <c r="E2978">
        <v>0</v>
      </c>
      <c r="F2978">
        <v>0</v>
      </c>
      <c r="G2978">
        <v>0</v>
      </c>
      <c r="I2978" t="s">
        <v>3015</v>
      </c>
      <c r="N2978">
        <v>0</v>
      </c>
      <c r="O2978">
        <v>0</v>
      </c>
      <c r="P2978">
        <v>1</v>
      </c>
      <c r="Q2978">
        <v>0</v>
      </c>
    </row>
    <row r="2979" spans="1:17" x14ac:dyDescent="0.2">
      <c r="A2979" s="1" t="str">
        <f>HYPERLINK("http://www.twitter.com/Ugo_Roux/status/281054498389118979", "281054498389118979")</f>
        <v>281054498389118979</v>
      </c>
      <c r="B2979" t="s">
        <v>130</v>
      </c>
      <c r="C2979" s="3">
        <v>41261.634120370371</v>
      </c>
      <c r="D2979" s="5" t="s">
        <v>17</v>
      </c>
      <c r="E2979">
        <v>0</v>
      </c>
      <c r="F2979">
        <v>0</v>
      </c>
      <c r="G2979">
        <v>0</v>
      </c>
      <c r="I2979" t="s">
        <v>3016</v>
      </c>
      <c r="N2979">
        <v>0</v>
      </c>
      <c r="O2979">
        <v>0</v>
      </c>
      <c r="P2979">
        <v>1</v>
      </c>
      <c r="Q2979">
        <v>0</v>
      </c>
    </row>
    <row r="2980" spans="1:17" x14ac:dyDescent="0.2">
      <c r="A2980" s="1" t="str">
        <f>HYPERLINK("http://www.twitter.com/Ugo_Roux/status/279881227928993793", "279881227928993793")</f>
        <v>279881227928993793</v>
      </c>
      <c r="B2980" t="s">
        <v>130</v>
      </c>
      <c r="C2980" s="3">
        <v>41258.396516203713</v>
      </c>
      <c r="D2980" s="5" t="s">
        <v>17</v>
      </c>
      <c r="E2980">
        <v>0</v>
      </c>
      <c r="F2980">
        <v>0</v>
      </c>
      <c r="G2980">
        <v>0</v>
      </c>
      <c r="I2980" t="s">
        <v>3017</v>
      </c>
      <c r="N2980">
        <v>0</v>
      </c>
      <c r="O2980">
        <v>0</v>
      </c>
      <c r="P2980">
        <v>1</v>
      </c>
      <c r="Q2980">
        <v>0</v>
      </c>
    </row>
    <row r="2981" spans="1:17" x14ac:dyDescent="0.2">
      <c r="A2981" s="1" t="str">
        <f>HYPERLINK("http://www.twitter.com/Ugo_Roux/status/279594201962905600", "279594201962905600")</f>
        <v>279594201962905600</v>
      </c>
      <c r="B2981" t="s">
        <v>130</v>
      </c>
      <c r="C2981" s="3">
        <v>41257.604479166657</v>
      </c>
      <c r="D2981" s="5" t="s">
        <v>28</v>
      </c>
      <c r="E2981">
        <v>0</v>
      </c>
      <c r="F2981">
        <v>0</v>
      </c>
      <c r="G2981">
        <v>0</v>
      </c>
      <c r="I2981" t="s">
        <v>3018</v>
      </c>
      <c r="N2981">
        <v>0</v>
      </c>
      <c r="O2981">
        <v>0</v>
      </c>
      <c r="P2981">
        <v>1</v>
      </c>
      <c r="Q2981">
        <v>0</v>
      </c>
    </row>
    <row r="2982" spans="1:17" x14ac:dyDescent="0.2">
      <c r="A2982" s="1" t="str">
        <f>HYPERLINK("http://www.twitter.com/Ugo_Roux/status/278895493109665792", "278895493109665792")</f>
        <v>278895493109665792</v>
      </c>
      <c r="B2982" t="s">
        <v>130</v>
      </c>
      <c r="C2982" s="3">
        <v>41255.676400462973</v>
      </c>
      <c r="D2982" s="5" t="s">
        <v>28</v>
      </c>
      <c r="E2982">
        <v>0</v>
      </c>
      <c r="F2982">
        <v>0</v>
      </c>
      <c r="G2982">
        <v>0</v>
      </c>
      <c r="I2982" t="s">
        <v>3019</v>
      </c>
      <c r="N2982">
        <v>0</v>
      </c>
      <c r="O2982">
        <v>0</v>
      </c>
      <c r="P2982">
        <v>1</v>
      </c>
      <c r="Q2982">
        <v>0</v>
      </c>
    </row>
    <row r="2983" spans="1:17" x14ac:dyDescent="0.2">
      <c r="A2983" s="1" t="str">
        <f>HYPERLINK("http://www.twitter.com/Ugo_Roux/status/278860896753823744", "278860896753823744")</f>
        <v>278860896753823744</v>
      </c>
      <c r="B2983" t="s">
        <v>130</v>
      </c>
      <c r="C2983" s="3">
        <v>41255.580937500003</v>
      </c>
      <c r="D2983" s="5" t="s">
        <v>17</v>
      </c>
      <c r="E2983">
        <v>0</v>
      </c>
      <c r="F2983">
        <v>0</v>
      </c>
      <c r="G2983">
        <v>0</v>
      </c>
      <c r="I2983" t="s">
        <v>3020</v>
      </c>
      <c r="N2983">
        <v>0</v>
      </c>
      <c r="O2983">
        <v>0</v>
      </c>
      <c r="P2983">
        <v>1</v>
      </c>
      <c r="Q2983">
        <v>0</v>
      </c>
    </row>
    <row r="2984" spans="1:17" x14ac:dyDescent="0.2">
      <c r="A2984" s="1" t="str">
        <f>HYPERLINK("http://www.twitter.com/Ugo_Roux/status/278779816344440832", "278779816344440832")</f>
        <v>278779816344440832</v>
      </c>
      <c r="B2984" t="s">
        <v>370</v>
      </c>
      <c r="C2984" s="3">
        <v>41255.357199074067</v>
      </c>
      <c r="D2984" s="5" t="s">
        <v>28</v>
      </c>
      <c r="E2984">
        <v>0</v>
      </c>
      <c r="F2984">
        <v>0</v>
      </c>
      <c r="G2984">
        <v>0</v>
      </c>
      <c r="I2984" t="s">
        <v>3021</v>
      </c>
      <c r="N2984">
        <v>0</v>
      </c>
      <c r="O2984">
        <v>0</v>
      </c>
      <c r="P2984">
        <v>1</v>
      </c>
      <c r="Q2984">
        <v>0</v>
      </c>
    </row>
    <row r="2985" spans="1:17" x14ac:dyDescent="0.2">
      <c r="A2985" s="1" t="str">
        <f>HYPERLINK("http://www.twitter.com/Ugo_Roux/status/277669412809617408", "277669412809617408")</f>
        <v>277669412809617408</v>
      </c>
      <c r="B2985" t="s">
        <v>97</v>
      </c>
      <c r="C2985" s="3">
        <v>41252.293067129627</v>
      </c>
      <c r="D2985" s="5" t="s">
        <v>41</v>
      </c>
      <c r="E2985">
        <v>0</v>
      </c>
      <c r="F2985">
        <v>0</v>
      </c>
      <c r="G2985">
        <v>0</v>
      </c>
      <c r="I2985" t="s">
        <v>3022</v>
      </c>
      <c r="N2985">
        <v>0</v>
      </c>
      <c r="O2985">
        <v>0</v>
      </c>
      <c r="P2985">
        <v>1</v>
      </c>
      <c r="Q2985">
        <v>0</v>
      </c>
    </row>
    <row r="2986" spans="1:17" x14ac:dyDescent="0.2">
      <c r="A2986" s="1" t="str">
        <f>HYPERLINK("http://www.twitter.com/Ugo_Roux/status/277402648808943616", "277402648808943616")</f>
        <v>277402648808943616</v>
      </c>
      <c r="B2986" t="s">
        <v>97</v>
      </c>
      <c r="C2986" s="3">
        <v>41251.556944444441</v>
      </c>
      <c r="D2986" s="5" t="s">
        <v>28</v>
      </c>
      <c r="E2986">
        <v>0</v>
      </c>
      <c r="F2986">
        <v>0</v>
      </c>
      <c r="G2986">
        <v>0</v>
      </c>
      <c r="I2986" t="s">
        <v>3023</v>
      </c>
      <c r="N2986">
        <v>0</v>
      </c>
      <c r="O2986">
        <v>0</v>
      </c>
      <c r="P2986">
        <v>1</v>
      </c>
      <c r="Q2986">
        <v>0</v>
      </c>
    </row>
    <row r="2987" spans="1:17" x14ac:dyDescent="0.2">
      <c r="A2987" s="1" t="str">
        <f>HYPERLINK("http://www.twitter.com/Ugo_Roux/status/277028691454881792", "277028691454881792")</f>
        <v>277028691454881792</v>
      </c>
      <c r="B2987" t="s">
        <v>130</v>
      </c>
      <c r="C2987" s="3">
        <v>41250.525011574071</v>
      </c>
      <c r="D2987" s="5" t="s">
        <v>28</v>
      </c>
      <c r="E2987">
        <v>0</v>
      </c>
      <c r="F2987">
        <v>0</v>
      </c>
      <c r="G2987">
        <v>0</v>
      </c>
      <c r="I2987" t="s">
        <v>3024</v>
      </c>
      <c r="N2987">
        <v>0</v>
      </c>
      <c r="O2987">
        <v>0</v>
      </c>
      <c r="P2987">
        <v>1</v>
      </c>
      <c r="Q2987">
        <v>0</v>
      </c>
    </row>
    <row r="2988" spans="1:17" x14ac:dyDescent="0.2">
      <c r="A2988" s="1" t="str">
        <f>HYPERLINK("http://www.twitter.com/Ugo_Roux/status/274503263951396864", "274503263951396864")</f>
        <v>274503263951396864</v>
      </c>
      <c r="B2988" t="s">
        <v>130</v>
      </c>
      <c r="C2988" s="3">
        <v>41243.556157407409</v>
      </c>
      <c r="D2988" s="5" t="s">
        <v>28</v>
      </c>
      <c r="E2988">
        <v>0</v>
      </c>
      <c r="F2988">
        <v>0</v>
      </c>
      <c r="G2988">
        <v>0</v>
      </c>
      <c r="I2988" t="s">
        <v>3025</v>
      </c>
      <c r="N2988">
        <v>0</v>
      </c>
      <c r="O2988">
        <v>0</v>
      </c>
      <c r="P2988">
        <v>1</v>
      </c>
      <c r="Q2988">
        <v>0</v>
      </c>
    </row>
    <row r="2989" spans="1:17" x14ac:dyDescent="0.2">
      <c r="A2989" s="1" t="str">
        <f>HYPERLINK("http://www.twitter.com/Ugo_Roux/status/271912978591399937", "271912978591399937")</f>
        <v>271912978591399937</v>
      </c>
      <c r="B2989" t="s">
        <v>370</v>
      </c>
      <c r="C2989" s="3">
        <v>41236.408333333333</v>
      </c>
      <c r="D2989" s="5" t="s">
        <v>28</v>
      </c>
      <c r="E2989">
        <v>0</v>
      </c>
      <c r="F2989">
        <v>0</v>
      </c>
      <c r="G2989">
        <v>0</v>
      </c>
      <c r="I2989" t="s">
        <v>3026</v>
      </c>
      <c r="N2989">
        <v>0</v>
      </c>
      <c r="O2989">
        <v>0</v>
      </c>
      <c r="P2989">
        <v>1</v>
      </c>
      <c r="Q2989">
        <v>0</v>
      </c>
    </row>
    <row r="2990" spans="1:17" x14ac:dyDescent="0.2">
      <c r="A2990" s="1" t="str">
        <f>HYPERLINK("http://www.twitter.com/Ugo_Roux/status/271504910154100737", "271504910154100737")</f>
        <v>271504910154100737</v>
      </c>
      <c r="B2990" t="s">
        <v>97</v>
      </c>
      <c r="C2990" s="3">
        <v>41235.282280092593</v>
      </c>
      <c r="D2990" s="5" t="s">
        <v>41</v>
      </c>
      <c r="E2990">
        <v>0</v>
      </c>
      <c r="F2990">
        <v>0</v>
      </c>
      <c r="G2990">
        <v>0</v>
      </c>
      <c r="I2990" t="s">
        <v>3027</v>
      </c>
      <c r="N2990">
        <v>0</v>
      </c>
      <c r="O2990">
        <v>0</v>
      </c>
      <c r="P2990">
        <v>1</v>
      </c>
      <c r="Q2990">
        <v>0</v>
      </c>
    </row>
    <row r="2991" spans="1:17" x14ac:dyDescent="0.2">
      <c r="A2991" s="1" t="str">
        <f>HYPERLINK("http://www.twitter.com/Ugo_Roux/status/269012784543584256", "269012784543584256")</f>
        <v>269012784543584256</v>
      </c>
      <c r="B2991" t="s">
        <v>97</v>
      </c>
      <c r="C2991" s="3">
        <v>41228.405324074083</v>
      </c>
      <c r="D2991" s="5" t="s">
        <v>1187</v>
      </c>
      <c r="E2991">
        <v>0</v>
      </c>
      <c r="F2991">
        <v>0</v>
      </c>
      <c r="G2991">
        <v>0</v>
      </c>
      <c r="I2991" t="s">
        <v>3028</v>
      </c>
      <c r="N2991">
        <v>0</v>
      </c>
      <c r="O2991">
        <v>0</v>
      </c>
      <c r="P2991">
        <v>1</v>
      </c>
      <c r="Q2991">
        <v>0</v>
      </c>
    </row>
    <row r="2992" spans="1:17" x14ac:dyDescent="0.2">
      <c r="A2992" s="1" t="str">
        <f>HYPERLINK("http://www.twitter.com/Ugo_Roux/status/268980413320531968", "268980413320531968")</f>
        <v>268980413320531968</v>
      </c>
      <c r="B2992" t="s">
        <v>97</v>
      </c>
      <c r="C2992" s="3">
        <v>41228.315995370373</v>
      </c>
      <c r="D2992" s="5" t="s">
        <v>1187</v>
      </c>
      <c r="E2992">
        <v>0</v>
      </c>
      <c r="F2992">
        <v>0</v>
      </c>
      <c r="G2992">
        <v>0</v>
      </c>
      <c r="I2992" t="s">
        <v>3029</v>
      </c>
      <c r="N2992">
        <v>0</v>
      </c>
      <c r="O2992">
        <v>0</v>
      </c>
      <c r="P2992">
        <v>1</v>
      </c>
      <c r="Q2992">
        <v>0</v>
      </c>
    </row>
    <row r="2993" spans="1:17" x14ac:dyDescent="0.2">
      <c r="A2993" s="1" t="str">
        <f>HYPERLINK("http://www.twitter.com/Ugo_Roux/status/268668338765451265", "268668338765451265")</f>
        <v>268668338765451265</v>
      </c>
      <c r="B2993" t="s">
        <v>97</v>
      </c>
      <c r="C2993" s="3">
        <v>41227.454837962963</v>
      </c>
      <c r="D2993" s="5" t="s">
        <v>28</v>
      </c>
      <c r="E2993">
        <v>0</v>
      </c>
      <c r="F2993">
        <v>0</v>
      </c>
      <c r="G2993">
        <v>0</v>
      </c>
      <c r="I2993" t="s">
        <v>3030</v>
      </c>
      <c r="N2993">
        <v>0</v>
      </c>
      <c r="O2993">
        <v>0</v>
      </c>
      <c r="P2993">
        <v>1</v>
      </c>
      <c r="Q2993">
        <v>0</v>
      </c>
    </row>
    <row r="2994" spans="1:17" x14ac:dyDescent="0.2">
      <c r="A2994" s="1" t="str">
        <f>HYPERLINK("http://www.twitter.com/Ugo_Roux/status/268668110058426368", "268668110058426368")</f>
        <v>268668110058426368</v>
      </c>
      <c r="B2994" t="s">
        <v>97</v>
      </c>
      <c r="C2994" s="3">
        <v>41227.454201388893</v>
      </c>
      <c r="D2994" s="5" t="s">
        <v>28</v>
      </c>
      <c r="E2994">
        <v>0</v>
      </c>
      <c r="F2994">
        <v>0</v>
      </c>
      <c r="G2994">
        <v>0</v>
      </c>
      <c r="I2994" t="s">
        <v>3031</v>
      </c>
      <c r="N2994">
        <v>0</v>
      </c>
      <c r="O2994">
        <v>0</v>
      </c>
      <c r="P2994">
        <v>1</v>
      </c>
      <c r="Q2994">
        <v>0</v>
      </c>
    </row>
    <row r="2995" spans="1:17" x14ac:dyDescent="0.2">
      <c r="A2995" s="1" t="str">
        <f>HYPERLINK("http://www.twitter.com/Ugo_Roux/status/266867667099594753", "266867667099594753")</f>
        <v>266867667099594753</v>
      </c>
      <c r="B2995" t="s">
        <v>97</v>
      </c>
      <c r="C2995" s="3">
        <v>41222.485925925917</v>
      </c>
      <c r="D2995" s="5" t="s">
        <v>28</v>
      </c>
      <c r="E2995">
        <v>0</v>
      </c>
      <c r="F2995">
        <v>0</v>
      </c>
      <c r="G2995">
        <v>0</v>
      </c>
      <c r="I2995" t="s">
        <v>3032</v>
      </c>
      <c r="N2995">
        <v>0</v>
      </c>
      <c r="O2995">
        <v>0</v>
      </c>
      <c r="P2995">
        <v>1</v>
      </c>
      <c r="Q2995">
        <v>0</v>
      </c>
    </row>
    <row r="2996" spans="1:17" x14ac:dyDescent="0.2">
      <c r="A2996" s="1" t="str">
        <f>HYPERLINK("http://www.twitter.com/Ugo_Roux/status/265857157797400577", "265857157797400577")</f>
        <v>265857157797400577</v>
      </c>
      <c r="B2996" t="s">
        <v>130</v>
      </c>
      <c r="C2996" s="3">
        <v>41219.697453703702</v>
      </c>
      <c r="D2996" s="5" t="s">
        <v>17</v>
      </c>
      <c r="E2996">
        <v>0</v>
      </c>
      <c r="F2996">
        <v>0</v>
      </c>
      <c r="G2996">
        <v>0</v>
      </c>
      <c r="I2996" t="s">
        <v>3033</v>
      </c>
      <c r="N2996">
        <v>0</v>
      </c>
      <c r="O2996">
        <v>0</v>
      </c>
      <c r="P2996">
        <v>1</v>
      </c>
      <c r="Q2996">
        <v>0</v>
      </c>
    </row>
    <row r="2997" spans="1:17" x14ac:dyDescent="0.2">
      <c r="A2997" s="1" t="str">
        <f>HYPERLINK("http://www.twitter.com/Ugo_Roux/status/261139053662068737", "261139053662068737")</f>
        <v>261139053662068737</v>
      </c>
      <c r="B2997" t="s">
        <v>130</v>
      </c>
      <c r="C2997" s="3">
        <v>41206.67796296296</v>
      </c>
      <c r="D2997" s="5" t="s">
        <v>28</v>
      </c>
      <c r="E2997">
        <v>0</v>
      </c>
      <c r="F2997">
        <v>0</v>
      </c>
      <c r="G2997">
        <v>0</v>
      </c>
      <c r="I2997" t="s">
        <v>3034</v>
      </c>
      <c r="N2997">
        <v>0</v>
      </c>
      <c r="O2997">
        <v>0</v>
      </c>
      <c r="P2997">
        <v>1</v>
      </c>
      <c r="Q2997">
        <v>0</v>
      </c>
    </row>
    <row r="2998" spans="1:17" x14ac:dyDescent="0.2">
      <c r="A2998" s="1" t="str">
        <f>HYPERLINK("http://www.twitter.com/Ugo_Roux/status/259316122128625665", "259316122128625665")</f>
        <v>259316122128625665</v>
      </c>
      <c r="B2998" t="s">
        <v>370</v>
      </c>
      <c r="C2998" s="3">
        <v>41201.647638888891</v>
      </c>
      <c r="D2998" s="5" t="s">
        <v>28</v>
      </c>
      <c r="E2998">
        <v>0</v>
      </c>
      <c r="F2998">
        <v>0</v>
      </c>
      <c r="G2998">
        <v>0</v>
      </c>
      <c r="I2998" t="s">
        <v>3035</v>
      </c>
      <c r="N2998">
        <v>0</v>
      </c>
      <c r="O2998">
        <v>0</v>
      </c>
      <c r="P2998">
        <v>1</v>
      </c>
      <c r="Q2998">
        <v>0</v>
      </c>
    </row>
    <row r="2999" spans="1:17" x14ac:dyDescent="0.2">
      <c r="A2999" s="1" t="str">
        <f>HYPERLINK("http://www.twitter.com/Ugo_Roux/status/259315713263677442", "259315713263677442")</f>
        <v>259315713263677442</v>
      </c>
      <c r="B2999" t="s">
        <v>370</v>
      </c>
      <c r="C2999" s="3">
        <v>41201.646504629629</v>
      </c>
      <c r="D2999" s="5" t="s">
        <v>28</v>
      </c>
      <c r="E2999">
        <v>0</v>
      </c>
      <c r="F2999">
        <v>0</v>
      </c>
      <c r="G2999">
        <v>0</v>
      </c>
      <c r="I2999" t="s">
        <v>3036</v>
      </c>
      <c r="N2999">
        <v>0</v>
      </c>
      <c r="O2999">
        <v>0</v>
      </c>
      <c r="P2999">
        <v>1</v>
      </c>
      <c r="Q2999">
        <v>0</v>
      </c>
    </row>
    <row r="3000" spans="1:17" x14ac:dyDescent="0.2">
      <c r="A3000" s="1" t="str">
        <f>HYPERLINK("http://www.twitter.com/Ugo_Roux/status/256794616253263872", "256794616253263872")</f>
        <v>256794616253263872</v>
      </c>
      <c r="B3000" t="s">
        <v>130</v>
      </c>
      <c r="C3000" s="3">
        <v>41194.689606481479</v>
      </c>
      <c r="D3000" s="5" t="s">
        <v>28</v>
      </c>
      <c r="E3000">
        <v>0</v>
      </c>
      <c r="F3000">
        <v>0</v>
      </c>
      <c r="G3000">
        <v>0</v>
      </c>
      <c r="I3000" t="s">
        <v>3037</v>
      </c>
      <c r="N3000">
        <v>0</v>
      </c>
      <c r="O3000">
        <v>0</v>
      </c>
      <c r="P3000">
        <v>1</v>
      </c>
      <c r="Q3000">
        <v>0</v>
      </c>
    </row>
    <row r="3001" spans="1:17" x14ac:dyDescent="0.2">
      <c r="A3001" s="1" t="str">
        <f>HYPERLINK("http://www.twitter.com/Ugo_Roux/status/255981057894141953", "255981057894141953")</f>
        <v>255981057894141953</v>
      </c>
      <c r="B3001" t="s">
        <v>130</v>
      </c>
      <c r="C3001" s="3">
        <v>41192.444606481477</v>
      </c>
      <c r="D3001" s="5" t="s">
        <v>17</v>
      </c>
      <c r="E3001">
        <v>0</v>
      </c>
      <c r="F3001">
        <v>0</v>
      </c>
      <c r="G3001">
        <v>0</v>
      </c>
      <c r="I3001" t="s">
        <v>3038</v>
      </c>
      <c r="N3001">
        <v>0</v>
      </c>
      <c r="O3001">
        <v>0</v>
      </c>
      <c r="P3001">
        <v>1</v>
      </c>
      <c r="Q3001">
        <v>0</v>
      </c>
    </row>
    <row r="3002" spans="1:17" x14ac:dyDescent="0.2">
      <c r="A3002" s="1" t="str">
        <f>HYPERLINK("http://www.twitter.com/Ugo_Roux/status/254268446156677120", "254268446156677120")</f>
        <v>254268446156677120</v>
      </c>
      <c r="B3002" t="s">
        <v>130</v>
      </c>
      <c r="C3002" s="3">
        <v>41187.7187037037</v>
      </c>
      <c r="D3002" s="5" t="s">
        <v>17</v>
      </c>
      <c r="E3002">
        <v>0</v>
      </c>
      <c r="F3002">
        <v>0</v>
      </c>
      <c r="G3002">
        <v>0</v>
      </c>
      <c r="I3002" t="s">
        <v>3039</v>
      </c>
      <c r="N3002">
        <v>0</v>
      </c>
      <c r="O3002">
        <v>0</v>
      </c>
      <c r="P3002">
        <v>1</v>
      </c>
      <c r="Q3002">
        <v>0</v>
      </c>
    </row>
    <row r="3003" spans="1:17" x14ac:dyDescent="0.2">
      <c r="A3003" s="1" t="str">
        <f>HYPERLINK("http://www.twitter.com/Ugo_Roux/status/253850968737841153", "253850968737841153")</f>
        <v>253850968737841153</v>
      </c>
      <c r="B3003" t="s">
        <v>370</v>
      </c>
      <c r="C3003" s="3">
        <v>41186.566678240742</v>
      </c>
      <c r="D3003" s="5" t="s">
        <v>28</v>
      </c>
      <c r="E3003">
        <v>0</v>
      </c>
      <c r="F3003">
        <v>0</v>
      </c>
      <c r="G3003">
        <v>0</v>
      </c>
      <c r="I3003" t="s">
        <v>3040</v>
      </c>
      <c r="N3003">
        <v>0</v>
      </c>
      <c r="O3003">
        <v>0</v>
      </c>
      <c r="P3003">
        <v>1</v>
      </c>
      <c r="Q3003">
        <v>0</v>
      </c>
    </row>
    <row r="3004" spans="1:17" x14ac:dyDescent="0.2">
      <c r="A3004" s="1" t="str">
        <f>HYPERLINK("http://www.twitter.com/Ugo_Roux/status/248723559432720385", "248723559432720385")</f>
        <v>248723559432720385</v>
      </c>
      <c r="B3004" t="s">
        <v>130</v>
      </c>
      <c r="C3004" s="3">
        <v>41172.417731481481</v>
      </c>
      <c r="D3004" s="5" t="s">
        <v>28</v>
      </c>
      <c r="E3004">
        <v>0</v>
      </c>
      <c r="F3004">
        <v>1</v>
      </c>
      <c r="G3004">
        <v>0</v>
      </c>
      <c r="I3004" t="s">
        <v>3041</v>
      </c>
      <c r="N3004">
        <v>0.45879999999999999</v>
      </c>
      <c r="O3004">
        <v>0</v>
      </c>
      <c r="P3004">
        <v>0.625</v>
      </c>
      <c r="Q3004">
        <v>0.375</v>
      </c>
    </row>
    <row r="3005" spans="1:17" x14ac:dyDescent="0.2">
      <c r="A3005" s="1" t="str">
        <f>HYPERLINK("http://www.twitter.com/Ugo_Roux/status/245072691684585472", "245072691684585472")</f>
        <v>245072691684585472</v>
      </c>
      <c r="B3005" t="s">
        <v>130</v>
      </c>
      <c r="C3005" s="3">
        <v>41162.343252314808</v>
      </c>
      <c r="D3005" s="5" t="s">
        <v>17</v>
      </c>
      <c r="E3005">
        <v>0</v>
      </c>
      <c r="F3005">
        <v>0</v>
      </c>
      <c r="G3005">
        <v>0</v>
      </c>
      <c r="I3005" t="s">
        <v>3042</v>
      </c>
      <c r="N3005">
        <v>0</v>
      </c>
      <c r="O3005">
        <v>0</v>
      </c>
      <c r="P3005">
        <v>1</v>
      </c>
      <c r="Q3005">
        <v>0</v>
      </c>
    </row>
    <row r="3006" spans="1:17" x14ac:dyDescent="0.2">
      <c r="A3006" s="1" t="str">
        <f>HYPERLINK("http://www.twitter.com/Ugo_Roux/status/243262873516789760", "243262873516789760")</f>
        <v>243262873516789760</v>
      </c>
      <c r="B3006" t="s">
        <v>370</v>
      </c>
      <c r="C3006" s="3">
        <v>41157.349108796298</v>
      </c>
      <c r="D3006" s="5" t="s">
        <v>28</v>
      </c>
      <c r="E3006">
        <v>0</v>
      </c>
      <c r="F3006">
        <v>0</v>
      </c>
      <c r="G3006">
        <v>0</v>
      </c>
      <c r="I3006" t="s">
        <v>3043</v>
      </c>
      <c r="N3006">
        <v>0</v>
      </c>
      <c r="O3006">
        <v>0</v>
      </c>
      <c r="P3006">
        <v>1</v>
      </c>
      <c r="Q3006">
        <v>0</v>
      </c>
    </row>
    <row r="3007" spans="1:17" x14ac:dyDescent="0.2">
      <c r="A3007" s="1" t="str">
        <f>HYPERLINK("http://www.twitter.com/Ugo_Roux/status/243261353786236928", "243261353786236928")</f>
        <v>243261353786236928</v>
      </c>
      <c r="B3007" t="s">
        <v>370</v>
      </c>
      <c r="C3007" s="3">
        <v>41157.344907407409</v>
      </c>
      <c r="D3007" s="5" t="s">
        <v>17</v>
      </c>
      <c r="E3007">
        <v>0</v>
      </c>
      <c r="F3007">
        <v>0</v>
      </c>
      <c r="G3007">
        <v>0</v>
      </c>
      <c r="I3007" t="s">
        <v>3044</v>
      </c>
      <c r="N3007">
        <v>0</v>
      </c>
      <c r="O3007">
        <v>0</v>
      </c>
      <c r="P3007">
        <v>1</v>
      </c>
      <c r="Q3007">
        <v>0</v>
      </c>
    </row>
    <row r="3008" spans="1:17" x14ac:dyDescent="0.2">
      <c r="A3008" s="1" t="str">
        <f>HYPERLINK("http://www.twitter.com/Ugo_Roux/status/241875433489068032", "241875433489068032")</f>
        <v>241875433489068032</v>
      </c>
      <c r="B3008" t="s">
        <v>130</v>
      </c>
      <c r="C3008" s="3">
        <v>41153.520497685182</v>
      </c>
      <c r="D3008" s="5" t="s">
        <v>28</v>
      </c>
      <c r="E3008">
        <v>0</v>
      </c>
      <c r="F3008">
        <v>0</v>
      </c>
      <c r="G3008">
        <v>0</v>
      </c>
      <c r="I3008" t="s">
        <v>3045</v>
      </c>
      <c r="N3008">
        <v>0</v>
      </c>
      <c r="O3008">
        <v>0</v>
      </c>
      <c r="P3008">
        <v>1</v>
      </c>
      <c r="Q3008">
        <v>0</v>
      </c>
    </row>
    <row r="3009" spans="1:17" x14ac:dyDescent="0.2">
      <c r="A3009" s="1" t="str">
        <f>HYPERLINK("http://www.twitter.com/Ugo_Roux/status/241429945270820864", "241429945270820864")</f>
        <v>241429945270820864</v>
      </c>
      <c r="B3009" t="s">
        <v>130</v>
      </c>
      <c r="C3009" s="3">
        <v>41152.291192129633</v>
      </c>
      <c r="D3009" s="5" t="s">
        <v>17</v>
      </c>
      <c r="E3009">
        <v>0</v>
      </c>
      <c r="F3009">
        <v>0</v>
      </c>
      <c r="G3009">
        <v>0</v>
      </c>
      <c r="I3009" t="s">
        <v>3046</v>
      </c>
      <c r="N3009">
        <v>0</v>
      </c>
      <c r="O3009">
        <v>0</v>
      </c>
      <c r="P3009">
        <v>1</v>
      </c>
      <c r="Q3009">
        <v>0</v>
      </c>
    </row>
    <row r="3010" spans="1:17" x14ac:dyDescent="0.2">
      <c r="A3010" s="1" t="str">
        <f>HYPERLINK("http://www.twitter.com/Ugo_Roux/status/232754587189276672", "232754587189276672")</f>
        <v>232754587189276672</v>
      </c>
      <c r="B3010" t="s">
        <v>130</v>
      </c>
      <c r="C3010" s="3">
        <v>41128.351759259262</v>
      </c>
      <c r="D3010" s="5" t="s">
        <v>28</v>
      </c>
      <c r="E3010">
        <v>0</v>
      </c>
      <c r="F3010">
        <v>0</v>
      </c>
      <c r="G3010">
        <v>0</v>
      </c>
      <c r="I3010" t="s">
        <v>3047</v>
      </c>
      <c r="N3010">
        <v>0</v>
      </c>
      <c r="O3010">
        <v>0</v>
      </c>
      <c r="P3010">
        <v>1</v>
      </c>
      <c r="Q3010">
        <v>0</v>
      </c>
    </row>
    <row r="3011" spans="1:17" x14ac:dyDescent="0.2">
      <c r="A3011" s="1" t="str">
        <f>HYPERLINK("http://www.twitter.com/Ugo_Roux/status/232749817758089219", "232749817758089219")</f>
        <v>232749817758089219</v>
      </c>
      <c r="B3011" t="s">
        <v>130</v>
      </c>
      <c r="C3011" s="3">
        <v>41128.338599537034</v>
      </c>
      <c r="D3011" s="5" t="s">
        <v>28</v>
      </c>
      <c r="E3011">
        <v>0</v>
      </c>
      <c r="F3011">
        <v>0</v>
      </c>
      <c r="G3011">
        <v>0</v>
      </c>
      <c r="I3011" t="s">
        <v>3048</v>
      </c>
      <c r="N3011">
        <v>0</v>
      </c>
      <c r="O3011">
        <v>0</v>
      </c>
      <c r="P3011">
        <v>1</v>
      </c>
      <c r="Q3011">
        <v>0</v>
      </c>
    </row>
    <row r="3012" spans="1:17" x14ac:dyDescent="0.2">
      <c r="A3012" s="1" t="str">
        <f>HYPERLINK("http://www.twitter.com/Ugo_Roux/status/230245314752286720", "230245314752286720")</f>
        <v>230245314752286720</v>
      </c>
      <c r="B3012" t="s">
        <v>130</v>
      </c>
      <c r="C3012" s="3">
        <v>41121.427488425928</v>
      </c>
      <c r="D3012" s="5" t="s">
        <v>17</v>
      </c>
      <c r="E3012">
        <v>0</v>
      </c>
      <c r="F3012">
        <v>0</v>
      </c>
      <c r="G3012">
        <v>0</v>
      </c>
      <c r="I3012" t="s">
        <v>3049</v>
      </c>
      <c r="N3012">
        <v>0</v>
      </c>
      <c r="O3012">
        <v>0</v>
      </c>
      <c r="P3012">
        <v>1</v>
      </c>
      <c r="Q3012">
        <v>0</v>
      </c>
    </row>
    <row r="3013" spans="1:17" x14ac:dyDescent="0.2">
      <c r="A3013" s="1" t="str">
        <f>HYPERLINK("http://www.twitter.com/Ugo_Roux/status/229218246048505856", "229218246048505856")</f>
        <v>229218246048505856</v>
      </c>
      <c r="B3013" t="s">
        <v>130</v>
      </c>
      <c r="C3013" s="3">
        <v>41118.593321759261</v>
      </c>
      <c r="D3013" s="5" t="s">
        <v>17</v>
      </c>
      <c r="E3013">
        <v>0</v>
      </c>
      <c r="F3013">
        <v>0</v>
      </c>
      <c r="G3013">
        <v>0</v>
      </c>
      <c r="I3013" t="s">
        <v>3050</v>
      </c>
      <c r="N3013">
        <v>0</v>
      </c>
      <c r="O3013">
        <v>0</v>
      </c>
      <c r="P3013">
        <v>1</v>
      </c>
      <c r="Q3013">
        <v>0</v>
      </c>
    </row>
    <row r="3014" spans="1:17" x14ac:dyDescent="0.2">
      <c r="A3014" s="1" t="str">
        <f>HYPERLINK("http://www.twitter.com/Ugo_Roux/status/228790989022720000", "228790989022720000")</f>
        <v>228790989022720000</v>
      </c>
      <c r="B3014" t="s">
        <v>130</v>
      </c>
      <c r="C3014" s="3">
        <v>41117.414317129631</v>
      </c>
      <c r="D3014" s="5" t="s">
        <v>41</v>
      </c>
      <c r="E3014">
        <v>0</v>
      </c>
      <c r="F3014">
        <v>1</v>
      </c>
      <c r="G3014">
        <v>0</v>
      </c>
      <c r="I3014" t="s">
        <v>3051</v>
      </c>
      <c r="N3014">
        <v>0</v>
      </c>
      <c r="O3014">
        <v>0</v>
      </c>
      <c r="P3014">
        <v>1</v>
      </c>
      <c r="Q3014">
        <v>0</v>
      </c>
    </row>
    <row r="3015" spans="1:17" x14ac:dyDescent="0.2">
      <c r="A3015" s="1" t="str">
        <f>HYPERLINK("http://www.twitter.com/Ugo_Roux/status/226596006895161344", "226596006895161344")</f>
        <v>226596006895161344</v>
      </c>
      <c r="B3015" t="s">
        <v>130</v>
      </c>
      <c r="C3015" s="3">
        <v>41111.357314814813</v>
      </c>
      <c r="D3015" s="5" t="s">
        <v>28</v>
      </c>
      <c r="E3015">
        <v>0</v>
      </c>
      <c r="F3015">
        <v>0</v>
      </c>
      <c r="G3015">
        <v>0</v>
      </c>
      <c r="I3015" t="s">
        <v>3052</v>
      </c>
      <c r="N3015">
        <v>0</v>
      </c>
      <c r="O3015">
        <v>0</v>
      </c>
      <c r="P3015">
        <v>1</v>
      </c>
      <c r="Q3015">
        <v>0</v>
      </c>
    </row>
    <row r="3016" spans="1:17" x14ac:dyDescent="0.2">
      <c r="A3016" s="1" t="str">
        <f>HYPERLINK("http://www.twitter.com/Ugo_Roux/status/222742232489398272", "222742232489398272")</f>
        <v>222742232489398272</v>
      </c>
      <c r="B3016" t="s">
        <v>130</v>
      </c>
      <c r="C3016" s="3">
        <v>41100.722928240742</v>
      </c>
      <c r="D3016" s="5" t="s">
        <v>41</v>
      </c>
      <c r="E3016">
        <v>0</v>
      </c>
      <c r="F3016">
        <v>0</v>
      </c>
      <c r="G3016">
        <v>0</v>
      </c>
      <c r="I3016" t="s">
        <v>3053</v>
      </c>
      <c r="N3016">
        <v>-0.29599999999999999</v>
      </c>
      <c r="O3016">
        <v>0.121</v>
      </c>
      <c r="P3016">
        <v>0.879</v>
      </c>
      <c r="Q3016">
        <v>0</v>
      </c>
    </row>
    <row r="3017" spans="1:17" x14ac:dyDescent="0.2">
      <c r="A3017" s="1" t="str">
        <f>HYPERLINK("http://www.twitter.com/Ugo_Roux/status/220808531861975042", "220808531861975042")</f>
        <v>220808531861975042</v>
      </c>
      <c r="B3017" t="s">
        <v>130</v>
      </c>
      <c r="C3017" s="3">
        <v>41095.386932870373</v>
      </c>
      <c r="D3017" s="5" t="s">
        <v>28</v>
      </c>
      <c r="E3017">
        <v>0</v>
      </c>
      <c r="F3017">
        <v>0</v>
      </c>
      <c r="G3017">
        <v>0</v>
      </c>
      <c r="I3017" t="s">
        <v>3054</v>
      </c>
      <c r="N3017">
        <v>0</v>
      </c>
      <c r="O3017">
        <v>0</v>
      </c>
      <c r="P3017">
        <v>1</v>
      </c>
      <c r="Q3017">
        <v>0</v>
      </c>
    </row>
    <row r="3018" spans="1:17" x14ac:dyDescent="0.2">
      <c r="A3018" s="1" t="str">
        <f>HYPERLINK("http://www.twitter.com/Ugo_Roux/status/220807748428898304", "220807748428898304")</f>
        <v>220807748428898304</v>
      </c>
      <c r="B3018" t="s">
        <v>130</v>
      </c>
      <c r="C3018" s="3">
        <v>41095.384768518517</v>
      </c>
      <c r="D3018" s="5" t="s">
        <v>41</v>
      </c>
      <c r="E3018">
        <v>0</v>
      </c>
      <c r="F3018">
        <v>0</v>
      </c>
      <c r="G3018">
        <v>0</v>
      </c>
      <c r="I3018" t="s">
        <v>3055</v>
      </c>
      <c r="N3018">
        <v>0</v>
      </c>
      <c r="O3018">
        <v>0</v>
      </c>
      <c r="P3018">
        <v>1</v>
      </c>
      <c r="Q3018">
        <v>0</v>
      </c>
    </row>
    <row r="3019" spans="1:17" x14ac:dyDescent="0.2">
      <c r="A3019" s="1" t="str">
        <f>HYPERLINK("http://www.twitter.com/Ugo_Roux/status/220455054900084736", "220455054900084736")</f>
        <v>220455054900084736</v>
      </c>
      <c r="B3019" t="s">
        <v>130</v>
      </c>
      <c r="C3019" s="3">
        <v>41094.411516203712</v>
      </c>
      <c r="D3019" s="5" t="s">
        <v>17</v>
      </c>
      <c r="E3019">
        <v>0</v>
      </c>
      <c r="F3019">
        <v>0</v>
      </c>
      <c r="G3019">
        <v>0</v>
      </c>
      <c r="I3019" t="s">
        <v>3056</v>
      </c>
      <c r="N3019">
        <v>0</v>
      </c>
      <c r="O3019">
        <v>0</v>
      </c>
      <c r="P3019">
        <v>1</v>
      </c>
      <c r="Q3019">
        <v>0</v>
      </c>
    </row>
    <row r="3020" spans="1:17" x14ac:dyDescent="0.2">
      <c r="A3020" s="1" t="str">
        <f>HYPERLINK("http://www.twitter.com/Ugo_Roux/status/220173579252277249", "220173579252277249")</f>
        <v>220173579252277249</v>
      </c>
      <c r="B3020" t="s">
        <v>130</v>
      </c>
      <c r="C3020" s="3">
        <v>41093.634791666656</v>
      </c>
      <c r="D3020" s="5" t="s">
        <v>28</v>
      </c>
      <c r="E3020">
        <v>0</v>
      </c>
      <c r="F3020">
        <v>0</v>
      </c>
      <c r="G3020">
        <v>0</v>
      </c>
      <c r="I3020" t="s">
        <v>3057</v>
      </c>
      <c r="N3020">
        <v>0</v>
      </c>
      <c r="O3020">
        <v>0</v>
      </c>
      <c r="P3020">
        <v>1</v>
      </c>
      <c r="Q3020">
        <v>0</v>
      </c>
    </row>
    <row r="3021" spans="1:17" x14ac:dyDescent="0.2">
      <c r="A3021" s="1" t="str">
        <f>HYPERLINK("http://www.twitter.com/Ugo_Roux/status/218660747675312128", "218660747675312128")</f>
        <v>218660747675312128</v>
      </c>
      <c r="B3021" t="s">
        <v>130</v>
      </c>
      <c r="C3021" s="3">
        <v>41089.460173611107</v>
      </c>
      <c r="D3021" s="5" t="s">
        <v>28</v>
      </c>
      <c r="E3021">
        <v>0</v>
      </c>
      <c r="F3021">
        <v>0</v>
      </c>
      <c r="G3021">
        <v>0</v>
      </c>
      <c r="I3021" t="s">
        <v>3058</v>
      </c>
      <c r="N3021">
        <v>0</v>
      </c>
      <c r="O3021">
        <v>0</v>
      </c>
      <c r="P3021">
        <v>1</v>
      </c>
      <c r="Q3021">
        <v>0</v>
      </c>
    </row>
    <row r="3022" spans="1:17" x14ac:dyDescent="0.2">
      <c r="A3022" s="1" t="str">
        <f>HYPERLINK("http://www.twitter.com/Ugo_Roux/status/218285295060254720", "218285295060254720")</f>
        <v>218285295060254720</v>
      </c>
      <c r="B3022" t="s">
        <v>130</v>
      </c>
      <c r="C3022" s="3">
        <v>41088.424120370371</v>
      </c>
      <c r="D3022" s="5" t="s">
        <v>17</v>
      </c>
      <c r="E3022">
        <v>0</v>
      </c>
      <c r="F3022">
        <v>0</v>
      </c>
      <c r="G3022">
        <v>0</v>
      </c>
      <c r="I3022" t="s">
        <v>3059</v>
      </c>
      <c r="N3022">
        <v>0</v>
      </c>
      <c r="O3022">
        <v>0</v>
      </c>
      <c r="P3022">
        <v>1</v>
      </c>
      <c r="Q3022">
        <v>0</v>
      </c>
    </row>
    <row r="3023" spans="1:17" x14ac:dyDescent="0.2">
      <c r="A3023" s="1" t="str">
        <f>HYPERLINK("http://www.twitter.com/Ugo_Roux/status/218193341404295170", "218193341404295170")</f>
        <v>218193341404295170</v>
      </c>
      <c r="B3023" t="s">
        <v>130</v>
      </c>
      <c r="C3023" s="3">
        <v>41088.170381944437</v>
      </c>
      <c r="D3023" s="5" t="s">
        <v>41</v>
      </c>
      <c r="E3023">
        <v>0</v>
      </c>
      <c r="F3023">
        <v>1</v>
      </c>
      <c r="G3023">
        <v>0</v>
      </c>
      <c r="I3023" t="s">
        <v>3060</v>
      </c>
      <c r="N3023">
        <v>0</v>
      </c>
      <c r="O3023">
        <v>0</v>
      </c>
      <c r="P3023">
        <v>1</v>
      </c>
      <c r="Q3023">
        <v>0</v>
      </c>
    </row>
    <row r="3024" spans="1:17" x14ac:dyDescent="0.2">
      <c r="A3024" s="1" t="str">
        <f>HYPERLINK("http://www.twitter.com/Ugo_Roux/status/217613174285934593", "217613174285934593")</f>
        <v>217613174285934593</v>
      </c>
      <c r="B3024" t="s">
        <v>130</v>
      </c>
      <c r="C3024" s="3">
        <v>41086.569421296299</v>
      </c>
      <c r="D3024" s="5" t="s">
        <v>28</v>
      </c>
      <c r="E3024">
        <v>0</v>
      </c>
      <c r="F3024">
        <v>0</v>
      </c>
      <c r="G3024">
        <v>0</v>
      </c>
      <c r="I3024" t="s">
        <v>3061</v>
      </c>
      <c r="N3024">
        <v>0</v>
      </c>
      <c r="O3024">
        <v>0</v>
      </c>
      <c r="P3024">
        <v>1</v>
      </c>
      <c r="Q3024">
        <v>0</v>
      </c>
    </row>
    <row r="3025" spans="1:17" x14ac:dyDescent="0.2">
      <c r="A3025" s="1" t="str">
        <f>HYPERLINK("http://www.twitter.com/Ugo_Roux/status/216530740303769601", "216530740303769601")</f>
        <v>216530740303769601</v>
      </c>
      <c r="B3025" t="s">
        <v>130</v>
      </c>
      <c r="C3025" s="3">
        <v>41083.582476851851</v>
      </c>
      <c r="D3025" s="5" t="s">
        <v>41</v>
      </c>
      <c r="E3025">
        <v>0</v>
      </c>
      <c r="F3025">
        <v>0</v>
      </c>
      <c r="G3025">
        <v>0</v>
      </c>
      <c r="I3025" t="s">
        <v>3062</v>
      </c>
      <c r="N3025">
        <v>0</v>
      </c>
      <c r="O3025">
        <v>0</v>
      </c>
      <c r="P3025">
        <v>1</v>
      </c>
      <c r="Q3025">
        <v>0</v>
      </c>
    </row>
    <row r="3026" spans="1:17" x14ac:dyDescent="0.2">
      <c r="A3026" s="1" t="str">
        <f>HYPERLINK("http://www.twitter.com/Ugo_Roux/status/216519668654030848", "216519668654030848")</f>
        <v>216519668654030848</v>
      </c>
      <c r="B3026" t="s">
        <v>130</v>
      </c>
      <c r="C3026" s="3">
        <v>41083.551921296297</v>
      </c>
      <c r="D3026" s="5" t="s">
        <v>41</v>
      </c>
      <c r="E3026">
        <v>0</v>
      </c>
      <c r="F3026">
        <v>0</v>
      </c>
      <c r="G3026">
        <v>0</v>
      </c>
      <c r="I3026" t="s">
        <v>3063</v>
      </c>
      <c r="N3026">
        <v>0</v>
      </c>
      <c r="O3026">
        <v>0</v>
      </c>
      <c r="P3026">
        <v>1</v>
      </c>
      <c r="Q3026">
        <v>0</v>
      </c>
    </row>
    <row r="3027" spans="1:17" x14ac:dyDescent="0.2">
      <c r="A3027" s="1" t="str">
        <f>HYPERLINK("http://www.twitter.com/Ugo_Roux/status/216506415374811136", "216506415374811136")</f>
        <v>216506415374811136</v>
      </c>
      <c r="B3027" t="s">
        <v>130</v>
      </c>
      <c r="C3027" s="3">
        <v>41083.515347222223</v>
      </c>
      <c r="D3027" s="5" t="s">
        <v>41</v>
      </c>
      <c r="E3027">
        <v>0</v>
      </c>
      <c r="F3027">
        <v>0</v>
      </c>
      <c r="G3027">
        <v>0</v>
      </c>
      <c r="I3027" t="s">
        <v>3064</v>
      </c>
      <c r="N3027">
        <v>0</v>
      </c>
      <c r="O3027">
        <v>0</v>
      </c>
      <c r="P3027">
        <v>1</v>
      </c>
      <c r="Q3027">
        <v>0</v>
      </c>
    </row>
    <row r="3028" spans="1:17" x14ac:dyDescent="0.2">
      <c r="A3028" s="1" t="str">
        <f>HYPERLINK("http://www.twitter.com/Ugo_Roux/status/215471162287853568", "215471162287853568")</f>
        <v>215471162287853568</v>
      </c>
      <c r="B3028" t="s">
        <v>130</v>
      </c>
      <c r="C3028" s="3">
        <v>41080.658599537041</v>
      </c>
      <c r="D3028" s="5" t="s">
        <v>28</v>
      </c>
      <c r="E3028">
        <v>0</v>
      </c>
      <c r="F3028">
        <v>0</v>
      </c>
      <c r="G3028">
        <v>0</v>
      </c>
      <c r="I3028" t="s">
        <v>3065</v>
      </c>
      <c r="N3028">
        <v>0</v>
      </c>
      <c r="O3028">
        <v>0</v>
      </c>
      <c r="P3028">
        <v>1</v>
      </c>
      <c r="Q3028">
        <v>0</v>
      </c>
    </row>
    <row r="3029" spans="1:17" x14ac:dyDescent="0.2">
      <c r="A3029" s="1" t="str">
        <f>HYPERLINK("http://www.twitter.com/Ugo_Roux/status/210975657818202112", "210975657818202112")</f>
        <v>210975657818202112</v>
      </c>
      <c r="B3029" t="s">
        <v>130</v>
      </c>
      <c r="C3029" s="3">
        <v>41068.253368055557</v>
      </c>
      <c r="D3029" s="5" t="s">
        <v>28</v>
      </c>
      <c r="E3029">
        <v>0</v>
      </c>
      <c r="F3029">
        <v>0</v>
      </c>
      <c r="G3029">
        <v>0</v>
      </c>
      <c r="I3029" t="s">
        <v>3066</v>
      </c>
      <c r="N3029">
        <v>0</v>
      </c>
      <c r="O3029">
        <v>0</v>
      </c>
      <c r="P3029">
        <v>1</v>
      </c>
      <c r="Q3029">
        <v>0</v>
      </c>
    </row>
    <row r="3030" spans="1:17" x14ac:dyDescent="0.2">
      <c r="A3030" s="1" t="str">
        <f>HYPERLINK("http://www.twitter.com/Ugo_Roux/status/208910681699913728", "208910681699913728")</f>
        <v>208910681699913728</v>
      </c>
      <c r="B3030" t="s">
        <v>130</v>
      </c>
      <c r="C3030" s="3">
        <v>41062.555127314823</v>
      </c>
      <c r="D3030" s="5" t="s">
        <v>41</v>
      </c>
      <c r="E3030">
        <v>1</v>
      </c>
      <c r="F3030">
        <v>1</v>
      </c>
      <c r="G3030">
        <v>0</v>
      </c>
      <c r="I3030" t="s">
        <v>3067</v>
      </c>
      <c r="J3030" t="str">
        <f>HYPERLINK("http://pbs.twimg.com/media/AuYzKH0CEAEMwFH.jpg", "http://pbs.twimg.com/media/AuYzKH0CEAEMwFH.jpg")</f>
        <v>http://pbs.twimg.com/media/AuYzKH0CEAEMwFH.jpg</v>
      </c>
      <c r="N3030">
        <v>0</v>
      </c>
      <c r="O3030">
        <v>0</v>
      </c>
      <c r="P3030">
        <v>1</v>
      </c>
      <c r="Q3030">
        <v>0</v>
      </c>
    </row>
    <row r="3031" spans="1:17" x14ac:dyDescent="0.2">
      <c r="A3031" s="1" t="str">
        <f>HYPERLINK("http://www.twitter.com/Ugo_Roux/status/204957533591449600", "204957533591449600")</f>
        <v>204957533591449600</v>
      </c>
      <c r="B3031" t="s">
        <v>130</v>
      </c>
      <c r="C3031" s="3">
        <v>41051.646504629629</v>
      </c>
      <c r="D3031" s="5" t="s">
        <v>41</v>
      </c>
      <c r="E3031">
        <v>0</v>
      </c>
      <c r="F3031">
        <v>0</v>
      </c>
      <c r="G3031">
        <v>0</v>
      </c>
      <c r="I3031" t="s">
        <v>3068</v>
      </c>
      <c r="N3031">
        <v>0</v>
      </c>
      <c r="O3031">
        <v>0</v>
      </c>
      <c r="P3031">
        <v>1</v>
      </c>
      <c r="Q3031">
        <v>0</v>
      </c>
    </row>
    <row r="3032" spans="1:17" x14ac:dyDescent="0.2">
      <c r="A3032" s="1" t="str">
        <f>HYPERLINK("http://www.twitter.com/Ugo_Roux/status/203794084941410304", "203794084941410304")</f>
        <v>203794084941410304</v>
      </c>
      <c r="B3032" t="s">
        <v>130</v>
      </c>
      <c r="C3032" s="3">
        <v>41048.435995370368</v>
      </c>
      <c r="D3032" s="5" t="s">
        <v>41</v>
      </c>
      <c r="E3032">
        <v>0</v>
      </c>
      <c r="F3032">
        <v>0</v>
      </c>
      <c r="G3032">
        <v>0</v>
      </c>
      <c r="I3032" t="s">
        <v>3069</v>
      </c>
      <c r="N3032">
        <v>0</v>
      </c>
      <c r="O3032">
        <v>0</v>
      </c>
      <c r="P3032">
        <v>1</v>
      </c>
      <c r="Q3032">
        <v>0</v>
      </c>
    </row>
    <row r="3033" spans="1:17" x14ac:dyDescent="0.2">
      <c r="A3033" s="1" t="str">
        <f>HYPERLINK("http://www.twitter.com/Ugo_Roux/status/195107241790144512", "195107241790144512")</f>
        <v>195107241790144512</v>
      </c>
      <c r="B3033" t="s">
        <v>130</v>
      </c>
      <c r="C3033" s="3">
        <v>41024.464884259258</v>
      </c>
      <c r="D3033" s="5" t="s">
        <v>41</v>
      </c>
      <c r="E3033">
        <v>0</v>
      </c>
      <c r="F3033">
        <v>0</v>
      </c>
      <c r="G3033">
        <v>0</v>
      </c>
      <c r="I3033" t="s">
        <v>3070</v>
      </c>
      <c r="N3033">
        <v>0</v>
      </c>
      <c r="O3033">
        <v>0</v>
      </c>
      <c r="P3033">
        <v>1</v>
      </c>
      <c r="Q3033">
        <v>0</v>
      </c>
    </row>
    <row r="3034" spans="1:17" x14ac:dyDescent="0.2">
      <c r="A3034" s="1" t="str">
        <f>HYPERLINK("http://www.twitter.com/Ugo_Roux/status/194736538997895169", "194736538997895169")</f>
        <v>194736538997895169</v>
      </c>
      <c r="B3034" t="s">
        <v>130</v>
      </c>
      <c r="C3034" s="3">
        <v>41023.441932870373</v>
      </c>
      <c r="D3034" s="5" t="s">
        <v>41</v>
      </c>
      <c r="E3034">
        <v>0</v>
      </c>
      <c r="F3034">
        <v>0</v>
      </c>
      <c r="G3034">
        <v>0</v>
      </c>
      <c r="I3034" t="s">
        <v>3071</v>
      </c>
      <c r="N3034">
        <v>0</v>
      </c>
      <c r="O3034">
        <v>0</v>
      </c>
      <c r="P3034">
        <v>1</v>
      </c>
      <c r="Q3034">
        <v>0</v>
      </c>
    </row>
    <row r="3035" spans="1:17" x14ac:dyDescent="0.2">
      <c r="A3035" s="1" t="str">
        <f>HYPERLINK("http://www.twitter.com/Ugo_Roux/status/194729204548517888", "194729204548517888")</f>
        <v>194729204548517888</v>
      </c>
      <c r="B3035" t="s">
        <v>130</v>
      </c>
      <c r="C3035" s="3">
        <v>41023.421689814822</v>
      </c>
      <c r="D3035" s="5" t="s">
        <v>41</v>
      </c>
      <c r="E3035">
        <v>0</v>
      </c>
      <c r="F3035">
        <v>0</v>
      </c>
      <c r="G3035">
        <v>0</v>
      </c>
      <c r="I3035" t="s">
        <v>3072</v>
      </c>
      <c r="N3035">
        <v>0</v>
      </c>
      <c r="O3035">
        <v>0</v>
      </c>
      <c r="P3035">
        <v>1</v>
      </c>
      <c r="Q3035">
        <v>0</v>
      </c>
    </row>
    <row r="3036" spans="1:17" x14ac:dyDescent="0.2">
      <c r="A3036" s="1" t="str">
        <f>HYPERLINK("http://www.twitter.com/Ugo_Roux/status/192625097830432772", "192625097830432772")</f>
        <v>192625097830432772</v>
      </c>
      <c r="B3036" t="s">
        <v>370</v>
      </c>
      <c r="C3036" s="3">
        <v>41017.61546296296</v>
      </c>
      <c r="D3036" s="5" t="s">
        <v>28</v>
      </c>
      <c r="E3036">
        <v>1</v>
      </c>
      <c r="F3036">
        <v>0</v>
      </c>
      <c r="G3036">
        <v>0</v>
      </c>
      <c r="I3036" t="s">
        <v>3073</v>
      </c>
      <c r="N3036">
        <v>0</v>
      </c>
      <c r="O3036">
        <v>0</v>
      </c>
      <c r="P3036">
        <v>1</v>
      </c>
      <c r="Q3036">
        <v>0</v>
      </c>
    </row>
    <row r="3037" spans="1:17" x14ac:dyDescent="0.2">
      <c r="A3037" s="1" t="str">
        <f>HYPERLINK("http://www.twitter.com/Ugo_Roux/status/190764478164504576", "190764478164504576")</f>
        <v>190764478164504576</v>
      </c>
      <c r="B3037" t="s">
        <v>130</v>
      </c>
      <c r="C3037" s="3">
        <v>41012.481134259258</v>
      </c>
      <c r="D3037" s="5" t="s">
        <v>28</v>
      </c>
      <c r="E3037">
        <v>0</v>
      </c>
      <c r="F3037">
        <v>0</v>
      </c>
      <c r="G3037">
        <v>0</v>
      </c>
      <c r="I3037" t="s">
        <v>3074</v>
      </c>
      <c r="N3037">
        <v>0</v>
      </c>
      <c r="O3037">
        <v>0</v>
      </c>
      <c r="P3037">
        <v>1</v>
      </c>
      <c r="Q3037">
        <v>0</v>
      </c>
    </row>
    <row r="3038" spans="1:17" x14ac:dyDescent="0.2">
      <c r="A3038" s="1" t="str">
        <f>HYPERLINK("http://www.twitter.com/Ugo_Roux/status/188248028275154944", "188248028275154944")</f>
        <v>188248028275154944</v>
      </c>
      <c r="B3038" t="s">
        <v>370</v>
      </c>
      <c r="C3038" s="3">
        <v>41005.537060185183</v>
      </c>
      <c r="D3038" s="3" t="s">
        <v>17</v>
      </c>
      <c r="E3038">
        <v>0</v>
      </c>
      <c r="F3038">
        <v>0</v>
      </c>
      <c r="G3038">
        <v>0</v>
      </c>
      <c r="I3038" t="s">
        <v>3075</v>
      </c>
      <c r="N3038">
        <v>0</v>
      </c>
      <c r="O3038">
        <v>0</v>
      </c>
      <c r="P3038">
        <v>1</v>
      </c>
      <c r="Q3038">
        <v>0</v>
      </c>
    </row>
    <row r="3039" spans="1:17" x14ac:dyDescent="0.2">
      <c r="A3039" s="1" t="str">
        <f>HYPERLINK("http://www.twitter.com/Ugo_Roux/status/183570673229242370", "183570673229242370")</f>
        <v>183570673229242370</v>
      </c>
      <c r="B3039" t="s">
        <v>130</v>
      </c>
      <c r="C3039" s="3">
        <v>40992.630011574067</v>
      </c>
      <c r="D3039" s="5" t="s">
        <v>41</v>
      </c>
      <c r="E3039">
        <v>0</v>
      </c>
      <c r="F3039">
        <v>0</v>
      </c>
      <c r="G3039">
        <v>0</v>
      </c>
      <c r="I3039" t="s">
        <v>3076</v>
      </c>
      <c r="N3039">
        <v>0</v>
      </c>
      <c r="O3039">
        <v>0</v>
      </c>
      <c r="P3039">
        <v>1</v>
      </c>
      <c r="Q3039">
        <v>0</v>
      </c>
    </row>
    <row r="3040" spans="1:17" x14ac:dyDescent="0.2">
      <c r="A3040" s="1" t="str">
        <f>HYPERLINK("http://www.twitter.com/Ugo_Roux/status/162181846384394241", "162181846384394241")</f>
        <v>162181846384394241</v>
      </c>
      <c r="B3040" t="s">
        <v>130</v>
      </c>
      <c r="C3040" s="3">
        <v>40933.608101851853</v>
      </c>
      <c r="D3040" s="5" t="s">
        <v>28</v>
      </c>
      <c r="E3040">
        <v>0</v>
      </c>
      <c r="F3040">
        <v>0</v>
      </c>
      <c r="G3040">
        <v>0</v>
      </c>
      <c r="I3040" t="s">
        <v>3077</v>
      </c>
      <c r="N3040">
        <v>0</v>
      </c>
      <c r="O3040">
        <v>0</v>
      </c>
      <c r="P3040">
        <v>1</v>
      </c>
      <c r="Q3040">
        <v>0</v>
      </c>
    </row>
    <row r="3041" spans="1:17" x14ac:dyDescent="0.2">
      <c r="A3041" s="1" t="str">
        <f>HYPERLINK("http://www.twitter.com/Ugo_Roux/status/159619298304860160", "159619298304860160")</f>
        <v>159619298304860160</v>
      </c>
      <c r="B3041" t="s">
        <v>130</v>
      </c>
      <c r="C3041" s="3">
        <v>40926.536805555559</v>
      </c>
      <c r="D3041" s="5" t="s">
        <v>28</v>
      </c>
      <c r="E3041">
        <v>0</v>
      </c>
      <c r="F3041">
        <v>0</v>
      </c>
      <c r="G3041">
        <v>0</v>
      </c>
      <c r="I3041" t="s">
        <v>3078</v>
      </c>
      <c r="N3041">
        <v>0.15310000000000001</v>
      </c>
      <c r="O3041">
        <v>0</v>
      </c>
      <c r="P3041">
        <v>0.91800000000000004</v>
      </c>
      <c r="Q3041">
        <v>8.2000000000000003E-2</v>
      </c>
    </row>
    <row r="3042" spans="1:17" x14ac:dyDescent="0.2">
      <c r="A3042" s="1" t="str">
        <f>HYPERLINK("http://www.twitter.com/Ugo_Roux/status/158247484043444224", "158247484043444224")</f>
        <v>158247484043444224</v>
      </c>
      <c r="B3042" t="s">
        <v>130</v>
      </c>
      <c r="C3042" s="3">
        <v>40922.751319444447</v>
      </c>
      <c r="D3042" s="5" t="s">
        <v>17</v>
      </c>
      <c r="E3042">
        <v>0</v>
      </c>
      <c r="F3042">
        <v>0</v>
      </c>
      <c r="G3042">
        <v>0</v>
      </c>
      <c r="I3042" t="s">
        <v>3079</v>
      </c>
      <c r="N3042">
        <v>0</v>
      </c>
      <c r="O3042">
        <v>0</v>
      </c>
      <c r="P3042">
        <v>1</v>
      </c>
      <c r="Q3042">
        <v>0</v>
      </c>
    </row>
    <row r="3043" spans="1:17" x14ac:dyDescent="0.2">
      <c r="A3043" s="1" t="str">
        <f>HYPERLINK("http://www.twitter.com/Ugo_Roux/status/155240012919742466", "155240012919742466")</f>
        <v>155240012919742466</v>
      </c>
      <c r="B3043" t="s">
        <v>130</v>
      </c>
      <c r="C3043" s="3">
        <v>40914.452280092592</v>
      </c>
      <c r="D3043" s="5" t="s">
        <v>17</v>
      </c>
      <c r="E3043">
        <v>0</v>
      </c>
      <c r="F3043">
        <v>0</v>
      </c>
      <c r="G3043">
        <v>0</v>
      </c>
      <c r="I3043" t="s">
        <v>3080</v>
      </c>
      <c r="N3043">
        <v>0</v>
      </c>
      <c r="O3043">
        <v>0</v>
      </c>
      <c r="P3043">
        <v>1</v>
      </c>
      <c r="Q3043">
        <v>0</v>
      </c>
    </row>
    <row r="3044" spans="1:17" x14ac:dyDescent="0.2">
      <c r="A3044" s="1" t="str">
        <f>HYPERLINK("http://www.twitter.com/Ugo_Roux/status/155234531715194880", "155234531715194880")</f>
        <v>155234531715194880</v>
      </c>
      <c r="B3044" t="s">
        <v>130</v>
      </c>
      <c r="C3044" s="3">
        <v>40914.437164351853</v>
      </c>
      <c r="D3044" s="5" t="s">
        <v>625</v>
      </c>
      <c r="E3044">
        <v>0</v>
      </c>
      <c r="F3044">
        <v>0</v>
      </c>
      <c r="G3044">
        <v>0</v>
      </c>
      <c r="I3044" t="s">
        <v>3081</v>
      </c>
      <c r="N3044">
        <v>0</v>
      </c>
      <c r="O3044">
        <v>0</v>
      </c>
      <c r="P3044">
        <v>1</v>
      </c>
      <c r="Q3044">
        <v>0</v>
      </c>
    </row>
    <row r="3045" spans="1:17" x14ac:dyDescent="0.2">
      <c r="A3045" s="1" t="str">
        <f>HYPERLINK("http://www.twitter.com/Ugo_Roux/status/149861659819773952", "149861659819773952")</f>
        <v>149861659819773952</v>
      </c>
      <c r="B3045" t="s">
        <v>130</v>
      </c>
      <c r="C3045" s="3">
        <v>40899.610856481479</v>
      </c>
      <c r="D3045" s="5" t="s">
        <v>41</v>
      </c>
      <c r="E3045">
        <v>0</v>
      </c>
      <c r="F3045">
        <v>0</v>
      </c>
      <c r="G3045">
        <v>0</v>
      </c>
      <c r="I3045" t="s">
        <v>3082</v>
      </c>
      <c r="N3045">
        <v>0</v>
      </c>
      <c r="O3045">
        <v>0</v>
      </c>
      <c r="P3045">
        <v>1</v>
      </c>
      <c r="Q3045">
        <v>0</v>
      </c>
    </row>
    <row r="3046" spans="1:17" x14ac:dyDescent="0.2">
      <c r="A3046" s="1" t="str">
        <f>HYPERLINK("http://www.twitter.com/Ugo_Roux/status/142554217142423552", "142554217142423552")</f>
        <v>142554217142423552</v>
      </c>
      <c r="B3046" t="s">
        <v>130</v>
      </c>
      <c r="C3046" s="3">
        <v>40879.446157407408</v>
      </c>
      <c r="D3046" s="5" t="s">
        <v>28</v>
      </c>
      <c r="E3046">
        <v>0</v>
      </c>
      <c r="F3046">
        <v>0</v>
      </c>
      <c r="G3046">
        <v>0</v>
      </c>
      <c r="I3046" t="s">
        <v>3083</v>
      </c>
      <c r="N3046">
        <v>0.15310000000000001</v>
      </c>
      <c r="O3046">
        <v>0</v>
      </c>
      <c r="P3046">
        <v>0.90900000000000003</v>
      </c>
      <c r="Q3046">
        <v>9.0999999999999998E-2</v>
      </c>
    </row>
    <row r="3047" spans="1:17" x14ac:dyDescent="0.2">
      <c r="A3047" s="1" t="str">
        <f>HYPERLINK("http://www.twitter.com/Ugo_Roux/status/139732654105968642", "139732654105968642")</f>
        <v>139732654105968642</v>
      </c>
      <c r="B3047" t="s">
        <v>130</v>
      </c>
      <c r="C3047" s="3">
        <v>40871.660127314812</v>
      </c>
      <c r="D3047" s="5" t="s">
        <v>28</v>
      </c>
      <c r="E3047">
        <v>0</v>
      </c>
      <c r="F3047">
        <v>0</v>
      </c>
      <c r="G3047">
        <v>0</v>
      </c>
      <c r="I3047" t="s">
        <v>3084</v>
      </c>
      <c r="N3047">
        <v>0</v>
      </c>
      <c r="O3047">
        <v>0</v>
      </c>
      <c r="P3047">
        <v>1</v>
      </c>
      <c r="Q3047">
        <v>0</v>
      </c>
    </row>
    <row r="3048" spans="1:17" x14ac:dyDescent="0.2">
      <c r="A3048" s="1" t="str">
        <f>HYPERLINK("http://www.twitter.com/Ugo_Roux/status/124109638177267712", "124109638177267712")</f>
        <v>124109638177267712</v>
      </c>
      <c r="B3048" t="s">
        <v>130</v>
      </c>
      <c r="C3048" s="3">
        <v>40828.548819444448</v>
      </c>
      <c r="D3048" s="5" t="s">
        <v>28</v>
      </c>
      <c r="E3048">
        <v>0</v>
      </c>
      <c r="F3048">
        <v>0</v>
      </c>
      <c r="G3048">
        <v>0</v>
      </c>
      <c r="I3048" t="s">
        <v>3085</v>
      </c>
      <c r="N3048">
        <v>0</v>
      </c>
      <c r="O3048">
        <v>0</v>
      </c>
      <c r="P3048">
        <v>1</v>
      </c>
      <c r="Q3048">
        <v>0</v>
      </c>
    </row>
    <row r="3049" spans="1:17" x14ac:dyDescent="0.2">
      <c r="A3049" s="1" t="str">
        <f>HYPERLINK("http://www.twitter.com/Ugo_Roux/status/122643039150804992", "122643039150804992")</f>
        <v>122643039150804992</v>
      </c>
      <c r="B3049" t="s">
        <v>130</v>
      </c>
      <c r="C3049" s="3">
        <v>40824.501770833333</v>
      </c>
      <c r="D3049" s="5" t="s">
        <v>28</v>
      </c>
      <c r="E3049">
        <v>0</v>
      </c>
      <c r="F3049">
        <v>0</v>
      </c>
      <c r="G3049">
        <v>0</v>
      </c>
      <c r="I3049" t="s">
        <v>3086</v>
      </c>
      <c r="N3049">
        <v>0</v>
      </c>
      <c r="O3049">
        <v>0</v>
      </c>
      <c r="P3049">
        <v>1</v>
      </c>
      <c r="Q3049">
        <v>0</v>
      </c>
    </row>
    <row r="3050" spans="1:17" x14ac:dyDescent="0.2">
      <c r="A3050" s="1" t="str">
        <f>HYPERLINK("http://www.twitter.com/Ugo_Roux/status/119354745143042048", "119354745143042048")</f>
        <v>119354745143042048</v>
      </c>
      <c r="B3050" t="s">
        <v>130</v>
      </c>
      <c r="C3050" s="3">
        <v>40815.427812499998</v>
      </c>
      <c r="D3050" s="5" t="s">
        <v>17</v>
      </c>
      <c r="E3050">
        <v>0</v>
      </c>
      <c r="F3050">
        <v>0</v>
      </c>
      <c r="G3050">
        <v>0</v>
      </c>
      <c r="I3050" t="s">
        <v>3087</v>
      </c>
      <c r="N3050">
        <v>0</v>
      </c>
      <c r="O3050">
        <v>0</v>
      </c>
      <c r="P3050">
        <v>1</v>
      </c>
      <c r="Q3050">
        <v>0</v>
      </c>
    </row>
    <row r="3051" spans="1:17" x14ac:dyDescent="0.2">
      <c r="A3051" s="1" t="str">
        <f>HYPERLINK("http://www.twitter.com/Ugo_Roux/status/118995614901088256", "118995614901088256")</f>
        <v>118995614901088256</v>
      </c>
      <c r="B3051" t="s">
        <v>130</v>
      </c>
      <c r="C3051" s="3">
        <v>40814.436805555553</v>
      </c>
      <c r="D3051" s="3" t="s">
        <v>28</v>
      </c>
      <c r="E3051">
        <v>0</v>
      </c>
      <c r="F3051">
        <v>0</v>
      </c>
      <c r="G3051">
        <v>0</v>
      </c>
      <c r="I3051" t="s">
        <v>3088</v>
      </c>
      <c r="N3051">
        <v>0</v>
      </c>
      <c r="O3051">
        <v>0</v>
      </c>
      <c r="P3051">
        <v>1</v>
      </c>
      <c r="Q3051">
        <v>0</v>
      </c>
    </row>
    <row r="3052" spans="1:17" x14ac:dyDescent="0.2">
      <c r="A3052" s="1" t="str">
        <f>HYPERLINK("http://www.twitter.com/Ugo_Roux/status/113996529274060801", "113996529274060801")</f>
        <v>113996529274060801</v>
      </c>
      <c r="B3052" t="s">
        <v>130</v>
      </c>
      <c r="C3052" s="3">
        <v>40800.641956018517</v>
      </c>
      <c r="D3052" s="5" t="s">
        <v>28</v>
      </c>
      <c r="E3052">
        <v>0</v>
      </c>
      <c r="F3052">
        <v>0</v>
      </c>
      <c r="G3052">
        <v>0</v>
      </c>
      <c r="I3052" t="s">
        <v>3089</v>
      </c>
      <c r="N3052">
        <v>0</v>
      </c>
      <c r="O3052">
        <v>0</v>
      </c>
      <c r="P3052">
        <v>1</v>
      </c>
      <c r="Q3052">
        <v>0</v>
      </c>
    </row>
    <row r="3053" spans="1:17" x14ac:dyDescent="0.2">
      <c r="A3053" s="1" t="str">
        <f>HYPERLINK("http://www.twitter.com/Ugo_Roux/status/111810458410946560", "111810458410946560")</f>
        <v>111810458410946560</v>
      </c>
      <c r="B3053" t="s">
        <v>130</v>
      </c>
      <c r="C3053" s="3">
        <v>40794.609548611108</v>
      </c>
      <c r="D3053" s="5" t="s">
        <v>28</v>
      </c>
      <c r="E3053">
        <v>0</v>
      </c>
      <c r="F3053">
        <v>0</v>
      </c>
      <c r="G3053">
        <v>0</v>
      </c>
      <c r="I3053" t="s">
        <v>3090</v>
      </c>
      <c r="N3053">
        <v>0</v>
      </c>
      <c r="O3053">
        <v>0</v>
      </c>
      <c r="P3053">
        <v>1</v>
      </c>
      <c r="Q3053">
        <v>0</v>
      </c>
    </row>
    <row r="3054" spans="1:17" x14ac:dyDescent="0.2">
      <c r="A3054" s="1" t="str">
        <f>HYPERLINK("http://www.twitter.com/Ugo_Roux/status/93413155904045056", "93413155904045056")</f>
        <v>93413155904045056</v>
      </c>
      <c r="B3054" t="s">
        <v>130</v>
      </c>
      <c r="C3054" s="3">
        <v>40743.842662037037</v>
      </c>
      <c r="D3054" s="5" t="s">
        <v>41</v>
      </c>
      <c r="E3054">
        <v>0</v>
      </c>
      <c r="F3054">
        <v>0</v>
      </c>
      <c r="G3054">
        <v>0</v>
      </c>
      <c r="I3054" t="s">
        <v>3091</v>
      </c>
      <c r="N3054">
        <v>0</v>
      </c>
      <c r="O3054">
        <v>0</v>
      </c>
      <c r="P3054">
        <v>1</v>
      </c>
      <c r="Q3054">
        <v>0</v>
      </c>
    </row>
    <row r="3055" spans="1:17" x14ac:dyDescent="0.2">
      <c r="A3055" s="1" t="str">
        <f>HYPERLINK("http://www.twitter.com/Ugo_Roux/status/93341806716141569", "93341806716141569")</f>
        <v>93341806716141569</v>
      </c>
      <c r="B3055" t="s">
        <v>130</v>
      </c>
      <c r="C3055" s="3">
        <v>40743.645775462966</v>
      </c>
      <c r="D3055" s="5" t="s">
        <v>41</v>
      </c>
      <c r="E3055">
        <v>0</v>
      </c>
      <c r="F3055">
        <v>0</v>
      </c>
      <c r="G3055">
        <v>0</v>
      </c>
      <c r="I3055" t="s">
        <v>3092</v>
      </c>
      <c r="N3055">
        <v>0</v>
      </c>
      <c r="O3055">
        <v>0</v>
      </c>
      <c r="P3055">
        <v>1</v>
      </c>
      <c r="Q3055">
        <v>0</v>
      </c>
    </row>
    <row r="3056" spans="1:17" x14ac:dyDescent="0.2">
      <c r="A3056" s="1" t="str">
        <f>HYPERLINK("http://www.twitter.com/Ugo_Roux/status/88932585635450880", "88932585635450880")</f>
        <v>88932585635450880</v>
      </c>
      <c r="B3056" t="s">
        <v>130</v>
      </c>
      <c r="C3056" s="3">
        <v>40731.478645833333</v>
      </c>
      <c r="D3056" s="5" t="s">
        <v>28</v>
      </c>
      <c r="E3056">
        <v>0</v>
      </c>
      <c r="F3056">
        <v>0</v>
      </c>
      <c r="G3056">
        <v>0</v>
      </c>
      <c r="I3056" t="s">
        <v>3093</v>
      </c>
      <c r="N3056">
        <v>0</v>
      </c>
      <c r="O3056">
        <v>0</v>
      </c>
      <c r="P3056">
        <v>1</v>
      </c>
      <c r="Q3056">
        <v>0</v>
      </c>
    </row>
    <row r="3057" spans="1:17" x14ac:dyDescent="0.2">
      <c r="A3057" s="1" t="str">
        <f>HYPERLINK("http://www.twitter.com/Ugo_Roux/status/8092644680929280", "8092644680929280")</f>
        <v>8092644680929280</v>
      </c>
      <c r="B3057" t="s">
        <v>97</v>
      </c>
      <c r="C3057" s="3">
        <v>40508.402905092589</v>
      </c>
      <c r="D3057" s="5" t="s">
        <v>28</v>
      </c>
      <c r="E3057">
        <v>0</v>
      </c>
      <c r="F3057">
        <v>0</v>
      </c>
      <c r="G3057">
        <v>0</v>
      </c>
      <c r="I3057" t="s">
        <v>3094</v>
      </c>
      <c r="N3057">
        <v>0</v>
      </c>
      <c r="O3057">
        <v>0</v>
      </c>
      <c r="P3057">
        <v>1</v>
      </c>
      <c r="Q3057">
        <v>0</v>
      </c>
    </row>
    <row r="3058" spans="1:17" x14ac:dyDescent="0.2">
      <c r="A3058" s="1" t="str">
        <f>HYPERLINK("http://www.twitter.com/Ugo_Roux/status/29085633052", "29085633052")</f>
        <v>29085633052</v>
      </c>
      <c r="B3058" t="s">
        <v>97</v>
      </c>
      <c r="C3058" s="3">
        <v>40480.546377314808</v>
      </c>
      <c r="D3058" s="5" t="s">
        <v>28</v>
      </c>
      <c r="E3058">
        <v>0</v>
      </c>
      <c r="F3058">
        <v>0</v>
      </c>
      <c r="G3058">
        <v>0</v>
      </c>
      <c r="I3058" t="s">
        <v>3095</v>
      </c>
      <c r="N3058">
        <v>-0.20030000000000001</v>
      </c>
      <c r="O3058">
        <v>0.121</v>
      </c>
      <c r="P3058">
        <v>0.879</v>
      </c>
      <c r="Q3058">
        <v>0</v>
      </c>
    </row>
  </sheetData>
  <sortState xmlns:xlrd2="http://schemas.microsoft.com/office/spreadsheetml/2017/richdata2" ref="A2:R426">
    <sortCondition descending="1" ref="C192:C42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Ugo ROUX</dc:creator>
  <cp:lastModifiedBy>Hasan Basbunar</cp:lastModifiedBy>
  <dcterms:created xsi:type="dcterms:W3CDTF">2023-09-18T22:19:15Z</dcterms:created>
  <dcterms:modified xsi:type="dcterms:W3CDTF">2023-11-16T16:00:47Z</dcterms:modified>
</cp:coreProperties>
</file>