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节奏总表" sheetId="85" r:id="rId3"/>
    <sheet name="章节关卡" sheetId="82" r:id="rId4"/>
    <sheet name="芦花古楼" sheetId="83" r:id="rId5"/>
    <sheet name="分段产出计算" sheetId="81" r:id="rId6"/>
    <sheet name="个人BOSS" sheetId="86" r:id="rId7"/>
    <sheet name="世界BOSS设计" sheetId="92" r:id="rId8"/>
    <sheet name="金币总产" sheetId="88" r:id="rId9"/>
    <sheet name="日常任务" sheetId="84" r:id="rId10"/>
    <sheet name="挂机升级突破" sheetId="89" r:id="rId11"/>
    <sheet name="卡牌消耗" sheetId="90" r:id="rId12"/>
    <sheet name="专属武器" sheetId="91" r:id="rId13"/>
  </sheets>
  <definedNames>
    <definedName name="_xlnm._FilterDatabase" localSheetId="7" hidden="1">世界BOSS设计!$A$2:$L$2</definedName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83" l="1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C25" i="92"/>
  <c r="C30" i="92"/>
  <c r="C34" i="92"/>
  <c r="C37" i="92"/>
  <c r="C18" i="92"/>
  <c r="C24" i="92"/>
  <c r="C29" i="92"/>
  <c r="C33" i="92"/>
  <c r="C36" i="92"/>
  <c r="C17" i="92"/>
  <c r="C23" i="92"/>
  <c r="C28" i="92"/>
  <c r="C32" i="92"/>
  <c r="C35" i="92"/>
  <c r="C16" i="92"/>
  <c r="C14" i="92"/>
  <c r="C21" i="92"/>
  <c r="C26" i="92"/>
  <c r="C31" i="92"/>
  <c r="C10" i="92"/>
  <c r="C13" i="92"/>
  <c r="C19" i="92"/>
  <c r="C22" i="92"/>
  <c r="C27" i="92"/>
  <c r="C9" i="92"/>
  <c r="C6" i="92"/>
  <c r="C8" i="92"/>
  <c r="C12" i="92"/>
  <c r="C20" i="92"/>
  <c r="C4" i="92"/>
  <c r="C5" i="92"/>
  <c r="C7" i="92"/>
  <c r="C11" i="92"/>
  <c r="C15" i="92"/>
  <c r="C3" i="92"/>
  <c r="P3" i="92" s="1"/>
  <c r="R3" i="92" s="1"/>
  <c r="D3" i="92"/>
  <c r="D5" i="92"/>
  <c r="D7" i="92"/>
  <c r="D11" i="92"/>
  <c r="D15" i="92"/>
  <c r="D4" i="92"/>
  <c r="D6" i="92"/>
  <c r="D8" i="92"/>
  <c r="D12" i="92"/>
  <c r="D20" i="92"/>
  <c r="D9" i="92"/>
  <c r="D13" i="92"/>
  <c r="D19" i="92"/>
  <c r="D22" i="92"/>
  <c r="D27" i="92"/>
  <c r="D10" i="92"/>
  <c r="D14" i="92"/>
  <c r="D21" i="92"/>
  <c r="D26" i="92"/>
  <c r="D31" i="92"/>
  <c r="D16" i="92"/>
  <c r="D23" i="92"/>
  <c r="D28" i="92"/>
  <c r="D32" i="92"/>
  <c r="D35" i="92"/>
  <c r="D17" i="92"/>
  <c r="D24" i="92"/>
  <c r="D29" i="92"/>
  <c r="D33" i="92"/>
  <c r="D36" i="92"/>
  <c r="D18" i="92"/>
  <c r="D25" i="92"/>
  <c r="D30" i="92"/>
  <c r="D34" i="92"/>
  <c r="D37" i="92"/>
  <c r="P9" i="92" l="1"/>
  <c r="R9" i="92" s="1"/>
  <c r="P13" i="92"/>
  <c r="R13" i="92" s="1"/>
  <c r="P20" i="92"/>
  <c r="R20" i="92" s="1"/>
  <c r="P10" i="92"/>
  <c r="R10" i="92" s="1"/>
  <c r="P7" i="92"/>
  <c r="R7" i="92" s="1"/>
  <c r="P28" i="92"/>
  <c r="R28" i="92" s="1"/>
  <c r="P12" i="92"/>
  <c r="R12" i="92" s="1"/>
  <c r="P8" i="92"/>
  <c r="R8" i="92" s="1"/>
  <c r="P25" i="92"/>
  <c r="R25" i="92" s="1"/>
  <c r="P17" i="92"/>
  <c r="R17" i="92" s="1"/>
  <c r="P22" i="92"/>
  <c r="R22" i="92" s="1"/>
  <c r="P33" i="92"/>
  <c r="R33" i="92" s="1"/>
  <c r="P15" i="92"/>
  <c r="R15" i="92" s="1"/>
  <c r="P18" i="92"/>
  <c r="R18" i="92" s="1"/>
  <c r="P24" i="92"/>
  <c r="R24" i="92" s="1"/>
  <c r="P32" i="92"/>
  <c r="R32" i="92" s="1"/>
  <c r="P37" i="92"/>
  <c r="R37" i="92" s="1"/>
  <c r="P27" i="92"/>
  <c r="R27" i="92" s="1"/>
  <c r="P29" i="92"/>
  <c r="R29" i="92" s="1"/>
  <c r="P16" i="92"/>
  <c r="R16" i="92" s="1"/>
  <c r="P26" i="92"/>
  <c r="R26" i="92" s="1"/>
  <c r="P36" i="92"/>
  <c r="R36" i="92" s="1"/>
  <c r="P5" i="92"/>
  <c r="R5" i="92" s="1"/>
  <c r="P11" i="92"/>
  <c r="R11" i="92" s="1"/>
  <c r="P19" i="92"/>
  <c r="R19" i="92" s="1"/>
  <c r="P30" i="92"/>
  <c r="R30" i="92" s="1"/>
  <c r="P35" i="92"/>
  <c r="R35" i="92" s="1"/>
  <c r="P6" i="92"/>
  <c r="R6" i="92" s="1"/>
  <c r="P31" i="92"/>
  <c r="R31" i="92" s="1"/>
  <c r="P4" i="92"/>
  <c r="R4" i="92" s="1"/>
  <c r="P14" i="92"/>
  <c r="R14" i="92" s="1"/>
  <c r="P21" i="92"/>
  <c r="R21" i="92" s="1"/>
  <c r="P23" i="92"/>
  <c r="R23" i="92" s="1"/>
  <c r="P34" i="92"/>
  <c r="R34" i="92" s="1"/>
  <c r="B6" i="91" l="1"/>
  <c r="B7" i="91"/>
  <c r="B8" i="91"/>
  <c r="B9" i="91"/>
  <c r="B10" i="91"/>
  <c r="B11" i="91"/>
  <c r="B12" i="91"/>
  <c r="B13" i="91"/>
  <c r="B14" i="91"/>
  <c r="B15" i="91"/>
  <c r="B16" i="91"/>
  <c r="B5" i="91"/>
  <c r="B17" i="85" l="1"/>
  <c r="B12" i="85"/>
  <c r="U38" i="90" l="1"/>
  <c r="U39" i="90"/>
  <c r="U40" i="90"/>
  <c r="U41" i="90"/>
  <c r="U42" i="90"/>
  <c r="U43" i="90"/>
  <c r="U44" i="90"/>
  <c r="U45" i="90"/>
  <c r="U46" i="90"/>
  <c r="U47" i="90"/>
  <c r="U48" i="90"/>
  <c r="U49" i="90"/>
  <c r="U50" i="90"/>
  <c r="U51" i="90"/>
  <c r="U52" i="90"/>
  <c r="U58" i="90"/>
  <c r="U59" i="90"/>
  <c r="U60" i="90"/>
  <c r="U61" i="90"/>
  <c r="U62" i="90"/>
  <c r="U63" i="90"/>
  <c r="U64" i="90"/>
  <c r="U65" i="90"/>
  <c r="U66" i="90"/>
  <c r="U67" i="90"/>
  <c r="U68" i="90"/>
  <c r="U69" i="90"/>
  <c r="U70" i="90"/>
  <c r="U71" i="90"/>
  <c r="U72" i="90"/>
  <c r="U73" i="90"/>
  <c r="U79" i="90"/>
  <c r="U80" i="90"/>
  <c r="U81" i="90"/>
  <c r="U82" i="90"/>
  <c r="U83" i="90"/>
  <c r="U84" i="90"/>
  <c r="U85" i="90"/>
  <c r="U86" i="90"/>
  <c r="U87" i="90"/>
  <c r="U88" i="90"/>
  <c r="U89" i="90"/>
  <c r="U90" i="90"/>
  <c r="U91" i="90"/>
  <c r="U92" i="90"/>
  <c r="U93" i="90"/>
  <c r="U94" i="90"/>
  <c r="U100" i="90"/>
  <c r="U101" i="90"/>
  <c r="U102" i="90"/>
  <c r="U103" i="90"/>
  <c r="U104" i="90"/>
  <c r="U105" i="90"/>
  <c r="U106" i="90"/>
  <c r="U107" i="90"/>
  <c r="U108" i="90"/>
  <c r="U109" i="90"/>
  <c r="U110" i="90"/>
  <c r="U111" i="90"/>
  <c r="U112" i="90"/>
  <c r="U113" i="90"/>
  <c r="U114" i="90"/>
  <c r="U115" i="90"/>
  <c r="U121" i="90"/>
  <c r="U122" i="90"/>
  <c r="U123" i="90"/>
  <c r="U124" i="90"/>
  <c r="U125" i="90"/>
  <c r="U126" i="90"/>
  <c r="U127" i="90"/>
  <c r="U128" i="90"/>
  <c r="U129" i="90"/>
  <c r="U130" i="90"/>
  <c r="U131" i="90"/>
  <c r="U132" i="90"/>
  <c r="U133" i="90"/>
  <c r="U134" i="90"/>
  <c r="U135" i="90"/>
  <c r="U136" i="90"/>
  <c r="U142" i="90"/>
  <c r="U143" i="90"/>
  <c r="U144" i="90"/>
  <c r="U145" i="90"/>
  <c r="U146" i="90"/>
  <c r="U147" i="90"/>
  <c r="U148" i="90"/>
  <c r="U149" i="90"/>
  <c r="U150" i="90"/>
  <c r="U151" i="90"/>
  <c r="U152" i="90"/>
  <c r="U153" i="90"/>
  <c r="U154" i="90"/>
  <c r="U155" i="90"/>
  <c r="U156" i="90"/>
  <c r="U157" i="90"/>
  <c r="U163" i="90"/>
  <c r="U164" i="90"/>
  <c r="U165" i="90"/>
  <c r="U166" i="90"/>
  <c r="U167" i="90"/>
  <c r="U168" i="90"/>
  <c r="U169" i="90"/>
  <c r="U170" i="90"/>
  <c r="U171" i="90"/>
  <c r="U172" i="90"/>
  <c r="U173" i="90"/>
  <c r="U174" i="90"/>
  <c r="U175" i="90"/>
  <c r="U176" i="90"/>
  <c r="U177" i="90"/>
  <c r="U178" i="90"/>
  <c r="U184" i="90"/>
  <c r="U185" i="90"/>
  <c r="U186" i="90"/>
  <c r="U187" i="90"/>
  <c r="U188" i="90"/>
  <c r="U189" i="90"/>
  <c r="U190" i="90"/>
  <c r="U191" i="90"/>
  <c r="U192" i="90"/>
  <c r="U193" i="90"/>
  <c r="U194" i="90"/>
  <c r="U195" i="90"/>
  <c r="U196" i="90"/>
  <c r="U197" i="90"/>
  <c r="U198" i="90"/>
  <c r="U199" i="90"/>
  <c r="U205" i="90"/>
  <c r="U206" i="90"/>
  <c r="U207" i="90"/>
  <c r="U208" i="90"/>
  <c r="U209" i="90"/>
  <c r="U210" i="90"/>
  <c r="U211" i="90"/>
  <c r="U212" i="90"/>
  <c r="U213" i="90"/>
  <c r="U214" i="90"/>
  <c r="U215" i="90"/>
  <c r="U216" i="90"/>
  <c r="U217" i="90"/>
  <c r="U218" i="90"/>
  <c r="U219" i="90"/>
  <c r="U220" i="90"/>
  <c r="U226" i="90"/>
  <c r="U227" i="90"/>
  <c r="U228" i="90"/>
  <c r="U229" i="90"/>
  <c r="U230" i="90"/>
  <c r="U231" i="90"/>
  <c r="U232" i="90"/>
  <c r="U233" i="90"/>
  <c r="U234" i="90"/>
  <c r="U235" i="90"/>
  <c r="U236" i="90"/>
  <c r="U237" i="90"/>
  <c r="U238" i="90"/>
  <c r="U239" i="90"/>
  <c r="U240" i="90"/>
  <c r="U241" i="90"/>
  <c r="U247" i="90"/>
  <c r="U248" i="90"/>
  <c r="U249" i="90"/>
  <c r="U250" i="90"/>
  <c r="U251" i="90"/>
  <c r="U252" i="90"/>
  <c r="U253" i="90"/>
  <c r="U254" i="90"/>
  <c r="U255" i="90"/>
  <c r="U256" i="90"/>
  <c r="U257" i="90"/>
  <c r="U258" i="90"/>
  <c r="U259" i="90"/>
  <c r="U260" i="90"/>
  <c r="U261" i="90"/>
  <c r="U262" i="90"/>
  <c r="U268" i="90"/>
  <c r="U269" i="90"/>
  <c r="U270" i="90"/>
  <c r="U271" i="90"/>
  <c r="U272" i="90"/>
  <c r="U273" i="90"/>
  <c r="U274" i="90"/>
  <c r="U275" i="90"/>
  <c r="U276" i="90"/>
  <c r="U277" i="90"/>
  <c r="U278" i="90"/>
  <c r="U279" i="90"/>
  <c r="U280" i="90"/>
  <c r="U281" i="90"/>
  <c r="U282" i="90"/>
  <c r="U283" i="90"/>
  <c r="U289" i="90"/>
  <c r="U290" i="90"/>
  <c r="U291" i="90"/>
  <c r="U292" i="90"/>
  <c r="U293" i="90"/>
  <c r="U294" i="90"/>
  <c r="U295" i="90"/>
  <c r="U296" i="90"/>
  <c r="U297" i="90"/>
  <c r="U298" i="90"/>
  <c r="U299" i="90"/>
  <c r="U300" i="90"/>
  <c r="U301" i="90"/>
  <c r="U302" i="90"/>
  <c r="U303" i="90"/>
  <c r="U304" i="90"/>
  <c r="U310" i="90"/>
  <c r="U311" i="90"/>
  <c r="U312" i="90"/>
  <c r="U313" i="90"/>
  <c r="U314" i="90"/>
  <c r="U315" i="90"/>
  <c r="U316" i="90"/>
  <c r="U317" i="90"/>
  <c r="U318" i="90"/>
  <c r="U319" i="90"/>
  <c r="U320" i="90"/>
  <c r="U321" i="90"/>
  <c r="U322" i="90"/>
  <c r="U323" i="90"/>
  <c r="U324" i="90"/>
  <c r="U325" i="90"/>
  <c r="U331" i="90"/>
  <c r="U332" i="90"/>
  <c r="U333" i="90"/>
  <c r="U334" i="90"/>
  <c r="U335" i="90"/>
  <c r="U336" i="90"/>
  <c r="U337" i="90"/>
  <c r="U338" i="90"/>
  <c r="U339" i="90"/>
  <c r="U340" i="90"/>
  <c r="U341" i="90"/>
  <c r="U342" i="90"/>
  <c r="U343" i="90"/>
  <c r="U344" i="90"/>
  <c r="U345" i="90"/>
  <c r="U346" i="90"/>
  <c r="U352" i="90"/>
  <c r="U353" i="90"/>
  <c r="U354" i="90"/>
  <c r="U355" i="90"/>
  <c r="U356" i="90"/>
  <c r="U357" i="90"/>
  <c r="U358" i="90"/>
  <c r="U359" i="90"/>
  <c r="U360" i="90"/>
  <c r="U361" i="90"/>
  <c r="U362" i="90"/>
  <c r="U363" i="90"/>
  <c r="U364" i="90"/>
  <c r="U365" i="90"/>
  <c r="U366" i="90"/>
  <c r="U367" i="90"/>
  <c r="U373" i="90"/>
  <c r="U374" i="90"/>
  <c r="U375" i="90"/>
  <c r="U376" i="90"/>
  <c r="U377" i="90"/>
  <c r="U378" i="90"/>
  <c r="U379" i="90"/>
  <c r="U380" i="90"/>
  <c r="U381" i="90"/>
  <c r="U382" i="90"/>
  <c r="U383" i="90"/>
  <c r="U384" i="90"/>
  <c r="U385" i="90"/>
  <c r="U386" i="90"/>
  <c r="U387" i="90"/>
  <c r="U388" i="90"/>
  <c r="U394" i="90"/>
  <c r="U395" i="90"/>
  <c r="U396" i="90"/>
  <c r="U397" i="90"/>
  <c r="U398" i="90"/>
  <c r="U399" i="90"/>
  <c r="U400" i="90"/>
  <c r="U401" i="90"/>
  <c r="U402" i="90"/>
  <c r="U403" i="90"/>
  <c r="U404" i="90"/>
  <c r="U405" i="90"/>
  <c r="U406" i="90"/>
  <c r="U407" i="90"/>
  <c r="U408" i="90"/>
  <c r="U409" i="90"/>
  <c r="U415" i="90"/>
  <c r="U416" i="90"/>
  <c r="U417" i="90"/>
  <c r="U418" i="90"/>
  <c r="U419" i="90"/>
  <c r="U420" i="90"/>
  <c r="U421" i="90"/>
  <c r="U422" i="90"/>
  <c r="U423" i="90"/>
  <c r="U424" i="90"/>
  <c r="U425" i="90"/>
  <c r="U426" i="90"/>
  <c r="U427" i="90"/>
  <c r="U428" i="90"/>
  <c r="U429" i="90"/>
  <c r="U430" i="90"/>
  <c r="U436" i="90"/>
  <c r="U437" i="90"/>
  <c r="U438" i="90"/>
  <c r="U439" i="90"/>
  <c r="U440" i="90"/>
  <c r="U441" i="90"/>
  <c r="U442" i="90"/>
  <c r="U443" i="90"/>
  <c r="U444" i="90"/>
  <c r="U445" i="90"/>
  <c r="U446" i="90"/>
  <c r="U447" i="90"/>
  <c r="U448" i="90"/>
  <c r="U449" i="90"/>
  <c r="U450" i="90"/>
  <c r="U451" i="90"/>
  <c r="U457" i="90"/>
  <c r="U458" i="90"/>
  <c r="U459" i="90"/>
  <c r="U460" i="90"/>
  <c r="U461" i="90"/>
  <c r="U462" i="90"/>
  <c r="U463" i="90"/>
  <c r="U464" i="90"/>
  <c r="U465" i="90"/>
  <c r="U466" i="90"/>
  <c r="U467" i="90"/>
  <c r="U468" i="90"/>
  <c r="U469" i="90"/>
  <c r="U470" i="90"/>
  <c r="U471" i="90"/>
  <c r="U472" i="90"/>
  <c r="U37" i="90"/>
  <c r="T38" i="90"/>
  <c r="T39" i="90"/>
  <c r="T40" i="90"/>
  <c r="T41" i="90"/>
  <c r="T42" i="90"/>
  <c r="T43" i="90"/>
  <c r="T44" i="90"/>
  <c r="T45" i="90"/>
  <c r="T46" i="90"/>
  <c r="T47" i="90"/>
  <c r="T48" i="90"/>
  <c r="T49" i="90"/>
  <c r="T50" i="90"/>
  <c r="T51" i="90"/>
  <c r="T52" i="90"/>
  <c r="T53" i="90"/>
  <c r="T54" i="90"/>
  <c r="T55" i="90"/>
  <c r="T56" i="90"/>
  <c r="T57" i="90"/>
  <c r="T58" i="90"/>
  <c r="T59" i="90"/>
  <c r="T60" i="90"/>
  <c r="T61" i="90"/>
  <c r="T62" i="90"/>
  <c r="T63" i="90"/>
  <c r="T64" i="90"/>
  <c r="T65" i="90"/>
  <c r="T66" i="90"/>
  <c r="T67" i="90"/>
  <c r="T68" i="90"/>
  <c r="T69" i="90"/>
  <c r="T70" i="90"/>
  <c r="T71" i="90"/>
  <c r="T72" i="90"/>
  <c r="T73" i="90"/>
  <c r="T74" i="90"/>
  <c r="T75" i="90"/>
  <c r="T76" i="90"/>
  <c r="T77" i="90"/>
  <c r="T78" i="90"/>
  <c r="T79" i="90"/>
  <c r="T80" i="90"/>
  <c r="T81" i="90"/>
  <c r="T82" i="90"/>
  <c r="T83" i="90"/>
  <c r="T84" i="90"/>
  <c r="T85" i="90"/>
  <c r="T86" i="90"/>
  <c r="T87" i="90"/>
  <c r="T88" i="90"/>
  <c r="T89" i="90"/>
  <c r="T90" i="90"/>
  <c r="T91" i="90"/>
  <c r="T92" i="90"/>
  <c r="T93" i="90"/>
  <c r="T94" i="90"/>
  <c r="T95" i="90"/>
  <c r="T96" i="90"/>
  <c r="T97" i="90"/>
  <c r="T98" i="90"/>
  <c r="T99" i="90"/>
  <c r="T100" i="90"/>
  <c r="T101" i="90"/>
  <c r="T102" i="90"/>
  <c r="T103" i="90"/>
  <c r="T104" i="90"/>
  <c r="T105" i="90"/>
  <c r="T106" i="90"/>
  <c r="T107" i="90"/>
  <c r="T108" i="90"/>
  <c r="T109" i="90"/>
  <c r="T110" i="90"/>
  <c r="T111" i="90"/>
  <c r="T112" i="90"/>
  <c r="T113" i="90"/>
  <c r="T114" i="90"/>
  <c r="T115" i="90"/>
  <c r="T116" i="90"/>
  <c r="T117" i="90"/>
  <c r="T118" i="90"/>
  <c r="T119" i="90"/>
  <c r="T120" i="90"/>
  <c r="T121" i="90"/>
  <c r="T122" i="90"/>
  <c r="T123" i="90"/>
  <c r="T124" i="90"/>
  <c r="T125" i="90"/>
  <c r="T126" i="90"/>
  <c r="T127" i="90"/>
  <c r="T128" i="90"/>
  <c r="T129" i="90"/>
  <c r="T130" i="90"/>
  <c r="T131" i="90"/>
  <c r="T132" i="90"/>
  <c r="T133" i="90"/>
  <c r="T134" i="90"/>
  <c r="T135" i="90"/>
  <c r="T136" i="90"/>
  <c r="T137" i="90"/>
  <c r="T138" i="90"/>
  <c r="T139" i="90"/>
  <c r="T140" i="90"/>
  <c r="T141" i="90"/>
  <c r="T142" i="90"/>
  <c r="T143" i="90"/>
  <c r="T144" i="90"/>
  <c r="T145" i="90"/>
  <c r="T146" i="90"/>
  <c r="T147" i="90"/>
  <c r="T148" i="90"/>
  <c r="T149" i="90"/>
  <c r="T150" i="90"/>
  <c r="T151" i="90"/>
  <c r="T152" i="90"/>
  <c r="T153" i="90"/>
  <c r="T154" i="90"/>
  <c r="T155" i="90"/>
  <c r="T156" i="90"/>
  <c r="T157" i="90"/>
  <c r="T158" i="90"/>
  <c r="T159" i="90"/>
  <c r="T160" i="90"/>
  <c r="T161" i="90"/>
  <c r="T162" i="90"/>
  <c r="T163" i="90"/>
  <c r="T164" i="90"/>
  <c r="T165" i="90"/>
  <c r="T166" i="90"/>
  <c r="T167" i="90"/>
  <c r="T168" i="90"/>
  <c r="T169" i="90"/>
  <c r="T170" i="90"/>
  <c r="T171" i="90"/>
  <c r="T172" i="90"/>
  <c r="T173" i="90"/>
  <c r="T174" i="90"/>
  <c r="T175" i="90"/>
  <c r="T176" i="90"/>
  <c r="T177" i="90"/>
  <c r="T178" i="90"/>
  <c r="T179" i="90"/>
  <c r="T180" i="90"/>
  <c r="T181" i="90"/>
  <c r="T182" i="90"/>
  <c r="T183" i="90"/>
  <c r="T184" i="90"/>
  <c r="T185" i="90"/>
  <c r="T186" i="90"/>
  <c r="T187" i="90"/>
  <c r="T188" i="90"/>
  <c r="T189" i="90"/>
  <c r="T190" i="90"/>
  <c r="T191" i="90"/>
  <c r="T192" i="90"/>
  <c r="T193" i="90"/>
  <c r="T194" i="90"/>
  <c r="T195" i="90"/>
  <c r="T196" i="90"/>
  <c r="T197" i="90"/>
  <c r="T198" i="90"/>
  <c r="T199" i="90"/>
  <c r="T200" i="90"/>
  <c r="T201" i="90"/>
  <c r="T202" i="90"/>
  <c r="T203" i="90"/>
  <c r="T204" i="90"/>
  <c r="T205" i="90"/>
  <c r="T206" i="90"/>
  <c r="T207" i="90"/>
  <c r="T208" i="90"/>
  <c r="T209" i="90"/>
  <c r="T210" i="90"/>
  <c r="T211" i="90"/>
  <c r="T212" i="90"/>
  <c r="T213" i="90"/>
  <c r="T214" i="90"/>
  <c r="T215" i="90"/>
  <c r="T216" i="90"/>
  <c r="T217" i="90"/>
  <c r="T218" i="90"/>
  <c r="T219" i="90"/>
  <c r="T220" i="90"/>
  <c r="T221" i="90"/>
  <c r="T222" i="90"/>
  <c r="T223" i="90"/>
  <c r="T224" i="90"/>
  <c r="T225" i="90"/>
  <c r="T226" i="90"/>
  <c r="T227" i="90"/>
  <c r="T228" i="90"/>
  <c r="T229" i="90"/>
  <c r="T230" i="90"/>
  <c r="T231" i="90"/>
  <c r="T232" i="90"/>
  <c r="T233" i="90"/>
  <c r="T234" i="90"/>
  <c r="T235" i="90"/>
  <c r="T236" i="90"/>
  <c r="T237" i="90"/>
  <c r="T238" i="90"/>
  <c r="T239" i="90"/>
  <c r="T240" i="90"/>
  <c r="T241" i="90"/>
  <c r="T242" i="90"/>
  <c r="T243" i="90"/>
  <c r="T244" i="90"/>
  <c r="T245" i="90"/>
  <c r="T246" i="90"/>
  <c r="T247" i="90"/>
  <c r="T248" i="90"/>
  <c r="T249" i="90"/>
  <c r="T250" i="90"/>
  <c r="T251" i="90"/>
  <c r="T252" i="90"/>
  <c r="T253" i="90"/>
  <c r="T254" i="90"/>
  <c r="T255" i="90"/>
  <c r="T256" i="90"/>
  <c r="T257" i="90"/>
  <c r="T258" i="90"/>
  <c r="T259" i="90"/>
  <c r="T260" i="90"/>
  <c r="T261" i="90"/>
  <c r="T262" i="90"/>
  <c r="T263" i="90"/>
  <c r="T264" i="90"/>
  <c r="T265" i="90"/>
  <c r="T266" i="90"/>
  <c r="T267" i="90"/>
  <c r="T268" i="90"/>
  <c r="T269" i="90"/>
  <c r="T270" i="90"/>
  <c r="T271" i="90"/>
  <c r="T272" i="90"/>
  <c r="T273" i="90"/>
  <c r="T274" i="90"/>
  <c r="T275" i="90"/>
  <c r="T276" i="90"/>
  <c r="T277" i="90"/>
  <c r="T278" i="90"/>
  <c r="T279" i="90"/>
  <c r="T280" i="90"/>
  <c r="T281" i="90"/>
  <c r="T282" i="90"/>
  <c r="T283" i="90"/>
  <c r="T284" i="90"/>
  <c r="T285" i="90"/>
  <c r="T286" i="90"/>
  <c r="T287" i="90"/>
  <c r="T288" i="90"/>
  <c r="T289" i="90"/>
  <c r="T290" i="90"/>
  <c r="T291" i="90"/>
  <c r="T292" i="90"/>
  <c r="T293" i="90"/>
  <c r="T294" i="90"/>
  <c r="T295" i="90"/>
  <c r="T296" i="90"/>
  <c r="T297" i="90"/>
  <c r="T298" i="90"/>
  <c r="T299" i="90"/>
  <c r="T300" i="90"/>
  <c r="T301" i="90"/>
  <c r="T302" i="90"/>
  <c r="T303" i="90"/>
  <c r="T304" i="90"/>
  <c r="T305" i="90"/>
  <c r="T306" i="90"/>
  <c r="T307" i="90"/>
  <c r="T308" i="90"/>
  <c r="T309" i="90"/>
  <c r="T310" i="90"/>
  <c r="T311" i="90"/>
  <c r="T312" i="90"/>
  <c r="T313" i="90"/>
  <c r="T314" i="90"/>
  <c r="T315" i="90"/>
  <c r="T316" i="90"/>
  <c r="T317" i="90"/>
  <c r="T318" i="90"/>
  <c r="T319" i="90"/>
  <c r="T320" i="90"/>
  <c r="T321" i="90"/>
  <c r="T322" i="90"/>
  <c r="T323" i="90"/>
  <c r="T324" i="90"/>
  <c r="T325" i="90"/>
  <c r="T326" i="90"/>
  <c r="T327" i="90"/>
  <c r="T328" i="90"/>
  <c r="T329" i="90"/>
  <c r="T330" i="90"/>
  <c r="T331" i="90"/>
  <c r="T332" i="90"/>
  <c r="T333" i="90"/>
  <c r="T334" i="90"/>
  <c r="T335" i="90"/>
  <c r="T336" i="90"/>
  <c r="T337" i="90"/>
  <c r="T338" i="90"/>
  <c r="T339" i="90"/>
  <c r="T340" i="90"/>
  <c r="T341" i="90"/>
  <c r="T342" i="90"/>
  <c r="T343" i="90"/>
  <c r="T344" i="90"/>
  <c r="T345" i="90"/>
  <c r="T346" i="90"/>
  <c r="T347" i="90"/>
  <c r="T348" i="90"/>
  <c r="T349" i="90"/>
  <c r="T350" i="90"/>
  <c r="T351" i="90"/>
  <c r="T352" i="90"/>
  <c r="T353" i="90"/>
  <c r="T354" i="90"/>
  <c r="T355" i="90"/>
  <c r="T356" i="90"/>
  <c r="T357" i="90"/>
  <c r="T358" i="90"/>
  <c r="T359" i="90"/>
  <c r="T360" i="90"/>
  <c r="T361" i="90"/>
  <c r="T362" i="90"/>
  <c r="T363" i="90"/>
  <c r="T364" i="90"/>
  <c r="T365" i="90"/>
  <c r="T366" i="90"/>
  <c r="T367" i="90"/>
  <c r="T368" i="90"/>
  <c r="T369" i="90"/>
  <c r="T370" i="90"/>
  <c r="T371" i="90"/>
  <c r="T372" i="90"/>
  <c r="T373" i="90"/>
  <c r="T374" i="90"/>
  <c r="T375" i="90"/>
  <c r="T376" i="90"/>
  <c r="T377" i="90"/>
  <c r="T378" i="90"/>
  <c r="T379" i="90"/>
  <c r="T380" i="90"/>
  <c r="T381" i="90"/>
  <c r="T382" i="90"/>
  <c r="T383" i="90"/>
  <c r="T384" i="90"/>
  <c r="T385" i="90"/>
  <c r="T386" i="90"/>
  <c r="T387" i="90"/>
  <c r="T388" i="90"/>
  <c r="T389" i="90"/>
  <c r="T390" i="90"/>
  <c r="T391" i="90"/>
  <c r="T392" i="90"/>
  <c r="T393" i="90"/>
  <c r="T394" i="90"/>
  <c r="T395" i="90"/>
  <c r="T396" i="90"/>
  <c r="T397" i="90"/>
  <c r="T398" i="90"/>
  <c r="T399" i="90"/>
  <c r="T400" i="90"/>
  <c r="T401" i="90"/>
  <c r="T402" i="90"/>
  <c r="T403" i="90"/>
  <c r="T404" i="90"/>
  <c r="T405" i="90"/>
  <c r="T406" i="90"/>
  <c r="T407" i="90"/>
  <c r="T408" i="90"/>
  <c r="T409" i="90"/>
  <c r="T410" i="90"/>
  <c r="T411" i="90"/>
  <c r="T412" i="90"/>
  <c r="T413" i="90"/>
  <c r="T414" i="90"/>
  <c r="T415" i="90"/>
  <c r="T416" i="90"/>
  <c r="T417" i="90"/>
  <c r="T418" i="90"/>
  <c r="T419" i="90"/>
  <c r="T420" i="90"/>
  <c r="T421" i="90"/>
  <c r="T422" i="90"/>
  <c r="T423" i="90"/>
  <c r="T424" i="90"/>
  <c r="T425" i="90"/>
  <c r="T426" i="90"/>
  <c r="T427" i="90"/>
  <c r="T428" i="90"/>
  <c r="T429" i="90"/>
  <c r="T430" i="90"/>
  <c r="T431" i="90"/>
  <c r="T432" i="90"/>
  <c r="T433" i="90"/>
  <c r="T434" i="90"/>
  <c r="T435" i="90"/>
  <c r="T436" i="90"/>
  <c r="T437" i="90"/>
  <c r="T438" i="90"/>
  <c r="T439" i="90"/>
  <c r="T440" i="90"/>
  <c r="T441" i="90"/>
  <c r="T442" i="90"/>
  <c r="T443" i="90"/>
  <c r="T444" i="90"/>
  <c r="T445" i="90"/>
  <c r="T446" i="90"/>
  <c r="T447" i="90"/>
  <c r="T448" i="90"/>
  <c r="T449" i="90"/>
  <c r="T450" i="90"/>
  <c r="T451" i="90"/>
  <c r="T452" i="90"/>
  <c r="T453" i="90"/>
  <c r="T454" i="90"/>
  <c r="T455" i="90"/>
  <c r="T456" i="90"/>
  <c r="T457" i="90"/>
  <c r="T458" i="90"/>
  <c r="T459" i="90"/>
  <c r="T460" i="90"/>
  <c r="T461" i="90"/>
  <c r="T462" i="90"/>
  <c r="T463" i="90"/>
  <c r="T464" i="90"/>
  <c r="T465" i="90"/>
  <c r="T466" i="90"/>
  <c r="T467" i="90"/>
  <c r="T468" i="90"/>
  <c r="T469" i="90"/>
  <c r="T470" i="90"/>
  <c r="T471" i="90"/>
  <c r="T472" i="90"/>
  <c r="T473" i="90"/>
  <c r="T474" i="90"/>
  <c r="T475" i="90"/>
  <c r="T476" i="90"/>
  <c r="T477" i="90"/>
  <c r="T37" i="90"/>
  <c r="S38" i="90"/>
  <c r="S39" i="90"/>
  <c r="S58" i="90"/>
  <c r="S59" i="90"/>
  <c r="S60" i="90"/>
  <c r="S79" i="90"/>
  <c r="S80" i="90"/>
  <c r="S81" i="90"/>
  <c r="S100" i="90"/>
  <c r="S101" i="90"/>
  <c r="S102" i="90"/>
  <c r="S121" i="90"/>
  <c r="S122" i="90"/>
  <c r="S123" i="90"/>
  <c r="S142" i="90"/>
  <c r="S143" i="90"/>
  <c r="S144" i="90"/>
  <c r="S163" i="90"/>
  <c r="S164" i="90"/>
  <c r="S165" i="90"/>
  <c r="S184" i="90"/>
  <c r="S185" i="90"/>
  <c r="S186" i="90"/>
  <c r="S205" i="90"/>
  <c r="S206" i="90"/>
  <c r="S207" i="90"/>
  <c r="S226" i="90"/>
  <c r="S227" i="90"/>
  <c r="S228" i="90"/>
  <c r="S247" i="90"/>
  <c r="S248" i="90"/>
  <c r="S249" i="90"/>
  <c r="S268" i="90"/>
  <c r="S269" i="90"/>
  <c r="S270" i="90"/>
  <c r="S289" i="90"/>
  <c r="S290" i="90"/>
  <c r="S291" i="90"/>
  <c r="S310" i="90"/>
  <c r="S311" i="90"/>
  <c r="S312" i="90"/>
  <c r="S331" i="90"/>
  <c r="S332" i="90"/>
  <c r="S333" i="90"/>
  <c r="S352" i="90"/>
  <c r="S353" i="90"/>
  <c r="S354" i="90"/>
  <c r="S373" i="90"/>
  <c r="S374" i="90"/>
  <c r="S375" i="90"/>
  <c r="S394" i="90"/>
  <c r="S395" i="90"/>
  <c r="S396" i="90"/>
  <c r="S415" i="90"/>
  <c r="S416" i="90"/>
  <c r="S417" i="90"/>
  <c r="S436" i="90"/>
  <c r="S437" i="90"/>
  <c r="S438" i="90"/>
  <c r="S457" i="90"/>
  <c r="S458" i="90"/>
  <c r="S459" i="90"/>
  <c r="S37" i="90"/>
  <c r="R38" i="90"/>
  <c r="R39" i="90"/>
  <c r="R40" i="90"/>
  <c r="R41" i="90"/>
  <c r="R42" i="90"/>
  <c r="R43" i="90"/>
  <c r="R44" i="90"/>
  <c r="R45" i="90"/>
  <c r="R46" i="90"/>
  <c r="R47" i="90"/>
  <c r="R48" i="90"/>
  <c r="R49" i="90"/>
  <c r="R50" i="90"/>
  <c r="R51" i="90"/>
  <c r="R52" i="90"/>
  <c r="R53" i="90"/>
  <c r="R54" i="90"/>
  <c r="R55" i="90"/>
  <c r="R56" i="90"/>
  <c r="R57" i="90"/>
  <c r="R58" i="90"/>
  <c r="R59" i="90"/>
  <c r="R60" i="90"/>
  <c r="R61" i="90"/>
  <c r="R62" i="90"/>
  <c r="R63" i="90"/>
  <c r="R64" i="90"/>
  <c r="R65" i="90"/>
  <c r="R66" i="90"/>
  <c r="R67" i="90"/>
  <c r="R68" i="90"/>
  <c r="R69" i="90"/>
  <c r="R70" i="90"/>
  <c r="R71" i="90"/>
  <c r="R72" i="90"/>
  <c r="R73" i="90"/>
  <c r="R74" i="90"/>
  <c r="R75" i="90"/>
  <c r="R76" i="90"/>
  <c r="R77" i="90"/>
  <c r="R78" i="90"/>
  <c r="R79" i="90"/>
  <c r="R80" i="90"/>
  <c r="R81" i="90"/>
  <c r="R82" i="90"/>
  <c r="R83" i="90"/>
  <c r="R84" i="90"/>
  <c r="R85" i="90"/>
  <c r="R86" i="90"/>
  <c r="R87" i="90"/>
  <c r="R88" i="90"/>
  <c r="R89" i="90"/>
  <c r="R90" i="90"/>
  <c r="R91" i="90"/>
  <c r="R92" i="90"/>
  <c r="R93" i="90"/>
  <c r="R94" i="90"/>
  <c r="R95" i="90"/>
  <c r="R96" i="90"/>
  <c r="R97" i="90"/>
  <c r="R98" i="90"/>
  <c r="R99" i="90"/>
  <c r="R100" i="90"/>
  <c r="R101" i="90"/>
  <c r="R102" i="90"/>
  <c r="R103" i="90"/>
  <c r="R104" i="90"/>
  <c r="R105" i="90"/>
  <c r="R106" i="90"/>
  <c r="R107" i="90"/>
  <c r="R108" i="90"/>
  <c r="R109" i="90"/>
  <c r="R110" i="90"/>
  <c r="R111" i="90"/>
  <c r="R112" i="90"/>
  <c r="R113" i="90"/>
  <c r="R114" i="90"/>
  <c r="R115" i="90"/>
  <c r="R116" i="90"/>
  <c r="R117" i="90"/>
  <c r="R118" i="90"/>
  <c r="R119" i="90"/>
  <c r="R120" i="90"/>
  <c r="R121" i="90"/>
  <c r="R122" i="90"/>
  <c r="R123" i="90"/>
  <c r="R124" i="90"/>
  <c r="R125" i="90"/>
  <c r="R126" i="90"/>
  <c r="R127" i="90"/>
  <c r="R128" i="90"/>
  <c r="R129" i="90"/>
  <c r="R130" i="90"/>
  <c r="R131" i="90"/>
  <c r="R132" i="90"/>
  <c r="R133" i="90"/>
  <c r="R134" i="90"/>
  <c r="R135" i="90"/>
  <c r="R136" i="90"/>
  <c r="R137" i="90"/>
  <c r="R138" i="90"/>
  <c r="R139" i="90"/>
  <c r="R140" i="90"/>
  <c r="R141" i="90"/>
  <c r="R142" i="90"/>
  <c r="R143" i="90"/>
  <c r="R144" i="90"/>
  <c r="R145" i="90"/>
  <c r="R146" i="90"/>
  <c r="R147" i="90"/>
  <c r="R148" i="90"/>
  <c r="R149" i="90"/>
  <c r="R150" i="90"/>
  <c r="R151" i="90"/>
  <c r="R152" i="90"/>
  <c r="R153" i="90"/>
  <c r="R154" i="90"/>
  <c r="R155" i="90"/>
  <c r="R156" i="90"/>
  <c r="R157" i="90"/>
  <c r="R158" i="90"/>
  <c r="R159" i="90"/>
  <c r="R160" i="90"/>
  <c r="R161" i="90"/>
  <c r="R162" i="90"/>
  <c r="R163" i="90"/>
  <c r="R164" i="90"/>
  <c r="R165" i="90"/>
  <c r="R166" i="90"/>
  <c r="R167" i="90"/>
  <c r="R168" i="90"/>
  <c r="R169" i="90"/>
  <c r="R170" i="90"/>
  <c r="R171" i="90"/>
  <c r="R172" i="90"/>
  <c r="R173" i="90"/>
  <c r="R174" i="90"/>
  <c r="R175" i="90"/>
  <c r="R176" i="90"/>
  <c r="R177" i="90"/>
  <c r="R178" i="90"/>
  <c r="R179" i="90"/>
  <c r="R180" i="90"/>
  <c r="R181" i="90"/>
  <c r="R182" i="90"/>
  <c r="R183" i="90"/>
  <c r="R184" i="90"/>
  <c r="R185" i="90"/>
  <c r="R186" i="90"/>
  <c r="R187" i="90"/>
  <c r="R188" i="90"/>
  <c r="R189" i="90"/>
  <c r="R190" i="90"/>
  <c r="R191" i="90"/>
  <c r="R192" i="90"/>
  <c r="R193" i="90"/>
  <c r="R194" i="90"/>
  <c r="R195" i="90"/>
  <c r="R196" i="90"/>
  <c r="R197" i="90"/>
  <c r="R198" i="90"/>
  <c r="R199" i="90"/>
  <c r="R200" i="90"/>
  <c r="R201" i="90"/>
  <c r="R202" i="90"/>
  <c r="R203" i="90"/>
  <c r="R204" i="90"/>
  <c r="R205" i="90"/>
  <c r="R206" i="90"/>
  <c r="R207" i="90"/>
  <c r="R208" i="90"/>
  <c r="R209" i="90"/>
  <c r="R210" i="90"/>
  <c r="R211" i="90"/>
  <c r="R212" i="90"/>
  <c r="R213" i="90"/>
  <c r="R214" i="90"/>
  <c r="R215" i="90"/>
  <c r="R216" i="90"/>
  <c r="R217" i="90"/>
  <c r="R218" i="90"/>
  <c r="R219" i="90"/>
  <c r="R220" i="90"/>
  <c r="R221" i="90"/>
  <c r="R222" i="90"/>
  <c r="R223" i="90"/>
  <c r="R224" i="90"/>
  <c r="R225" i="90"/>
  <c r="R226" i="90"/>
  <c r="R227" i="90"/>
  <c r="R228" i="90"/>
  <c r="R229" i="90"/>
  <c r="R230" i="90"/>
  <c r="R231" i="90"/>
  <c r="R232" i="90"/>
  <c r="R233" i="90"/>
  <c r="R234" i="90"/>
  <c r="R235" i="90"/>
  <c r="R236" i="90"/>
  <c r="R237" i="90"/>
  <c r="R238" i="90"/>
  <c r="R239" i="90"/>
  <c r="R240" i="90"/>
  <c r="R241" i="90"/>
  <c r="R242" i="90"/>
  <c r="R243" i="90"/>
  <c r="R244" i="90"/>
  <c r="R245" i="90"/>
  <c r="R246" i="90"/>
  <c r="R247" i="90"/>
  <c r="R248" i="90"/>
  <c r="R249" i="90"/>
  <c r="R250" i="90"/>
  <c r="R251" i="90"/>
  <c r="R252" i="90"/>
  <c r="R253" i="90"/>
  <c r="R254" i="90"/>
  <c r="R255" i="90"/>
  <c r="R256" i="90"/>
  <c r="R257" i="90"/>
  <c r="R258" i="90"/>
  <c r="R259" i="90"/>
  <c r="R260" i="90"/>
  <c r="R261" i="90"/>
  <c r="R262" i="90"/>
  <c r="R263" i="90"/>
  <c r="R264" i="90"/>
  <c r="R265" i="90"/>
  <c r="R266" i="90"/>
  <c r="R267" i="90"/>
  <c r="R268" i="90"/>
  <c r="R269" i="90"/>
  <c r="R270" i="90"/>
  <c r="R271" i="90"/>
  <c r="R272" i="90"/>
  <c r="R273" i="90"/>
  <c r="R274" i="90"/>
  <c r="R275" i="90"/>
  <c r="R276" i="90"/>
  <c r="R277" i="90"/>
  <c r="R278" i="90"/>
  <c r="R279" i="90"/>
  <c r="R280" i="90"/>
  <c r="R281" i="90"/>
  <c r="R282" i="90"/>
  <c r="R283" i="90"/>
  <c r="R284" i="90"/>
  <c r="R285" i="90"/>
  <c r="R286" i="90"/>
  <c r="R287" i="90"/>
  <c r="R288" i="90"/>
  <c r="R289" i="90"/>
  <c r="R290" i="90"/>
  <c r="R291" i="90"/>
  <c r="R292" i="90"/>
  <c r="R293" i="90"/>
  <c r="R294" i="90"/>
  <c r="R295" i="90"/>
  <c r="R296" i="90"/>
  <c r="R297" i="90"/>
  <c r="R298" i="90"/>
  <c r="R299" i="90"/>
  <c r="R300" i="90"/>
  <c r="R301" i="90"/>
  <c r="R302" i="90"/>
  <c r="R303" i="90"/>
  <c r="R304" i="90"/>
  <c r="R305" i="90"/>
  <c r="R306" i="90"/>
  <c r="R307" i="90"/>
  <c r="R308" i="90"/>
  <c r="R309" i="90"/>
  <c r="R310" i="90"/>
  <c r="R311" i="90"/>
  <c r="R312" i="90"/>
  <c r="R313" i="90"/>
  <c r="R314" i="90"/>
  <c r="R315" i="90"/>
  <c r="R316" i="90"/>
  <c r="R317" i="90"/>
  <c r="R318" i="90"/>
  <c r="R319" i="90"/>
  <c r="R320" i="90"/>
  <c r="R321" i="90"/>
  <c r="R322" i="90"/>
  <c r="R323" i="90"/>
  <c r="R324" i="90"/>
  <c r="R325" i="90"/>
  <c r="R326" i="90"/>
  <c r="R327" i="90"/>
  <c r="R328" i="90"/>
  <c r="R329" i="90"/>
  <c r="R330" i="90"/>
  <c r="R331" i="90"/>
  <c r="R332" i="90"/>
  <c r="R333" i="90"/>
  <c r="R334" i="90"/>
  <c r="R335" i="90"/>
  <c r="R336" i="90"/>
  <c r="R337" i="90"/>
  <c r="R338" i="90"/>
  <c r="R339" i="90"/>
  <c r="R340" i="90"/>
  <c r="R341" i="90"/>
  <c r="R342" i="90"/>
  <c r="R343" i="90"/>
  <c r="R344" i="90"/>
  <c r="R345" i="90"/>
  <c r="R346" i="90"/>
  <c r="R347" i="90"/>
  <c r="R348" i="90"/>
  <c r="R349" i="90"/>
  <c r="R350" i="90"/>
  <c r="R351" i="90"/>
  <c r="R352" i="90"/>
  <c r="R353" i="90"/>
  <c r="R354" i="90"/>
  <c r="R355" i="90"/>
  <c r="R356" i="90"/>
  <c r="R357" i="90"/>
  <c r="R358" i="90"/>
  <c r="R359" i="90"/>
  <c r="R360" i="90"/>
  <c r="R361" i="90"/>
  <c r="R362" i="90"/>
  <c r="R363" i="90"/>
  <c r="R364" i="90"/>
  <c r="R365" i="90"/>
  <c r="R366" i="90"/>
  <c r="R367" i="90"/>
  <c r="R368" i="90"/>
  <c r="R369" i="90"/>
  <c r="R370" i="90"/>
  <c r="R371" i="90"/>
  <c r="R372" i="90"/>
  <c r="R373" i="90"/>
  <c r="R374" i="90"/>
  <c r="R375" i="90"/>
  <c r="R376" i="90"/>
  <c r="R377" i="90"/>
  <c r="R378" i="90"/>
  <c r="R379" i="90"/>
  <c r="R380" i="90"/>
  <c r="R381" i="90"/>
  <c r="R382" i="90"/>
  <c r="R383" i="90"/>
  <c r="R384" i="90"/>
  <c r="R385" i="90"/>
  <c r="R386" i="90"/>
  <c r="R387" i="90"/>
  <c r="R388" i="90"/>
  <c r="R389" i="90"/>
  <c r="R390" i="90"/>
  <c r="R391" i="90"/>
  <c r="R392" i="90"/>
  <c r="R393" i="90"/>
  <c r="R394" i="90"/>
  <c r="R395" i="90"/>
  <c r="R396" i="90"/>
  <c r="R397" i="90"/>
  <c r="R398" i="90"/>
  <c r="R399" i="90"/>
  <c r="R400" i="90"/>
  <c r="R401" i="90"/>
  <c r="R402" i="90"/>
  <c r="R403" i="90"/>
  <c r="R404" i="90"/>
  <c r="R405" i="90"/>
  <c r="R406" i="90"/>
  <c r="R407" i="90"/>
  <c r="R408" i="90"/>
  <c r="R409" i="90"/>
  <c r="R410" i="90"/>
  <c r="R411" i="90"/>
  <c r="R412" i="90"/>
  <c r="R413" i="90"/>
  <c r="R414" i="90"/>
  <c r="R415" i="90"/>
  <c r="R416" i="90"/>
  <c r="R417" i="90"/>
  <c r="R418" i="90"/>
  <c r="R419" i="90"/>
  <c r="R420" i="90"/>
  <c r="R421" i="90"/>
  <c r="R422" i="90"/>
  <c r="R423" i="90"/>
  <c r="R424" i="90"/>
  <c r="R425" i="90"/>
  <c r="R426" i="90"/>
  <c r="R427" i="90"/>
  <c r="R428" i="90"/>
  <c r="R429" i="90"/>
  <c r="R430" i="90"/>
  <c r="R431" i="90"/>
  <c r="R432" i="90"/>
  <c r="R433" i="90"/>
  <c r="R434" i="90"/>
  <c r="R435" i="90"/>
  <c r="R436" i="90"/>
  <c r="R437" i="90"/>
  <c r="R438" i="90"/>
  <c r="R439" i="90"/>
  <c r="R440" i="90"/>
  <c r="R441" i="90"/>
  <c r="R442" i="90"/>
  <c r="R443" i="90"/>
  <c r="R444" i="90"/>
  <c r="R445" i="90"/>
  <c r="R446" i="90"/>
  <c r="R447" i="90"/>
  <c r="R448" i="90"/>
  <c r="R449" i="90"/>
  <c r="R450" i="90"/>
  <c r="R451" i="90"/>
  <c r="R452" i="90"/>
  <c r="R453" i="90"/>
  <c r="R454" i="90"/>
  <c r="R455" i="90"/>
  <c r="R456" i="90"/>
  <c r="R457" i="90"/>
  <c r="R458" i="90"/>
  <c r="R459" i="90"/>
  <c r="R460" i="90"/>
  <c r="R461" i="90"/>
  <c r="R462" i="90"/>
  <c r="R463" i="90"/>
  <c r="R464" i="90"/>
  <c r="R465" i="90"/>
  <c r="R466" i="90"/>
  <c r="R467" i="90"/>
  <c r="R468" i="90"/>
  <c r="R469" i="90"/>
  <c r="R470" i="90"/>
  <c r="R471" i="90"/>
  <c r="R472" i="90"/>
  <c r="R473" i="90"/>
  <c r="R474" i="90"/>
  <c r="R475" i="90"/>
  <c r="R476" i="90"/>
  <c r="R477" i="90"/>
  <c r="R37" i="90"/>
  <c r="Q58" i="90"/>
  <c r="Q79" i="90"/>
  <c r="Q100" i="90"/>
  <c r="Q121" i="90"/>
  <c r="Q142" i="90"/>
  <c r="Q163" i="90"/>
  <c r="Q184" i="90"/>
  <c r="Q205" i="90"/>
  <c r="Q226" i="90"/>
  <c r="Q247" i="90"/>
  <c r="Q268" i="90"/>
  <c r="Q289" i="90"/>
  <c r="Q310" i="90"/>
  <c r="Q331" i="90"/>
  <c r="Q352" i="90"/>
  <c r="Q373" i="90"/>
  <c r="Q394" i="90"/>
  <c r="Q415" i="90"/>
  <c r="Q436" i="90"/>
  <c r="Q457" i="90"/>
  <c r="Q37" i="90"/>
  <c r="P38" i="90"/>
  <c r="P39" i="90"/>
  <c r="P40" i="90"/>
  <c r="P41" i="90"/>
  <c r="P42" i="90"/>
  <c r="P43" i="90"/>
  <c r="P44" i="90"/>
  <c r="P45" i="90"/>
  <c r="P46" i="90"/>
  <c r="P47" i="90"/>
  <c r="P48" i="90"/>
  <c r="P49" i="90"/>
  <c r="P50" i="90"/>
  <c r="P51" i="90"/>
  <c r="P52" i="90"/>
  <c r="P53" i="90"/>
  <c r="P54" i="90"/>
  <c r="P55" i="90"/>
  <c r="P56" i="90"/>
  <c r="P57" i="90"/>
  <c r="P58" i="90"/>
  <c r="P59" i="90"/>
  <c r="P60" i="90"/>
  <c r="P61" i="90"/>
  <c r="P62" i="90"/>
  <c r="P63" i="90"/>
  <c r="P64" i="90"/>
  <c r="P65" i="90"/>
  <c r="P66" i="90"/>
  <c r="P67" i="90"/>
  <c r="P68" i="90"/>
  <c r="P69" i="90"/>
  <c r="P70" i="90"/>
  <c r="P71" i="90"/>
  <c r="P72" i="90"/>
  <c r="P73" i="90"/>
  <c r="P74" i="90"/>
  <c r="P75" i="90"/>
  <c r="P76" i="90"/>
  <c r="P77" i="90"/>
  <c r="P78" i="90"/>
  <c r="P79" i="90"/>
  <c r="P80" i="90"/>
  <c r="P81" i="90"/>
  <c r="P82" i="90"/>
  <c r="P83" i="90"/>
  <c r="P84" i="90"/>
  <c r="P85" i="90"/>
  <c r="P86" i="90"/>
  <c r="P87" i="90"/>
  <c r="P88" i="90"/>
  <c r="P89" i="90"/>
  <c r="P90" i="90"/>
  <c r="P91" i="90"/>
  <c r="P92" i="90"/>
  <c r="P93" i="90"/>
  <c r="P94" i="90"/>
  <c r="P95" i="90"/>
  <c r="P96" i="90"/>
  <c r="P97" i="90"/>
  <c r="P98" i="90"/>
  <c r="P99" i="90"/>
  <c r="P100" i="90"/>
  <c r="P101" i="90"/>
  <c r="P102" i="90"/>
  <c r="P103" i="90"/>
  <c r="P104" i="90"/>
  <c r="P105" i="90"/>
  <c r="P106" i="90"/>
  <c r="P107" i="90"/>
  <c r="P108" i="90"/>
  <c r="P109" i="90"/>
  <c r="P110" i="90"/>
  <c r="P111" i="90"/>
  <c r="P112" i="90"/>
  <c r="P113" i="90"/>
  <c r="P114" i="90"/>
  <c r="P115" i="90"/>
  <c r="P116" i="90"/>
  <c r="P117" i="90"/>
  <c r="P118" i="90"/>
  <c r="P119" i="90"/>
  <c r="P120" i="90"/>
  <c r="P121" i="90"/>
  <c r="P122" i="90"/>
  <c r="P123" i="90"/>
  <c r="P124" i="90"/>
  <c r="P125" i="90"/>
  <c r="P126" i="90"/>
  <c r="P127" i="90"/>
  <c r="P128" i="90"/>
  <c r="P129" i="90"/>
  <c r="P130" i="90"/>
  <c r="P131" i="90"/>
  <c r="P132" i="90"/>
  <c r="P133" i="90"/>
  <c r="P134" i="90"/>
  <c r="P135" i="90"/>
  <c r="P136" i="90"/>
  <c r="P137" i="90"/>
  <c r="P138" i="90"/>
  <c r="P139" i="90"/>
  <c r="P140" i="90"/>
  <c r="P141" i="90"/>
  <c r="P142" i="90"/>
  <c r="P143" i="90"/>
  <c r="P144" i="90"/>
  <c r="P145" i="90"/>
  <c r="P146" i="90"/>
  <c r="P147" i="90"/>
  <c r="P148" i="90"/>
  <c r="P149" i="90"/>
  <c r="P150" i="90"/>
  <c r="P151" i="90"/>
  <c r="P152" i="90"/>
  <c r="P153" i="90"/>
  <c r="P154" i="90"/>
  <c r="P155" i="90"/>
  <c r="P156" i="90"/>
  <c r="P157" i="90"/>
  <c r="P158" i="90"/>
  <c r="P159" i="90"/>
  <c r="P160" i="90"/>
  <c r="P161" i="90"/>
  <c r="P162" i="90"/>
  <c r="P163" i="90"/>
  <c r="P164" i="90"/>
  <c r="P165" i="90"/>
  <c r="P166" i="90"/>
  <c r="P167" i="90"/>
  <c r="P168" i="90"/>
  <c r="P169" i="90"/>
  <c r="P170" i="90"/>
  <c r="P171" i="90"/>
  <c r="P172" i="90"/>
  <c r="P173" i="90"/>
  <c r="P174" i="90"/>
  <c r="P175" i="90"/>
  <c r="P176" i="90"/>
  <c r="P177" i="90"/>
  <c r="P178" i="90"/>
  <c r="P179" i="90"/>
  <c r="P180" i="90"/>
  <c r="P181" i="90"/>
  <c r="P182" i="90"/>
  <c r="P183" i="90"/>
  <c r="P184" i="90"/>
  <c r="P185" i="90"/>
  <c r="P186" i="90"/>
  <c r="P187" i="90"/>
  <c r="P188" i="90"/>
  <c r="P189" i="90"/>
  <c r="P190" i="90"/>
  <c r="P191" i="90"/>
  <c r="P192" i="90"/>
  <c r="P193" i="90"/>
  <c r="P194" i="90"/>
  <c r="P195" i="90"/>
  <c r="P196" i="90"/>
  <c r="P197" i="90"/>
  <c r="P198" i="90"/>
  <c r="P199" i="90"/>
  <c r="P200" i="90"/>
  <c r="P201" i="90"/>
  <c r="P202" i="90"/>
  <c r="P203" i="90"/>
  <c r="P204" i="90"/>
  <c r="P205" i="90"/>
  <c r="P206" i="90"/>
  <c r="P207" i="90"/>
  <c r="P208" i="90"/>
  <c r="P209" i="90"/>
  <c r="P210" i="90"/>
  <c r="P211" i="90"/>
  <c r="P212" i="90"/>
  <c r="P213" i="90"/>
  <c r="P214" i="90"/>
  <c r="P215" i="90"/>
  <c r="P216" i="90"/>
  <c r="P217" i="90"/>
  <c r="P218" i="90"/>
  <c r="P219" i="90"/>
  <c r="P220" i="90"/>
  <c r="P221" i="90"/>
  <c r="P222" i="90"/>
  <c r="P223" i="90"/>
  <c r="P224" i="90"/>
  <c r="P225" i="90"/>
  <c r="P226" i="90"/>
  <c r="P227" i="90"/>
  <c r="P228" i="90"/>
  <c r="P229" i="90"/>
  <c r="P230" i="90"/>
  <c r="P231" i="90"/>
  <c r="P232" i="90"/>
  <c r="P233" i="90"/>
  <c r="P234" i="90"/>
  <c r="P235" i="90"/>
  <c r="P236" i="90"/>
  <c r="P237" i="90"/>
  <c r="P238" i="90"/>
  <c r="P239" i="90"/>
  <c r="P240" i="90"/>
  <c r="P241" i="90"/>
  <c r="P242" i="90"/>
  <c r="P243" i="90"/>
  <c r="P244" i="90"/>
  <c r="P245" i="90"/>
  <c r="P246" i="90"/>
  <c r="P247" i="90"/>
  <c r="P248" i="90"/>
  <c r="P249" i="90"/>
  <c r="P250" i="90"/>
  <c r="P251" i="90"/>
  <c r="P252" i="90"/>
  <c r="P253" i="90"/>
  <c r="P254" i="90"/>
  <c r="P255" i="90"/>
  <c r="P256" i="90"/>
  <c r="P257" i="90"/>
  <c r="P258" i="90"/>
  <c r="P259" i="90"/>
  <c r="P260" i="90"/>
  <c r="P261" i="90"/>
  <c r="P262" i="90"/>
  <c r="P263" i="90"/>
  <c r="P264" i="90"/>
  <c r="P265" i="90"/>
  <c r="P266" i="90"/>
  <c r="P267" i="90"/>
  <c r="P268" i="90"/>
  <c r="P269" i="90"/>
  <c r="P270" i="90"/>
  <c r="P271" i="90"/>
  <c r="P272" i="90"/>
  <c r="P273" i="90"/>
  <c r="P274" i="90"/>
  <c r="P275" i="90"/>
  <c r="P276" i="90"/>
  <c r="P277" i="90"/>
  <c r="P278" i="90"/>
  <c r="P279" i="90"/>
  <c r="P280" i="90"/>
  <c r="P281" i="90"/>
  <c r="P282" i="90"/>
  <c r="P283" i="90"/>
  <c r="P284" i="90"/>
  <c r="P285" i="90"/>
  <c r="P286" i="90"/>
  <c r="P287" i="90"/>
  <c r="P288" i="90"/>
  <c r="P289" i="90"/>
  <c r="P290" i="90"/>
  <c r="P291" i="90"/>
  <c r="P292" i="90"/>
  <c r="P293" i="90"/>
  <c r="P294" i="90"/>
  <c r="P295" i="90"/>
  <c r="P296" i="90"/>
  <c r="P297" i="90"/>
  <c r="P298" i="90"/>
  <c r="P299" i="90"/>
  <c r="P300" i="90"/>
  <c r="P301" i="90"/>
  <c r="P302" i="90"/>
  <c r="P303" i="90"/>
  <c r="P304" i="90"/>
  <c r="P305" i="90"/>
  <c r="P306" i="90"/>
  <c r="P307" i="90"/>
  <c r="P308" i="90"/>
  <c r="P309" i="90"/>
  <c r="P310" i="90"/>
  <c r="P311" i="90"/>
  <c r="P312" i="90"/>
  <c r="P313" i="90"/>
  <c r="P314" i="90"/>
  <c r="P315" i="90"/>
  <c r="P316" i="90"/>
  <c r="P317" i="90"/>
  <c r="P318" i="90"/>
  <c r="P319" i="90"/>
  <c r="P320" i="90"/>
  <c r="P321" i="90"/>
  <c r="P322" i="90"/>
  <c r="P323" i="90"/>
  <c r="P324" i="90"/>
  <c r="P325" i="90"/>
  <c r="P326" i="90"/>
  <c r="P327" i="90"/>
  <c r="P328" i="90"/>
  <c r="P329" i="90"/>
  <c r="P330" i="90"/>
  <c r="P331" i="90"/>
  <c r="P332" i="90"/>
  <c r="P333" i="90"/>
  <c r="P334" i="90"/>
  <c r="P335" i="90"/>
  <c r="P336" i="90"/>
  <c r="P337" i="90"/>
  <c r="P338" i="90"/>
  <c r="P339" i="90"/>
  <c r="P340" i="90"/>
  <c r="P341" i="90"/>
  <c r="P342" i="90"/>
  <c r="P343" i="90"/>
  <c r="P344" i="90"/>
  <c r="P345" i="90"/>
  <c r="P346" i="90"/>
  <c r="P347" i="90"/>
  <c r="P348" i="90"/>
  <c r="P349" i="90"/>
  <c r="P350" i="90"/>
  <c r="P351" i="90"/>
  <c r="P352" i="90"/>
  <c r="P353" i="90"/>
  <c r="P354" i="90"/>
  <c r="P355" i="90"/>
  <c r="P356" i="90"/>
  <c r="P357" i="90"/>
  <c r="P358" i="90"/>
  <c r="P359" i="90"/>
  <c r="P360" i="90"/>
  <c r="P361" i="90"/>
  <c r="P362" i="90"/>
  <c r="P363" i="90"/>
  <c r="P364" i="90"/>
  <c r="P365" i="90"/>
  <c r="P366" i="90"/>
  <c r="P367" i="90"/>
  <c r="P368" i="90"/>
  <c r="P369" i="90"/>
  <c r="P370" i="90"/>
  <c r="P371" i="90"/>
  <c r="P372" i="90"/>
  <c r="P373" i="90"/>
  <c r="P374" i="90"/>
  <c r="P375" i="90"/>
  <c r="P376" i="90"/>
  <c r="P377" i="90"/>
  <c r="P378" i="90"/>
  <c r="P379" i="90"/>
  <c r="P380" i="90"/>
  <c r="P381" i="90"/>
  <c r="P382" i="90"/>
  <c r="P383" i="90"/>
  <c r="P384" i="90"/>
  <c r="P385" i="90"/>
  <c r="P386" i="90"/>
  <c r="P387" i="90"/>
  <c r="P388" i="90"/>
  <c r="P389" i="90"/>
  <c r="P390" i="90"/>
  <c r="P391" i="90"/>
  <c r="P392" i="90"/>
  <c r="P393" i="90"/>
  <c r="P394" i="90"/>
  <c r="P395" i="90"/>
  <c r="P396" i="90"/>
  <c r="P397" i="90"/>
  <c r="P398" i="90"/>
  <c r="P399" i="90"/>
  <c r="P400" i="90"/>
  <c r="P401" i="90"/>
  <c r="P402" i="90"/>
  <c r="P403" i="90"/>
  <c r="P404" i="90"/>
  <c r="P405" i="90"/>
  <c r="P406" i="90"/>
  <c r="P407" i="90"/>
  <c r="P408" i="90"/>
  <c r="P409" i="90"/>
  <c r="P410" i="90"/>
  <c r="P411" i="90"/>
  <c r="P412" i="90"/>
  <c r="P413" i="90"/>
  <c r="P414" i="90"/>
  <c r="P415" i="90"/>
  <c r="P416" i="90"/>
  <c r="P417" i="90"/>
  <c r="P418" i="90"/>
  <c r="P419" i="90"/>
  <c r="P420" i="90"/>
  <c r="P421" i="90"/>
  <c r="P422" i="90"/>
  <c r="P423" i="90"/>
  <c r="P424" i="90"/>
  <c r="P425" i="90"/>
  <c r="P426" i="90"/>
  <c r="P427" i="90"/>
  <c r="P428" i="90"/>
  <c r="P429" i="90"/>
  <c r="P430" i="90"/>
  <c r="P431" i="90"/>
  <c r="P432" i="90"/>
  <c r="P433" i="90"/>
  <c r="P434" i="90"/>
  <c r="P435" i="90"/>
  <c r="P436" i="90"/>
  <c r="P437" i="90"/>
  <c r="P438" i="90"/>
  <c r="P439" i="90"/>
  <c r="P440" i="90"/>
  <c r="P441" i="90"/>
  <c r="P442" i="90"/>
  <c r="P443" i="90"/>
  <c r="P444" i="90"/>
  <c r="P445" i="90"/>
  <c r="P446" i="90"/>
  <c r="P447" i="90"/>
  <c r="P448" i="90"/>
  <c r="P449" i="90"/>
  <c r="P450" i="90"/>
  <c r="P451" i="90"/>
  <c r="P452" i="90"/>
  <c r="P453" i="90"/>
  <c r="P454" i="90"/>
  <c r="P455" i="90"/>
  <c r="P456" i="90"/>
  <c r="P457" i="90"/>
  <c r="P458" i="90"/>
  <c r="P459" i="90"/>
  <c r="P460" i="90"/>
  <c r="P461" i="90"/>
  <c r="P462" i="90"/>
  <c r="P463" i="90"/>
  <c r="P464" i="90"/>
  <c r="P465" i="90"/>
  <c r="P466" i="90"/>
  <c r="P467" i="90"/>
  <c r="P468" i="90"/>
  <c r="P469" i="90"/>
  <c r="P470" i="90"/>
  <c r="P471" i="90"/>
  <c r="P472" i="90"/>
  <c r="P473" i="90"/>
  <c r="P474" i="90"/>
  <c r="P475" i="90"/>
  <c r="P476" i="90"/>
  <c r="P477" i="90"/>
  <c r="P37" i="90"/>
  <c r="O58" i="90"/>
  <c r="O79" i="90"/>
  <c r="O100" i="90"/>
  <c r="O121" i="90"/>
  <c r="O142" i="90"/>
  <c r="O163" i="90"/>
  <c r="O184" i="90"/>
  <c r="O205" i="90"/>
  <c r="O226" i="90"/>
  <c r="O247" i="90"/>
  <c r="O268" i="90"/>
  <c r="O289" i="90"/>
  <c r="O310" i="90"/>
  <c r="O331" i="90"/>
  <c r="O352" i="90"/>
  <c r="O373" i="90"/>
  <c r="O394" i="90"/>
  <c r="O415" i="90"/>
  <c r="O436" i="90"/>
  <c r="O457" i="90"/>
  <c r="O37" i="90"/>
  <c r="N38" i="90"/>
  <c r="N39" i="90"/>
  <c r="N40" i="90"/>
  <c r="N41" i="90"/>
  <c r="N42" i="90"/>
  <c r="N43" i="90"/>
  <c r="N44" i="90"/>
  <c r="N45" i="90"/>
  <c r="N46" i="90"/>
  <c r="N47" i="90"/>
  <c r="N48" i="90"/>
  <c r="N49" i="90"/>
  <c r="N50" i="90"/>
  <c r="N51" i="90"/>
  <c r="N52" i="90"/>
  <c r="N53" i="90"/>
  <c r="N54" i="90"/>
  <c r="N55" i="90"/>
  <c r="N56" i="90"/>
  <c r="N57" i="90"/>
  <c r="N58" i="90"/>
  <c r="N59" i="90"/>
  <c r="N60" i="90"/>
  <c r="N61" i="90"/>
  <c r="N62" i="90"/>
  <c r="N63" i="90"/>
  <c r="N64" i="90"/>
  <c r="N65" i="90"/>
  <c r="N66" i="90"/>
  <c r="N67" i="90"/>
  <c r="N68" i="90"/>
  <c r="N69" i="90"/>
  <c r="N70" i="90"/>
  <c r="N71" i="90"/>
  <c r="N72" i="90"/>
  <c r="N73" i="90"/>
  <c r="N74" i="90"/>
  <c r="N75" i="90"/>
  <c r="N76" i="90"/>
  <c r="N77" i="90"/>
  <c r="N78" i="90"/>
  <c r="N79" i="90"/>
  <c r="N80" i="90"/>
  <c r="N81" i="90"/>
  <c r="N82" i="90"/>
  <c r="N83" i="90"/>
  <c r="N84" i="90"/>
  <c r="N85" i="90"/>
  <c r="N86" i="90"/>
  <c r="N87" i="90"/>
  <c r="N88" i="90"/>
  <c r="N89" i="90"/>
  <c r="N90" i="90"/>
  <c r="N91" i="90"/>
  <c r="N92" i="90"/>
  <c r="N93" i="90"/>
  <c r="N94" i="90"/>
  <c r="N95" i="90"/>
  <c r="N96" i="90"/>
  <c r="N97" i="90"/>
  <c r="N98" i="90"/>
  <c r="N99" i="90"/>
  <c r="N100" i="90"/>
  <c r="N101" i="90"/>
  <c r="N102" i="90"/>
  <c r="N103" i="90"/>
  <c r="N104" i="90"/>
  <c r="N105" i="90"/>
  <c r="N106" i="90"/>
  <c r="N107" i="90"/>
  <c r="N108" i="90"/>
  <c r="N109" i="90"/>
  <c r="N110" i="90"/>
  <c r="N111" i="90"/>
  <c r="N112" i="90"/>
  <c r="N113" i="90"/>
  <c r="N114" i="90"/>
  <c r="N115" i="90"/>
  <c r="N116" i="90"/>
  <c r="N117" i="90"/>
  <c r="N118" i="90"/>
  <c r="N119" i="90"/>
  <c r="N120" i="90"/>
  <c r="N121" i="90"/>
  <c r="N122" i="90"/>
  <c r="N123" i="90"/>
  <c r="N124" i="90"/>
  <c r="N125" i="90"/>
  <c r="N126" i="90"/>
  <c r="N127" i="90"/>
  <c r="N128" i="90"/>
  <c r="N129" i="90"/>
  <c r="N130" i="90"/>
  <c r="N131" i="90"/>
  <c r="N132" i="90"/>
  <c r="N133" i="90"/>
  <c r="N134" i="90"/>
  <c r="N135" i="90"/>
  <c r="N136" i="90"/>
  <c r="N137" i="90"/>
  <c r="N138" i="90"/>
  <c r="N139" i="90"/>
  <c r="N140" i="90"/>
  <c r="N141" i="90"/>
  <c r="N142" i="90"/>
  <c r="N143" i="90"/>
  <c r="N144" i="90"/>
  <c r="N145" i="90"/>
  <c r="N146" i="90"/>
  <c r="N147" i="90"/>
  <c r="N148" i="90"/>
  <c r="N149" i="90"/>
  <c r="N150" i="90"/>
  <c r="N151" i="90"/>
  <c r="N152" i="90"/>
  <c r="N153" i="90"/>
  <c r="N154" i="90"/>
  <c r="N155" i="90"/>
  <c r="N156" i="90"/>
  <c r="N157" i="90"/>
  <c r="N158" i="90"/>
  <c r="N159" i="90"/>
  <c r="N160" i="90"/>
  <c r="N161" i="90"/>
  <c r="N162" i="90"/>
  <c r="N163" i="90"/>
  <c r="N164" i="90"/>
  <c r="N165" i="90"/>
  <c r="N166" i="90"/>
  <c r="N167" i="90"/>
  <c r="N168" i="90"/>
  <c r="N169" i="90"/>
  <c r="N170" i="90"/>
  <c r="N171" i="90"/>
  <c r="N172" i="90"/>
  <c r="N173" i="90"/>
  <c r="N174" i="90"/>
  <c r="N175" i="90"/>
  <c r="N176" i="90"/>
  <c r="N177" i="90"/>
  <c r="N178" i="90"/>
  <c r="N179" i="90"/>
  <c r="N180" i="90"/>
  <c r="N181" i="90"/>
  <c r="N182" i="90"/>
  <c r="N183" i="90"/>
  <c r="N184" i="90"/>
  <c r="N185" i="90"/>
  <c r="N186" i="90"/>
  <c r="N187" i="90"/>
  <c r="N188" i="90"/>
  <c r="N189" i="90"/>
  <c r="N190" i="90"/>
  <c r="N191" i="90"/>
  <c r="N192" i="90"/>
  <c r="N193" i="90"/>
  <c r="N194" i="90"/>
  <c r="N195" i="90"/>
  <c r="N196" i="90"/>
  <c r="N197" i="90"/>
  <c r="N198" i="90"/>
  <c r="N199" i="90"/>
  <c r="N200" i="90"/>
  <c r="N201" i="90"/>
  <c r="N202" i="90"/>
  <c r="N203" i="90"/>
  <c r="N204" i="90"/>
  <c r="N205" i="90"/>
  <c r="N206" i="90"/>
  <c r="N207" i="90"/>
  <c r="N208" i="90"/>
  <c r="N209" i="90"/>
  <c r="N210" i="90"/>
  <c r="N211" i="90"/>
  <c r="N212" i="90"/>
  <c r="N213" i="90"/>
  <c r="N214" i="90"/>
  <c r="N215" i="90"/>
  <c r="N216" i="90"/>
  <c r="N217" i="90"/>
  <c r="N218" i="90"/>
  <c r="N219" i="90"/>
  <c r="N220" i="90"/>
  <c r="N221" i="90"/>
  <c r="N222" i="90"/>
  <c r="N223" i="90"/>
  <c r="N224" i="90"/>
  <c r="N225" i="90"/>
  <c r="N226" i="90"/>
  <c r="N227" i="90"/>
  <c r="N228" i="90"/>
  <c r="N229" i="90"/>
  <c r="N230" i="90"/>
  <c r="N231" i="90"/>
  <c r="N232" i="90"/>
  <c r="N233" i="90"/>
  <c r="N234" i="90"/>
  <c r="N235" i="90"/>
  <c r="N236" i="90"/>
  <c r="N237" i="90"/>
  <c r="N238" i="90"/>
  <c r="N239" i="90"/>
  <c r="N240" i="90"/>
  <c r="N241" i="90"/>
  <c r="N242" i="90"/>
  <c r="N243" i="90"/>
  <c r="N244" i="90"/>
  <c r="N245" i="90"/>
  <c r="N246" i="90"/>
  <c r="N247" i="90"/>
  <c r="N248" i="90"/>
  <c r="N249" i="90"/>
  <c r="N250" i="90"/>
  <c r="N251" i="90"/>
  <c r="N252" i="90"/>
  <c r="N253" i="90"/>
  <c r="N254" i="90"/>
  <c r="N255" i="90"/>
  <c r="N256" i="90"/>
  <c r="N257" i="90"/>
  <c r="N258" i="90"/>
  <c r="N259" i="90"/>
  <c r="N260" i="90"/>
  <c r="N261" i="90"/>
  <c r="N262" i="90"/>
  <c r="N263" i="90"/>
  <c r="N264" i="90"/>
  <c r="N265" i="90"/>
  <c r="N266" i="90"/>
  <c r="N267" i="90"/>
  <c r="N268" i="90"/>
  <c r="N269" i="90"/>
  <c r="N270" i="90"/>
  <c r="N271" i="90"/>
  <c r="N272" i="90"/>
  <c r="N273" i="90"/>
  <c r="N274" i="90"/>
  <c r="N275" i="90"/>
  <c r="N276" i="90"/>
  <c r="N277" i="90"/>
  <c r="N278" i="90"/>
  <c r="N279" i="90"/>
  <c r="N280" i="90"/>
  <c r="N281" i="90"/>
  <c r="N282" i="90"/>
  <c r="N283" i="90"/>
  <c r="N284" i="90"/>
  <c r="N285" i="90"/>
  <c r="N286" i="90"/>
  <c r="N287" i="90"/>
  <c r="N288" i="90"/>
  <c r="N289" i="90"/>
  <c r="N290" i="90"/>
  <c r="N291" i="90"/>
  <c r="N292" i="90"/>
  <c r="N293" i="90"/>
  <c r="N294" i="90"/>
  <c r="N295" i="90"/>
  <c r="N296" i="90"/>
  <c r="N297" i="90"/>
  <c r="N298" i="90"/>
  <c r="N299" i="90"/>
  <c r="N300" i="90"/>
  <c r="N301" i="90"/>
  <c r="N302" i="90"/>
  <c r="N303" i="90"/>
  <c r="N304" i="90"/>
  <c r="N305" i="90"/>
  <c r="N306" i="90"/>
  <c r="N307" i="90"/>
  <c r="N308" i="90"/>
  <c r="N309" i="90"/>
  <c r="N310" i="90"/>
  <c r="N311" i="90"/>
  <c r="N312" i="90"/>
  <c r="N313" i="90"/>
  <c r="N314" i="90"/>
  <c r="N315" i="90"/>
  <c r="N316" i="90"/>
  <c r="N317" i="90"/>
  <c r="N318" i="90"/>
  <c r="N319" i="90"/>
  <c r="N320" i="90"/>
  <c r="N321" i="90"/>
  <c r="N322" i="90"/>
  <c r="N323" i="90"/>
  <c r="N324" i="90"/>
  <c r="N325" i="90"/>
  <c r="N326" i="90"/>
  <c r="N327" i="90"/>
  <c r="N328" i="90"/>
  <c r="N329" i="90"/>
  <c r="N330" i="90"/>
  <c r="N331" i="90"/>
  <c r="N332" i="90"/>
  <c r="N333" i="90"/>
  <c r="N334" i="90"/>
  <c r="N335" i="90"/>
  <c r="N336" i="90"/>
  <c r="N337" i="90"/>
  <c r="N338" i="90"/>
  <c r="N339" i="90"/>
  <c r="N340" i="90"/>
  <c r="N341" i="90"/>
  <c r="N342" i="90"/>
  <c r="N343" i="90"/>
  <c r="N344" i="90"/>
  <c r="N345" i="90"/>
  <c r="N346" i="90"/>
  <c r="N347" i="90"/>
  <c r="N348" i="90"/>
  <c r="N349" i="90"/>
  <c r="N350" i="90"/>
  <c r="N351" i="90"/>
  <c r="N352" i="90"/>
  <c r="N353" i="90"/>
  <c r="N354" i="90"/>
  <c r="N355" i="90"/>
  <c r="N356" i="90"/>
  <c r="N357" i="90"/>
  <c r="N358" i="90"/>
  <c r="N359" i="90"/>
  <c r="N360" i="90"/>
  <c r="N361" i="90"/>
  <c r="N362" i="90"/>
  <c r="N363" i="90"/>
  <c r="N364" i="90"/>
  <c r="N365" i="90"/>
  <c r="N366" i="90"/>
  <c r="N367" i="90"/>
  <c r="N368" i="90"/>
  <c r="N369" i="90"/>
  <c r="N370" i="90"/>
  <c r="N371" i="90"/>
  <c r="N372" i="90"/>
  <c r="N373" i="90"/>
  <c r="N374" i="90"/>
  <c r="N375" i="90"/>
  <c r="N376" i="90"/>
  <c r="N377" i="90"/>
  <c r="N378" i="90"/>
  <c r="N379" i="90"/>
  <c r="N380" i="90"/>
  <c r="N381" i="90"/>
  <c r="N382" i="90"/>
  <c r="N383" i="90"/>
  <c r="N384" i="90"/>
  <c r="N385" i="90"/>
  <c r="N386" i="90"/>
  <c r="N387" i="90"/>
  <c r="N388" i="90"/>
  <c r="N389" i="90"/>
  <c r="N390" i="90"/>
  <c r="N391" i="90"/>
  <c r="N392" i="90"/>
  <c r="N393" i="90"/>
  <c r="N394" i="90"/>
  <c r="N395" i="90"/>
  <c r="N396" i="90"/>
  <c r="N397" i="90"/>
  <c r="N398" i="90"/>
  <c r="N399" i="90"/>
  <c r="N400" i="90"/>
  <c r="N401" i="90"/>
  <c r="N402" i="90"/>
  <c r="N403" i="90"/>
  <c r="N404" i="90"/>
  <c r="N405" i="90"/>
  <c r="N406" i="90"/>
  <c r="N407" i="90"/>
  <c r="N408" i="90"/>
  <c r="N409" i="90"/>
  <c r="N410" i="90"/>
  <c r="N411" i="90"/>
  <c r="N412" i="90"/>
  <c r="N413" i="90"/>
  <c r="N414" i="90"/>
  <c r="N415" i="90"/>
  <c r="N416" i="90"/>
  <c r="N417" i="90"/>
  <c r="N418" i="90"/>
  <c r="N419" i="90"/>
  <c r="N420" i="90"/>
  <c r="N421" i="90"/>
  <c r="N422" i="90"/>
  <c r="N423" i="90"/>
  <c r="N424" i="90"/>
  <c r="N425" i="90"/>
  <c r="N426" i="90"/>
  <c r="N427" i="90"/>
  <c r="N428" i="90"/>
  <c r="N429" i="90"/>
  <c r="N430" i="90"/>
  <c r="N431" i="90"/>
  <c r="N432" i="90"/>
  <c r="N433" i="90"/>
  <c r="N434" i="90"/>
  <c r="N435" i="90"/>
  <c r="N436" i="90"/>
  <c r="N437" i="90"/>
  <c r="N438" i="90"/>
  <c r="N439" i="90"/>
  <c r="N440" i="90"/>
  <c r="N441" i="90"/>
  <c r="N442" i="90"/>
  <c r="N443" i="90"/>
  <c r="N444" i="90"/>
  <c r="N445" i="90"/>
  <c r="N446" i="90"/>
  <c r="N447" i="90"/>
  <c r="N448" i="90"/>
  <c r="N449" i="90"/>
  <c r="N450" i="90"/>
  <c r="N451" i="90"/>
  <c r="N452" i="90"/>
  <c r="N453" i="90"/>
  <c r="N454" i="90"/>
  <c r="N455" i="90"/>
  <c r="N456" i="90"/>
  <c r="N457" i="90"/>
  <c r="N458" i="90"/>
  <c r="N459" i="90"/>
  <c r="N460" i="90"/>
  <c r="N461" i="90"/>
  <c r="N462" i="90"/>
  <c r="N463" i="90"/>
  <c r="N464" i="90"/>
  <c r="N465" i="90"/>
  <c r="N466" i="90"/>
  <c r="N467" i="90"/>
  <c r="N468" i="90"/>
  <c r="N469" i="90"/>
  <c r="N470" i="90"/>
  <c r="N471" i="90"/>
  <c r="N472" i="90"/>
  <c r="N473" i="90"/>
  <c r="N474" i="90"/>
  <c r="N475" i="90"/>
  <c r="N476" i="90"/>
  <c r="N477" i="90"/>
  <c r="N37" i="90"/>
  <c r="L38" i="90"/>
  <c r="L39" i="90"/>
  <c r="L40" i="90"/>
  <c r="L41" i="90"/>
  <c r="L42" i="90"/>
  <c r="L43" i="90"/>
  <c r="L44" i="90"/>
  <c r="L45" i="90"/>
  <c r="L46" i="90"/>
  <c r="L47" i="90"/>
  <c r="L48" i="90"/>
  <c r="L49" i="90"/>
  <c r="L50" i="90"/>
  <c r="L51" i="90"/>
  <c r="L52" i="90"/>
  <c r="L53" i="90"/>
  <c r="L54" i="90"/>
  <c r="L55" i="90"/>
  <c r="L56" i="90"/>
  <c r="L57" i="90"/>
  <c r="L58" i="90"/>
  <c r="L59" i="90"/>
  <c r="L60" i="90"/>
  <c r="L61" i="90"/>
  <c r="L62" i="90"/>
  <c r="L63" i="90"/>
  <c r="L64" i="90"/>
  <c r="L65" i="90"/>
  <c r="L66" i="90"/>
  <c r="L67" i="90"/>
  <c r="L68" i="90"/>
  <c r="L69" i="90"/>
  <c r="L70" i="90"/>
  <c r="L71" i="90"/>
  <c r="L72" i="90"/>
  <c r="L73" i="90"/>
  <c r="L74" i="90"/>
  <c r="L75" i="90"/>
  <c r="L76" i="90"/>
  <c r="L77" i="90"/>
  <c r="L78" i="90"/>
  <c r="L79" i="90"/>
  <c r="L80" i="90"/>
  <c r="L81" i="90"/>
  <c r="L82" i="90"/>
  <c r="L83" i="90"/>
  <c r="L84" i="90"/>
  <c r="L85" i="90"/>
  <c r="L86" i="90"/>
  <c r="L87" i="90"/>
  <c r="L88" i="90"/>
  <c r="L89" i="90"/>
  <c r="L90" i="90"/>
  <c r="L91" i="90"/>
  <c r="L92" i="90"/>
  <c r="L93" i="90"/>
  <c r="L94" i="90"/>
  <c r="L95" i="90"/>
  <c r="L96" i="90"/>
  <c r="L97" i="90"/>
  <c r="L98" i="90"/>
  <c r="L99" i="90"/>
  <c r="L100" i="90"/>
  <c r="L101" i="90"/>
  <c r="L102" i="90"/>
  <c r="L103" i="90"/>
  <c r="L104" i="90"/>
  <c r="L105" i="90"/>
  <c r="L106" i="90"/>
  <c r="L107" i="90"/>
  <c r="L108" i="90"/>
  <c r="L109" i="90"/>
  <c r="L110" i="90"/>
  <c r="L111" i="90"/>
  <c r="L112" i="90"/>
  <c r="L113" i="90"/>
  <c r="L114" i="90"/>
  <c r="L115" i="90"/>
  <c r="L116" i="90"/>
  <c r="L117" i="90"/>
  <c r="L118" i="90"/>
  <c r="L119" i="90"/>
  <c r="L120" i="90"/>
  <c r="L121" i="90"/>
  <c r="L122" i="90"/>
  <c r="L123" i="90"/>
  <c r="L124" i="90"/>
  <c r="L125" i="90"/>
  <c r="L126" i="90"/>
  <c r="L127" i="90"/>
  <c r="L128" i="90"/>
  <c r="L129" i="90"/>
  <c r="L130" i="90"/>
  <c r="L131" i="90"/>
  <c r="L132" i="90"/>
  <c r="L133" i="90"/>
  <c r="L134" i="90"/>
  <c r="L135" i="90"/>
  <c r="L136" i="90"/>
  <c r="L137" i="90"/>
  <c r="L138" i="90"/>
  <c r="L139" i="90"/>
  <c r="L140" i="90"/>
  <c r="L141" i="90"/>
  <c r="L142" i="90"/>
  <c r="L143" i="90"/>
  <c r="L144" i="90"/>
  <c r="L145" i="90"/>
  <c r="L146" i="90"/>
  <c r="L147" i="90"/>
  <c r="L148" i="90"/>
  <c r="L149" i="90"/>
  <c r="L150" i="90"/>
  <c r="L151" i="90"/>
  <c r="L152" i="90"/>
  <c r="L153" i="90"/>
  <c r="L154" i="90"/>
  <c r="L155" i="90"/>
  <c r="L156" i="90"/>
  <c r="L157" i="90"/>
  <c r="L158" i="90"/>
  <c r="L159" i="90"/>
  <c r="L160" i="90"/>
  <c r="L161" i="90"/>
  <c r="L162" i="90"/>
  <c r="L163" i="90"/>
  <c r="L164" i="90"/>
  <c r="L165" i="90"/>
  <c r="L166" i="90"/>
  <c r="L167" i="90"/>
  <c r="L168" i="90"/>
  <c r="L169" i="90"/>
  <c r="L170" i="90"/>
  <c r="L171" i="90"/>
  <c r="L172" i="90"/>
  <c r="L173" i="90"/>
  <c r="L174" i="90"/>
  <c r="L175" i="90"/>
  <c r="L176" i="90"/>
  <c r="L177" i="90"/>
  <c r="L178" i="90"/>
  <c r="L179" i="90"/>
  <c r="L180" i="90"/>
  <c r="L181" i="90"/>
  <c r="L182" i="90"/>
  <c r="L183" i="90"/>
  <c r="L184" i="90"/>
  <c r="L185" i="90"/>
  <c r="L186" i="90"/>
  <c r="L187" i="90"/>
  <c r="L188" i="90"/>
  <c r="L189" i="90"/>
  <c r="L190" i="90"/>
  <c r="L191" i="90"/>
  <c r="L192" i="90"/>
  <c r="L193" i="90"/>
  <c r="L194" i="90"/>
  <c r="L195" i="90"/>
  <c r="L196" i="90"/>
  <c r="L197" i="90"/>
  <c r="L198" i="90"/>
  <c r="L199" i="90"/>
  <c r="L200" i="90"/>
  <c r="L201" i="90"/>
  <c r="L202" i="90"/>
  <c r="L203" i="90"/>
  <c r="L204" i="90"/>
  <c r="L205" i="90"/>
  <c r="L206" i="90"/>
  <c r="L207" i="90"/>
  <c r="L208" i="90"/>
  <c r="L209" i="90"/>
  <c r="L210" i="90"/>
  <c r="L211" i="90"/>
  <c r="L212" i="90"/>
  <c r="L213" i="90"/>
  <c r="L214" i="90"/>
  <c r="L215" i="90"/>
  <c r="L216" i="90"/>
  <c r="L217" i="90"/>
  <c r="L218" i="90"/>
  <c r="L219" i="90"/>
  <c r="L220" i="90"/>
  <c r="L221" i="90"/>
  <c r="L222" i="90"/>
  <c r="L223" i="90"/>
  <c r="L224" i="90"/>
  <c r="L225" i="90"/>
  <c r="L226" i="90"/>
  <c r="L227" i="90"/>
  <c r="L228" i="90"/>
  <c r="L229" i="90"/>
  <c r="L230" i="90"/>
  <c r="L231" i="90"/>
  <c r="L232" i="90"/>
  <c r="L233" i="90"/>
  <c r="L234" i="90"/>
  <c r="L235" i="90"/>
  <c r="L236" i="90"/>
  <c r="L237" i="90"/>
  <c r="L238" i="90"/>
  <c r="L239" i="90"/>
  <c r="L240" i="90"/>
  <c r="L241" i="90"/>
  <c r="L242" i="90"/>
  <c r="L243" i="90"/>
  <c r="L244" i="90"/>
  <c r="L245" i="90"/>
  <c r="L246" i="90"/>
  <c r="L247" i="90"/>
  <c r="L248" i="90"/>
  <c r="L249" i="90"/>
  <c r="L250" i="90"/>
  <c r="L251" i="90"/>
  <c r="L252" i="90"/>
  <c r="L253" i="90"/>
  <c r="L254" i="90"/>
  <c r="L255" i="90"/>
  <c r="L256" i="90"/>
  <c r="L257" i="90"/>
  <c r="L258" i="90"/>
  <c r="L259" i="90"/>
  <c r="L260" i="90"/>
  <c r="L261" i="90"/>
  <c r="L262" i="90"/>
  <c r="L263" i="90"/>
  <c r="L264" i="90"/>
  <c r="L265" i="90"/>
  <c r="L266" i="90"/>
  <c r="L267" i="90"/>
  <c r="L268" i="90"/>
  <c r="L269" i="90"/>
  <c r="L270" i="90"/>
  <c r="L271" i="90"/>
  <c r="L272" i="90"/>
  <c r="L273" i="90"/>
  <c r="L274" i="90"/>
  <c r="L275" i="90"/>
  <c r="L276" i="90"/>
  <c r="L277" i="90"/>
  <c r="L278" i="90"/>
  <c r="L279" i="90"/>
  <c r="L280" i="90"/>
  <c r="L281" i="90"/>
  <c r="L282" i="90"/>
  <c r="L283" i="90"/>
  <c r="L284" i="90"/>
  <c r="L285" i="90"/>
  <c r="L286" i="90"/>
  <c r="L287" i="90"/>
  <c r="L288" i="90"/>
  <c r="L289" i="90"/>
  <c r="L290" i="90"/>
  <c r="L291" i="90"/>
  <c r="L292" i="90"/>
  <c r="L293" i="90"/>
  <c r="L294" i="90"/>
  <c r="L295" i="90"/>
  <c r="L296" i="90"/>
  <c r="L297" i="90"/>
  <c r="L298" i="90"/>
  <c r="L299" i="90"/>
  <c r="L300" i="90"/>
  <c r="L301" i="90"/>
  <c r="L302" i="90"/>
  <c r="L303" i="90"/>
  <c r="L304" i="90"/>
  <c r="L305" i="90"/>
  <c r="L306" i="90"/>
  <c r="L307" i="90"/>
  <c r="L308" i="90"/>
  <c r="L309" i="90"/>
  <c r="L310" i="90"/>
  <c r="L311" i="90"/>
  <c r="L312" i="90"/>
  <c r="L313" i="90"/>
  <c r="L314" i="90"/>
  <c r="L315" i="90"/>
  <c r="L316" i="90"/>
  <c r="L317" i="90"/>
  <c r="L318" i="90"/>
  <c r="L319" i="90"/>
  <c r="L320" i="90"/>
  <c r="L321" i="90"/>
  <c r="L322" i="90"/>
  <c r="L323" i="90"/>
  <c r="L324" i="90"/>
  <c r="L325" i="90"/>
  <c r="L326" i="90"/>
  <c r="L327" i="90"/>
  <c r="L328" i="90"/>
  <c r="L329" i="90"/>
  <c r="L330" i="90"/>
  <c r="L331" i="90"/>
  <c r="L332" i="90"/>
  <c r="L333" i="90"/>
  <c r="L334" i="90"/>
  <c r="L335" i="90"/>
  <c r="L336" i="90"/>
  <c r="L337" i="90"/>
  <c r="L338" i="90"/>
  <c r="L339" i="90"/>
  <c r="L340" i="90"/>
  <c r="L341" i="90"/>
  <c r="L342" i="90"/>
  <c r="L343" i="90"/>
  <c r="L344" i="90"/>
  <c r="L345" i="90"/>
  <c r="L346" i="90"/>
  <c r="L347" i="90"/>
  <c r="L348" i="90"/>
  <c r="L349" i="90"/>
  <c r="L350" i="90"/>
  <c r="L351" i="90"/>
  <c r="L352" i="90"/>
  <c r="L353" i="90"/>
  <c r="L354" i="90"/>
  <c r="L355" i="90"/>
  <c r="L356" i="90"/>
  <c r="L357" i="90"/>
  <c r="L358" i="90"/>
  <c r="L359" i="90"/>
  <c r="L360" i="90"/>
  <c r="L361" i="90"/>
  <c r="L362" i="90"/>
  <c r="L363" i="90"/>
  <c r="L364" i="90"/>
  <c r="L365" i="90"/>
  <c r="L366" i="90"/>
  <c r="L367" i="90"/>
  <c r="L368" i="90"/>
  <c r="L369" i="90"/>
  <c r="L370" i="90"/>
  <c r="L371" i="90"/>
  <c r="L372" i="90"/>
  <c r="L373" i="90"/>
  <c r="L374" i="90"/>
  <c r="L375" i="90"/>
  <c r="L376" i="90"/>
  <c r="L377" i="90"/>
  <c r="L378" i="90"/>
  <c r="L379" i="90"/>
  <c r="L380" i="90"/>
  <c r="L381" i="90"/>
  <c r="L382" i="90"/>
  <c r="L383" i="90"/>
  <c r="L384" i="90"/>
  <c r="L385" i="90"/>
  <c r="L386" i="90"/>
  <c r="L387" i="90"/>
  <c r="L388" i="90"/>
  <c r="L389" i="90"/>
  <c r="L390" i="90"/>
  <c r="L391" i="90"/>
  <c r="L392" i="90"/>
  <c r="L393" i="90"/>
  <c r="L394" i="90"/>
  <c r="L395" i="90"/>
  <c r="L396" i="90"/>
  <c r="L397" i="90"/>
  <c r="L398" i="90"/>
  <c r="L399" i="90"/>
  <c r="L400" i="90"/>
  <c r="L401" i="90"/>
  <c r="L402" i="90"/>
  <c r="L403" i="90"/>
  <c r="L404" i="90"/>
  <c r="L405" i="90"/>
  <c r="L406" i="90"/>
  <c r="L407" i="90"/>
  <c r="L408" i="90"/>
  <c r="L409" i="90"/>
  <c r="L410" i="90"/>
  <c r="L411" i="90"/>
  <c r="L412" i="90"/>
  <c r="L413" i="90"/>
  <c r="L414" i="90"/>
  <c r="L415" i="90"/>
  <c r="L416" i="90"/>
  <c r="L417" i="90"/>
  <c r="L418" i="90"/>
  <c r="L419" i="90"/>
  <c r="L420" i="90"/>
  <c r="L421" i="90"/>
  <c r="L422" i="90"/>
  <c r="L423" i="90"/>
  <c r="L424" i="90"/>
  <c r="L425" i="90"/>
  <c r="L426" i="90"/>
  <c r="L427" i="90"/>
  <c r="L428" i="90"/>
  <c r="L429" i="90"/>
  <c r="L430" i="90"/>
  <c r="L431" i="90"/>
  <c r="L432" i="90"/>
  <c r="L433" i="90"/>
  <c r="L434" i="90"/>
  <c r="L435" i="90"/>
  <c r="L436" i="90"/>
  <c r="L437" i="90"/>
  <c r="L438" i="90"/>
  <c r="L439" i="90"/>
  <c r="L440" i="90"/>
  <c r="L441" i="90"/>
  <c r="L442" i="90"/>
  <c r="L443" i="90"/>
  <c r="L444" i="90"/>
  <c r="L445" i="90"/>
  <c r="L446" i="90"/>
  <c r="L447" i="90"/>
  <c r="L448" i="90"/>
  <c r="L449" i="90"/>
  <c r="L450" i="90"/>
  <c r="L451" i="90"/>
  <c r="L452" i="90"/>
  <c r="L453" i="90"/>
  <c r="L454" i="90"/>
  <c r="L455" i="90"/>
  <c r="L456" i="90"/>
  <c r="L457" i="90"/>
  <c r="L458" i="90"/>
  <c r="L459" i="90"/>
  <c r="L460" i="90"/>
  <c r="L461" i="90"/>
  <c r="L462" i="90"/>
  <c r="L463" i="90"/>
  <c r="L464" i="90"/>
  <c r="L465" i="90"/>
  <c r="L466" i="90"/>
  <c r="L467" i="90"/>
  <c r="L468" i="90"/>
  <c r="L469" i="90"/>
  <c r="L470" i="90"/>
  <c r="L471" i="90"/>
  <c r="L472" i="90"/>
  <c r="L473" i="90"/>
  <c r="L474" i="90"/>
  <c r="L475" i="90"/>
  <c r="L476" i="90"/>
  <c r="L477" i="90"/>
  <c r="L37" i="90"/>
  <c r="G20" i="90" l="1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J461" i="90"/>
  <c r="K461" i="90" s="1"/>
  <c r="M461" i="90"/>
  <c r="J462" i="90"/>
  <c r="K462" i="90" s="1"/>
  <c r="M462" i="90"/>
  <c r="J463" i="90"/>
  <c r="K463" i="90" s="1"/>
  <c r="M463" i="90"/>
  <c r="J464" i="90"/>
  <c r="K464" i="90" s="1"/>
  <c r="M464" i="90"/>
  <c r="J465" i="90"/>
  <c r="K465" i="90" s="1"/>
  <c r="M465" i="90"/>
  <c r="J466" i="90"/>
  <c r="K466" i="90" s="1"/>
  <c r="M466" i="90"/>
  <c r="J467" i="90"/>
  <c r="K467" i="90" s="1"/>
  <c r="M467" i="90"/>
  <c r="J468" i="90"/>
  <c r="K468" i="90" s="1"/>
  <c r="M468" i="90"/>
  <c r="J469" i="90"/>
  <c r="K469" i="90" s="1"/>
  <c r="M469" i="90"/>
  <c r="J470" i="90"/>
  <c r="K470" i="90" s="1"/>
  <c r="M470" i="90"/>
  <c r="J471" i="90"/>
  <c r="K471" i="90" s="1"/>
  <c r="M471" i="90"/>
  <c r="J472" i="90"/>
  <c r="K472" i="90" s="1"/>
  <c r="M472" i="90"/>
  <c r="J473" i="90"/>
  <c r="K473" i="90" s="1"/>
  <c r="M473" i="90"/>
  <c r="J474" i="90"/>
  <c r="K474" i="90" s="1"/>
  <c r="M474" i="90"/>
  <c r="J475" i="90"/>
  <c r="K475" i="90" s="1"/>
  <c r="M475" i="90"/>
  <c r="J476" i="90"/>
  <c r="K476" i="90" s="1"/>
  <c r="M476" i="90"/>
  <c r="J477" i="90"/>
  <c r="K477" i="90" s="1"/>
  <c r="M477" i="90"/>
  <c r="M38" i="90" l="1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M73" i="90"/>
  <c r="M74" i="90"/>
  <c r="M75" i="90"/>
  <c r="M76" i="90"/>
  <c r="M77" i="90"/>
  <c r="M78" i="90"/>
  <c r="M79" i="90"/>
  <c r="M80" i="90"/>
  <c r="M81" i="90"/>
  <c r="M82" i="90"/>
  <c r="M83" i="90"/>
  <c r="M84" i="90"/>
  <c r="M85" i="90"/>
  <c r="M86" i="90"/>
  <c r="M87" i="90"/>
  <c r="M88" i="90"/>
  <c r="M89" i="90"/>
  <c r="M90" i="90"/>
  <c r="M91" i="90"/>
  <c r="M92" i="90"/>
  <c r="M93" i="90"/>
  <c r="M94" i="90"/>
  <c r="M95" i="90"/>
  <c r="M96" i="90"/>
  <c r="M97" i="90"/>
  <c r="M98" i="90"/>
  <c r="M99" i="90"/>
  <c r="M100" i="90"/>
  <c r="M101" i="90"/>
  <c r="M102" i="90"/>
  <c r="M103" i="90"/>
  <c r="M104" i="90"/>
  <c r="M105" i="90"/>
  <c r="M106" i="90"/>
  <c r="M107" i="90"/>
  <c r="M108" i="90"/>
  <c r="M109" i="90"/>
  <c r="M110" i="90"/>
  <c r="M111" i="90"/>
  <c r="M112" i="90"/>
  <c r="M113" i="90"/>
  <c r="M114" i="90"/>
  <c r="M115" i="90"/>
  <c r="M116" i="90"/>
  <c r="M117" i="90"/>
  <c r="M118" i="90"/>
  <c r="M119" i="90"/>
  <c r="M120" i="90"/>
  <c r="M121" i="90"/>
  <c r="M122" i="90"/>
  <c r="M123" i="90"/>
  <c r="M124" i="90"/>
  <c r="M125" i="90"/>
  <c r="M126" i="90"/>
  <c r="M127" i="90"/>
  <c r="M128" i="90"/>
  <c r="M129" i="90"/>
  <c r="M130" i="90"/>
  <c r="M131" i="90"/>
  <c r="M132" i="90"/>
  <c r="M133" i="90"/>
  <c r="M134" i="90"/>
  <c r="M135" i="90"/>
  <c r="M136" i="90"/>
  <c r="M137" i="90"/>
  <c r="M138" i="90"/>
  <c r="M139" i="90"/>
  <c r="M140" i="90"/>
  <c r="M141" i="90"/>
  <c r="M142" i="90"/>
  <c r="M143" i="90"/>
  <c r="M144" i="90"/>
  <c r="M145" i="90"/>
  <c r="M146" i="90"/>
  <c r="M147" i="90"/>
  <c r="M148" i="90"/>
  <c r="M149" i="90"/>
  <c r="M150" i="90"/>
  <c r="M151" i="90"/>
  <c r="M152" i="90"/>
  <c r="M153" i="90"/>
  <c r="M154" i="90"/>
  <c r="M155" i="90"/>
  <c r="M156" i="90"/>
  <c r="M157" i="90"/>
  <c r="M158" i="90"/>
  <c r="M159" i="90"/>
  <c r="M160" i="90"/>
  <c r="M161" i="90"/>
  <c r="M162" i="90"/>
  <c r="M163" i="90"/>
  <c r="M164" i="90"/>
  <c r="M165" i="90"/>
  <c r="M166" i="90"/>
  <c r="M167" i="90"/>
  <c r="M168" i="90"/>
  <c r="M169" i="90"/>
  <c r="M170" i="90"/>
  <c r="M171" i="90"/>
  <c r="M172" i="90"/>
  <c r="M173" i="90"/>
  <c r="M174" i="90"/>
  <c r="M175" i="90"/>
  <c r="M176" i="90"/>
  <c r="M177" i="90"/>
  <c r="M178" i="90"/>
  <c r="M179" i="90"/>
  <c r="M180" i="90"/>
  <c r="M181" i="90"/>
  <c r="M182" i="90"/>
  <c r="M183" i="90"/>
  <c r="M184" i="90"/>
  <c r="M185" i="90"/>
  <c r="M186" i="90"/>
  <c r="M187" i="90"/>
  <c r="M188" i="90"/>
  <c r="M189" i="90"/>
  <c r="M190" i="90"/>
  <c r="M191" i="90"/>
  <c r="M192" i="90"/>
  <c r="M193" i="90"/>
  <c r="M194" i="90"/>
  <c r="M195" i="90"/>
  <c r="M196" i="90"/>
  <c r="M197" i="90"/>
  <c r="M198" i="90"/>
  <c r="M199" i="90"/>
  <c r="M200" i="90"/>
  <c r="M201" i="90"/>
  <c r="M202" i="90"/>
  <c r="M203" i="90"/>
  <c r="M204" i="90"/>
  <c r="M205" i="90"/>
  <c r="M206" i="90"/>
  <c r="M207" i="90"/>
  <c r="M208" i="90"/>
  <c r="M209" i="90"/>
  <c r="M210" i="90"/>
  <c r="M211" i="90"/>
  <c r="M212" i="90"/>
  <c r="M213" i="90"/>
  <c r="M214" i="90"/>
  <c r="M215" i="90"/>
  <c r="M216" i="90"/>
  <c r="M217" i="90"/>
  <c r="M218" i="90"/>
  <c r="M219" i="90"/>
  <c r="M220" i="90"/>
  <c r="M221" i="90"/>
  <c r="M222" i="90"/>
  <c r="M223" i="90"/>
  <c r="M224" i="90"/>
  <c r="M225" i="90"/>
  <c r="M226" i="90"/>
  <c r="M227" i="90"/>
  <c r="M228" i="90"/>
  <c r="M229" i="90"/>
  <c r="M230" i="90"/>
  <c r="M231" i="90"/>
  <c r="M232" i="90"/>
  <c r="M233" i="90"/>
  <c r="M234" i="90"/>
  <c r="M235" i="90"/>
  <c r="M236" i="90"/>
  <c r="M237" i="90"/>
  <c r="M238" i="90"/>
  <c r="M239" i="90"/>
  <c r="M240" i="90"/>
  <c r="M241" i="90"/>
  <c r="M242" i="90"/>
  <c r="M243" i="90"/>
  <c r="M244" i="90"/>
  <c r="M245" i="90"/>
  <c r="M246" i="90"/>
  <c r="M247" i="90"/>
  <c r="M248" i="90"/>
  <c r="M249" i="90"/>
  <c r="M250" i="90"/>
  <c r="M251" i="90"/>
  <c r="M252" i="90"/>
  <c r="M253" i="90"/>
  <c r="M254" i="90"/>
  <c r="M255" i="90"/>
  <c r="M256" i="90"/>
  <c r="M257" i="90"/>
  <c r="M258" i="90"/>
  <c r="M259" i="90"/>
  <c r="M260" i="90"/>
  <c r="M261" i="90"/>
  <c r="M262" i="90"/>
  <c r="M263" i="90"/>
  <c r="M264" i="90"/>
  <c r="M265" i="90"/>
  <c r="M266" i="90"/>
  <c r="M267" i="90"/>
  <c r="M268" i="90"/>
  <c r="M269" i="90"/>
  <c r="M270" i="90"/>
  <c r="M271" i="90"/>
  <c r="M272" i="90"/>
  <c r="M273" i="90"/>
  <c r="M274" i="90"/>
  <c r="M275" i="90"/>
  <c r="M276" i="90"/>
  <c r="M277" i="90"/>
  <c r="M278" i="90"/>
  <c r="M279" i="90"/>
  <c r="M280" i="90"/>
  <c r="M281" i="90"/>
  <c r="M282" i="90"/>
  <c r="M283" i="90"/>
  <c r="M284" i="90"/>
  <c r="M285" i="90"/>
  <c r="M286" i="90"/>
  <c r="M287" i="90"/>
  <c r="M288" i="90"/>
  <c r="M289" i="90"/>
  <c r="M290" i="90"/>
  <c r="M291" i="90"/>
  <c r="M292" i="90"/>
  <c r="M293" i="90"/>
  <c r="M294" i="90"/>
  <c r="M295" i="90"/>
  <c r="M296" i="90"/>
  <c r="M297" i="90"/>
  <c r="M298" i="90"/>
  <c r="M299" i="90"/>
  <c r="M300" i="90"/>
  <c r="M301" i="90"/>
  <c r="M302" i="90"/>
  <c r="M303" i="90"/>
  <c r="M304" i="90"/>
  <c r="M305" i="90"/>
  <c r="M306" i="90"/>
  <c r="M307" i="90"/>
  <c r="M308" i="90"/>
  <c r="M309" i="90"/>
  <c r="M310" i="90"/>
  <c r="M311" i="90"/>
  <c r="M312" i="90"/>
  <c r="M313" i="90"/>
  <c r="M314" i="90"/>
  <c r="M315" i="90"/>
  <c r="M316" i="90"/>
  <c r="M317" i="90"/>
  <c r="M318" i="90"/>
  <c r="M319" i="90"/>
  <c r="M320" i="90"/>
  <c r="M321" i="90"/>
  <c r="M322" i="90"/>
  <c r="M323" i="90"/>
  <c r="M324" i="90"/>
  <c r="M325" i="90"/>
  <c r="M326" i="90"/>
  <c r="M327" i="90"/>
  <c r="M328" i="90"/>
  <c r="M329" i="90"/>
  <c r="M330" i="90"/>
  <c r="M331" i="90"/>
  <c r="M332" i="90"/>
  <c r="M333" i="90"/>
  <c r="M334" i="90"/>
  <c r="M335" i="90"/>
  <c r="M336" i="90"/>
  <c r="M337" i="90"/>
  <c r="M338" i="90"/>
  <c r="M339" i="90"/>
  <c r="M340" i="90"/>
  <c r="M341" i="90"/>
  <c r="M342" i="90"/>
  <c r="M343" i="90"/>
  <c r="M344" i="90"/>
  <c r="M345" i="90"/>
  <c r="M346" i="90"/>
  <c r="M347" i="90"/>
  <c r="M348" i="90"/>
  <c r="M349" i="90"/>
  <c r="M350" i="90"/>
  <c r="M351" i="90"/>
  <c r="M352" i="90"/>
  <c r="M353" i="90"/>
  <c r="M354" i="90"/>
  <c r="M355" i="90"/>
  <c r="M356" i="90"/>
  <c r="M357" i="90"/>
  <c r="M358" i="90"/>
  <c r="M359" i="90"/>
  <c r="M360" i="90"/>
  <c r="M361" i="90"/>
  <c r="M362" i="90"/>
  <c r="M363" i="90"/>
  <c r="M364" i="90"/>
  <c r="M365" i="90"/>
  <c r="M366" i="90"/>
  <c r="M367" i="90"/>
  <c r="M368" i="90"/>
  <c r="M369" i="90"/>
  <c r="M370" i="90"/>
  <c r="M371" i="90"/>
  <c r="M372" i="90"/>
  <c r="M373" i="90"/>
  <c r="M374" i="90"/>
  <c r="M375" i="90"/>
  <c r="M376" i="90"/>
  <c r="M377" i="90"/>
  <c r="M378" i="90"/>
  <c r="M379" i="90"/>
  <c r="M380" i="90"/>
  <c r="M381" i="90"/>
  <c r="M382" i="90"/>
  <c r="M383" i="90"/>
  <c r="M384" i="90"/>
  <c r="M385" i="90"/>
  <c r="M386" i="90"/>
  <c r="M387" i="90"/>
  <c r="M388" i="90"/>
  <c r="M389" i="90"/>
  <c r="M390" i="90"/>
  <c r="M391" i="90"/>
  <c r="M392" i="90"/>
  <c r="M393" i="90"/>
  <c r="M394" i="90"/>
  <c r="M395" i="90"/>
  <c r="M396" i="90"/>
  <c r="M397" i="90"/>
  <c r="M398" i="90"/>
  <c r="M399" i="90"/>
  <c r="M400" i="90"/>
  <c r="M401" i="90"/>
  <c r="M402" i="90"/>
  <c r="M403" i="90"/>
  <c r="M404" i="90"/>
  <c r="M405" i="90"/>
  <c r="M406" i="90"/>
  <c r="M407" i="90"/>
  <c r="M408" i="90"/>
  <c r="M409" i="90"/>
  <c r="M410" i="90"/>
  <c r="M411" i="90"/>
  <c r="M412" i="90"/>
  <c r="M413" i="90"/>
  <c r="M414" i="90"/>
  <c r="M415" i="90"/>
  <c r="M416" i="90"/>
  <c r="M417" i="90"/>
  <c r="M418" i="90"/>
  <c r="M419" i="90"/>
  <c r="M420" i="90"/>
  <c r="M421" i="90"/>
  <c r="M422" i="90"/>
  <c r="M423" i="90"/>
  <c r="M424" i="90"/>
  <c r="M425" i="90"/>
  <c r="M426" i="90"/>
  <c r="M427" i="90"/>
  <c r="M428" i="90"/>
  <c r="M429" i="90"/>
  <c r="M430" i="90"/>
  <c r="M431" i="90"/>
  <c r="M432" i="90"/>
  <c r="M433" i="90"/>
  <c r="M434" i="90"/>
  <c r="M435" i="90"/>
  <c r="M436" i="90"/>
  <c r="M437" i="90"/>
  <c r="M438" i="90"/>
  <c r="M439" i="90"/>
  <c r="M440" i="90"/>
  <c r="M441" i="90"/>
  <c r="M442" i="90"/>
  <c r="M443" i="90"/>
  <c r="M444" i="90"/>
  <c r="M445" i="90"/>
  <c r="M446" i="90"/>
  <c r="M447" i="90"/>
  <c r="M448" i="90"/>
  <c r="M449" i="90"/>
  <c r="M450" i="90"/>
  <c r="M451" i="90"/>
  <c r="M452" i="90"/>
  <c r="M453" i="90"/>
  <c r="M454" i="90"/>
  <c r="M455" i="90"/>
  <c r="M456" i="90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O43" i="89" s="1"/>
  <c r="P10" i="89"/>
  <c r="P11" i="89"/>
  <c r="P12" i="89"/>
  <c r="P13" i="89"/>
  <c r="O95" i="89" s="1"/>
  <c r="P14" i="89"/>
  <c r="P15" i="89"/>
  <c r="P16" i="89"/>
  <c r="P17" i="89"/>
  <c r="O151" i="89" s="1"/>
  <c r="P18" i="89"/>
  <c r="P19" i="89"/>
  <c r="P20" i="89"/>
  <c r="P21" i="89"/>
  <c r="O220" i="89" s="1"/>
  <c r="P22" i="89"/>
  <c r="P7" i="89"/>
  <c r="O7" i="89"/>
  <c r="O208" i="89" l="1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37" i="89" l="1"/>
  <c r="T38" i="89"/>
  <c r="T39" i="89"/>
  <c r="T40" i="89"/>
  <c r="T41" i="89"/>
  <c r="T42" i="89"/>
  <c r="T43" i="89"/>
  <c r="T44" i="89"/>
  <c r="T45" i="89"/>
  <c r="T46" i="89"/>
  <c r="T47" i="89"/>
  <c r="T48" i="89"/>
  <c r="T49" i="89"/>
  <c r="T50" i="89"/>
  <c r="T51" i="89"/>
  <c r="T52" i="89"/>
  <c r="T53" i="89"/>
  <c r="T54" i="89"/>
  <c r="T55" i="89"/>
  <c r="T36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D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D9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E5" i="84"/>
  <c r="E6" i="84"/>
  <c r="E7" i="84"/>
  <c r="E8" i="84"/>
  <c r="E9" i="84"/>
  <c r="E10" i="84"/>
  <c r="E11" i="84"/>
  <c r="E12" i="84"/>
  <c r="E13" i="84"/>
  <c r="E14" i="84"/>
  <c r="E15" i="84"/>
  <c r="E16" i="84"/>
  <c r="E17" i="84"/>
  <c r="E18" i="84"/>
  <c r="E19" i="84"/>
  <c r="E4" i="84"/>
  <c r="R11" i="86"/>
  <c r="R15" i="86"/>
  <c r="R19" i="86"/>
  <c r="R23" i="86"/>
  <c r="R27" i="86"/>
  <c r="R31" i="86"/>
  <c r="R35" i="86"/>
  <c r="V13" i="86" s="1"/>
  <c r="R4" i="86"/>
  <c r="P5" i="86"/>
  <c r="R5" i="86" s="1"/>
  <c r="P6" i="86"/>
  <c r="R6" i="86" s="1"/>
  <c r="P7" i="86"/>
  <c r="R7" i="86" s="1"/>
  <c r="V8" i="86" s="1"/>
  <c r="P8" i="86"/>
  <c r="R8" i="86" s="1"/>
  <c r="P9" i="86"/>
  <c r="R9" i="86" s="1"/>
  <c r="P10" i="86"/>
  <c r="R10" i="86" s="1"/>
  <c r="P11" i="86"/>
  <c r="P12" i="86"/>
  <c r="R12" i="86" s="1"/>
  <c r="P13" i="86"/>
  <c r="R13" i="86" s="1"/>
  <c r="V9" i="86" s="1"/>
  <c r="P14" i="86"/>
  <c r="R14" i="86" s="1"/>
  <c r="P15" i="86"/>
  <c r="P16" i="86"/>
  <c r="R16" i="86" s="1"/>
  <c r="P17" i="86"/>
  <c r="R17" i="86" s="1"/>
  <c r="P18" i="86"/>
  <c r="R18" i="86" s="1"/>
  <c r="P19" i="86"/>
  <c r="P20" i="86"/>
  <c r="R20" i="86" s="1"/>
  <c r="P21" i="86"/>
  <c r="R21" i="86" s="1"/>
  <c r="P22" i="86"/>
  <c r="R22" i="86" s="1"/>
  <c r="P23" i="86"/>
  <c r="P24" i="86"/>
  <c r="R24" i="86" s="1"/>
  <c r="P25" i="86"/>
  <c r="R25" i="86" s="1"/>
  <c r="P26" i="86"/>
  <c r="R26" i="86" s="1"/>
  <c r="P27" i="86"/>
  <c r="P28" i="86"/>
  <c r="R28" i="86" s="1"/>
  <c r="P29" i="86"/>
  <c r="R29" i="86" s="1"/>
  <c r="P30" i="86"/>
  <c r="R30" i="86" s="1"/>
  <c r="P31" i="86"/>
  <c r="P32" i="86"/>
  <c r="R32" i="86" s="1"/>
  <c r="V12" i="86" s="1"/>
  <c r="P33" i="86"/>
  <c r="R33" i="86" s="1"/>
  <c r="P34" i="86"/>
  <c r="R34" i="86" s="1"/>
  <c r="P35" i="86"/>
  <c r="P36" i="86"/>
  <c r="R36" i="86" s="1"/>
  <c r="P37" i="86"/>
  <c r="R37" i="86" s="1"/>
  <c r="P38" i="86"/>
  <c r="R38" i="86" s="1"/>
  <c r="V14" i="86" s="1"/>
  <c r="P4" i="86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B5" i="88"/>
  <c r="M5" i="88" s="1"/>
  <c r="B4" i="88"/>
  <c r="M4" i="88" s="1"/>
  <c r="V11" i="86" l="1"/>
  <c r="V10" i="86"/>
  <c r="V15" i="86"/>
  <c r="V17" i="86"/>
  <c r="V16" i="86"/>
  <c r="V18" i="86"/>
  <c r="Q49" i="90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5" i="81"/>
  <c r="O126" i="81"/>
  <c r="O127" i="81"/>
  <c r="O128" i="81"/>
  <c r="O129" i="81"/>
  <c r="O130" i="81"/>
  <c r="O131" i="81"/>
  <c r="O132" i="81"/>
  <c r="O133" i="81"/>
  <c r="O124" i="81"/>
  <c r="N122" i="81"/>
  <c r="O112" i="81"/>
  <c r="O113" i="81"/>
  <c r="O114" i="81"/>
  <c r="O115" i="81"/>
  <c r="O116" i="81"/>
  <c r="O117" i="81"/>
  <c r="O118" i="81"/>
  <c r="O119" i="81"/>
  <c r="O120" i="81"/>
  <c r="O111" i="81"/>
  <c r="N109" i="81"/>
  <c r="O99" i="81"/>
  <c r="O100" i="81"/>
  <c r="O101" i="81"/>
  <c r="O102" i="81"/>
  <c r="O103" i="81"/>
  <c r="O104" i="81"/>
  <c r="O105" i="81"/>
  <c r="O106" i="81"/>
  <c r="O107" i="81"/>
  <c r="O98" i="81"/>
  <c r="O86" i="81"/>
  <c r="O87" i="81"/>
  <c r="O88" i="81"/>
  <c r="O89" i="81"/>
  <c r="O90" i="81"/>
  <c r="O91" i="81"/>
  <c r="O92" i="81"/>
  <c r="O93" i="81"/>
  <c r="O94" i="81"/>
  <c r="O85" i="81"/>
  <c r="N96" i="81"/>
  <c r="N83" i="81"/>
  <c r="O72" i="81"/>
  <c r="O73" i="81"/>
  <c r="O74" i="81"/>
  <c r="O75" i="81"/>
  <c r="O76" i="81"/>
  <c r="O77" i="81"/>
  <c r="O78" i="81"/>
  <c r="O79" i="81"/>
  <c r="O80" i="81"/>
  <c r="O71" i="81"/>
  <c r="N69" i="81"/>
  <c r="O59" i="81"/>
  <c r="O61" i="81"/>
  <c r="O62" i="81"/>
  <c r="O65" i="81"/>
  <c r="O66" i="81"/>
  <c r="O57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M103" i="83"/>
  <c r="M102" i="83"/>
  <c r="M101" i="83"/>
  <c r="M100" i="83"/>
  <c r="M99" i="83"/>
  <c r="M98" i="83"/>
  <c r="M97" i="83"/>
  <c r="M96" i="83"/>
  <c r="M95" i="83"/>
  <c r="M94" i="83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L125" i="81" s="1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L72" i="81" s="1"/>
  <c r="M19" i="83"/>
  <c r="M18" i="83"/>
  <c r="M17" i="83"/>
  <c r="M16" i="83"/>
  <c r="M15" i="83"/>
  <c r="M14" i="83"/>
  <c r="M13" i="83"/>
  <c r="M12" i="83"/>
  <c r="L59" i="81" s="1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AZ11" i="82"/>
  <c r="AZ15" i="82"/>
  <c r="AZ19" i="82"/>
  <c r="AZ23" i="82"/>
  <c r="AZ27" i="82"/>
  <c r="AZ31" i="82"/>
  <c r="AZ51" i="82"/>
  <c r="AZ55" i="82"/>
  <c r="AZ59" i="82"/>
  <c r="AZ63" i="82"/>
  <c r="AZ67" i="82"/>
  <c r="AZ71" i="82"/>
  <c r="AZ75" i="82"/>
  <c r="AZ79" i="82"/>
  <c r="AZ83" i="82"/>
  <c r="AZ87" i="82"/>
  <c r="AZ91" i="82"/>
  <c r="AZ111" i="82"/>
  <c r="AZ115" i="82"/>
  <c r="AZ119" i="82"/>
  <c r="AZ123" i="82"/>
  <c r="AZ127" i="82"/>
  <c r="AZ131" i="82"/>
  <c r="AZ135" i="82"/>
  <c r="AZ139" i="82"/>
  <c r="AZ143" i="82"/>
  <c r="AZ147" i="82"/>
  <c r="AZ151" i="82"/>
  <c r="AZ171" i="82"/>
  <c r="AZ175" i="82"/>
  <c r="AZ179" i="82"/>
  <c r="AZ183" i="82"/>
  <c r="AZ187" i="82"/>
  <c r="AZ191" i="82"/>
  <c r="AZ195" i="82"/>
  <c r="AZ199" i="82"/>
  <c r="AR76" i="82"/>
  <c r="AR95" i="82"/>
  <c r="AR132" i="82"/>
  <c r="AR151" i="82"/>
  <c r="AR193" i="82"/>
  <c r="Y20" i="82"/>
  <c r="AZ188" i="82" s="1"/>
  <c r="Y19" i="82"/>
  <c r="AZ172" i="82" s="1"/>
  <c r="Y18" i="82"/>
  <c r="AZ156" i="82" s="1"/>
  <c r="Y17" i="82"/>
  <c r="AZ140" i="82" s="1"/>
  <c r="Y16" i="82"/>
  <c r="AZ128" i="82" s="1"/>
  <c r="Y15" i="82"/>
  <c r="AZ112" i="82" s="1"/>
  <c r="Y14" i="82"/>
  <c r="AZ96" i="82" s="1"/>
  <c r="Y13" i="82"/>
  <c r="AZ80" i="82" s="1"/>
  <c r="Y12" i="82"/>
  <c r="AZ68" i="82" s="1"/>
  <c r="Y11" i="82"/>
  <c r="AZ52" i="82" s="1"/>
  <c r="Y10" i="82"/>
  <c r="AZ36" i="82" s="1"/>
  <c r="Y9" i="82"/>
  <c r="AZ28" i="82" s="1"/>
  <c r="Y8" i="82"/>
  <c r="AZ20" i="82" s="1"/>
  <c r="Y7" i="82"/>
  <c r="AZ12" i="82" s="1"/>
  <c r="Y6" i="82"/>
  <c r="AZ7" i="82" s="1"/>
  <c r="R6" i="82"/>
  <c r="P7" i="82"/>
  <c r="AS18" i="82" s="1"/>
  <c r="P11" i="82"/>
  <c r="AS57" i="82" s="1"/>
  <c r="P15" i="82"/>
  <c r="AS114" i="82" s="1"/>
  <c r="P19" i="82"/>
  <c r="AS172" i="82" s="1"/>
  <c r="N7" i="82"/>
  <c r="AR19" i="82" s="1"/>
  <c r="N8" i="82"/>
  <c r="AR24" i="82" s="1"/>
  <c r="N9" i="82"/>
  <c r="AR35" i="82" s="1"/>
  <c r="N10" i="82"/>
  <c r="AR44" i="82" s="1"/>
  <c r="N11" i="82"/>
  <c r="N12" i="82"/>
  <c r="AR72" i="82" s="1"/>
  <c r="N13" i="82"/>
  <c r="AR83" i="82" s="1"/>
  <c r="N14" i="82"/>
  <c r="AR100" i="82" s="1"/>
  <c r="N15" i="82"/>
  <c r="AR115" i="82" s="1"/>
  <c r="N16" i="82"/>
  <c r="AR128" i="82" s="1"/>
  <c r="N17" i="82"/>
  <c r="AR147" i="82" s="1"/>
  <c r="N18" i="82"/>
  <c r="AR156" i="82" s="1"/>
  <c r="N19" i="82"/>
  <c r="AR174" i="82" s="1"/>
  <c r="N20" i="82"/>
  <c r="AR186" i="82" s="1"/>
  <c r="N6" i="82"/>
  <c r="AR11" i="82" s="1"/>
  <c r="AJ6" i="82"/>
  <c r="AJ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87" i="82"/>
  <c r="AJ88" i="82"/>
  <c r="AJ89" i="82"/>
  <c r="AJ90" i="82"/>
  <c r="AJ91" i="82"/>
  <c r="AJ92" i="82"/>
  <c r="AJ93" i="82"/>
  <c r="AJ94" i="82"/>
  <c r="AJ95" i="82"/>
  <c r="AJ96" i="82"/>
  <c r="AJ97" i="82"/>
  <c r="AJ98" i="82"/>
  <c r="AJ99" i="82"/>
  <c r="AJ100" i="82"/>
  <c r="AJ101" i="82"/>
  <c r="AJ102" i="82"/>
  <c r="AJ103" i="82"/>
  <c r="AJ104" i="82"/>
  <c r="AJ105" i="82"/>
  <c r="AJ106" i="82"/>
  <c r="AJ107" i="82"/>
  <c r="AJ108" i="82"/>
  <c r="AJ109" i="82"/>
  <c r="AJ110" i="82"/>
  <c r="AJ111" i="82"/>
  <c r="AJ112" i="82"/>
  <c r="AJ113" i="82"/>
  <c r="AJ114" i="82"/>
  <c r="AJ115" i="82"/>
  <c r="AJ116" i="82"/>
  <c r="AJ117" i="82"/>
  <c r="AJ118" i="82"/>
  <c r="AJ119" i="82"/>
  <c r="AJ120" i="82"/>
  <c r="AJ121" i="82"/>
  <c r="AJ122" i="82"/>
  <c r="AJ123" i="82"/>
  <c r="AJ124" i="82"/>
  <c r="AJ125" i="82"/>
  <c r="AJ126" i="82"/>
  <c r="AJ127" i="82"/>
  <c r="AJ128" i="82"/>
  <c r="AJ129" i="82"/>
  <c r="AJ130" i="82"/>
  <c r="AJ131" i="82"/>
  <c r="AJ132" i="82"/>
  <c r="AJ133" i="82"/>
  <c r="AJ134" i="82"/>
  <c r="AJ135" i="82"/>
  <c r="AJ136" i="82"/>
  <c r="AJ137" i="82"/>
  <c r="AJ138" i="82"/>
  <c r="AJ139" i="82"/>
  <c r="AJ140" i="82"/>
  <c r="AJ141" i="82"/>
  <c r="AJ142" i="82"/>
  <c r="AJ143" i="82"/>
  <c r="AJ144" i="82"/>
  <c r="AJ145" i="82"/>
  <c r="AJ146" i="82"/>
  <c r="AJ147" i="82"/>
  <c r="AJ148" i="82"/>
  <c r="AJ149" i="82"/>
  <c r="AJ150" i="82"/>
  <c r="AJ151" i="82"/>
  <c r="AJ152" i="82"/>
  <c r="AJ153" i="82"/>
  <c r="AJ154" i="82"/>
  <c r="AJ155" i="82"/>
  <c r="AJ156" i="82"/>
  <c r="AJ157" i="82"/>
  <c r="AJ158" i="82"/>
  <c r="AJ159" i="82"/>
  <c r="AJ160" i="82"/>
  <c r="AJ161" i="82"/>
  <c r="AJ162" i="82"/>
  <c r="AJ163" i="82"/>
  <c r="AJ164" i="82"/>
  <c r="AJ165" i="82"/>
  <c r="AJ166" i="82"/>
  <c r="AJ167" i="82"/>
  <c r="AJ168" i="82"/>
  <c r="AJ169" i="82"/>
  <c r="AJ170" i="82"/>
  <c r="AJ171" i="82"/>
  <c r="AJ172" i="82"/>
  <c r="AJ173" i="82"/>
  <c r="AJ174" i="82"/>
  <c r="AJ175" i="82"/>
  <c r="AJ176" i="82"/>
  <c r="AJ177" i="82"/>
  <c r="AJ178" i="82"/>
  <c r="AJ179" i="82"/>
  <c r="AJ180" i="82"/>
  <c r="AJ181" i="82"/>
  <c r="AJ182" i="82"/>
  <c r="AJ183" i="82"/>
  <c r="AJ184" i="82"/>
  <c r="AJ185" i="82"/>
  <c r="AJ186" i="82"/>
  <c r="AJ187" i="82"/>
  <c r="AJ188" i="82"/>
  <c r="AJ189" i="82"/>
  <c r="AJ190" i="82"/>
  <c r="AJ191" i="82"/>
  <c r="AJ192" i="82"/>
  <c r="AJ193" i="82"/>
  <c r="AJ194" i="82"/>
  <c r="AJ195" i="82"/>
  <c r="AJ196" i="82"/>
  <c r="AJ197" i="82"/>
  <c r="AJ198" i="82"/>
  <c r="AJ199" i="82"/>
  <c r="AJ200" i="82"/>
  <c r="AJ201" i="82"/>
  <c r="AJ202" i="82"/>
  <c r="AJ203" i="82"/>
  <c r="AJ204" i="82"/>
  <c r="AJ205" i="82"/>
  <c r="AJ206" i="82"/>
  <c r="AJ207" i="82"/>
  <c r="AJ208" i="82"/>
  <c r="AJ209" i="82"/>
  <c r="AJ210" i="82"/>
  <c r="AJ211" i="82"/>
  <c r="AJ5" i="82"/>
  <c r="AA7" i="82"/>
  <c r="BA12" i="82" s="1"/>
  <c r="AA8" i="82"/>
  <c r="BA20" i="82" s="1"/>
  <c r="AA9" i="82"/>
  <c r="BA28" i="82" s="1"/>
  <c r="AA10" i="82"/>
  <c r="BA36" i="82" s="1"/>
  <c r="AA11" i="82"/>
  <c r="BA52" i="82" s="1"/>
  <c r="AA12" i="82"/>
  <c r="BA68" i="82" s="1"/>
  <c r="AA13" i="82"/>
  <c r="BA80" i="82" s="1"/>
  <c r="P14" i="82"/>
  <c r="F16" i="82"/>
  <c r="AA17" i="82"/>
  <c r="BA140" i="82" s="1"/>
  <c r="AA18" i="82"/>
  <c r="BA156" i="82" s="1"/>
  <c r="AA19" i="82"/>
  <c r="BA170" i="82" s="1"/>
  <c r="AA20" i="82"/>
  <c r="BA188" i="82" s="1"/>
  <c r="P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6" i="82"/>
  <c r="R14" i="82" l="1"/>
  <c r="T14" i="82"/>
  <c r="F12" i="88" s="1"/>
  <c r="AE14" i="82"/>
  <c r="H13" i="88" s="1"/>
  <c r="O16" i="89"/>
  <c r="AR166" i="82"/>
  <c r="AZ167" i="82"/>
  <c r="AZ159" i="82"/>
  <c r="AZ103" i="82"/>
  <c r="AZ39" i="82"/>
  <c r="AC17" i="82"/>
  <c r="BB140" i="82" s="1"/>
  <c r="T17" i="82"/>
  <c r="F15" i="88" s="1"/>
  <c r="AE17" i="82"/>
  <c r="H16" i="88" s="1"/>
  <c r="O19" i="89"/>
  <c r="AC13" i="82"/>
  <c r="BB80" i="82" s="1"/>
  <c r="T13" i="82"/>
  <c r="F11" i="88" s="1"/>
  <c r="AE13" i="82"/>
  <c r="H12" i="88" s="1"/>
  <c r="O15" i="89"/>
  <c r="AC9" i="82"/>
  <c r="BB30" i="82" s="1"/>
  <c r="T9" i="82"/>
  <c r="F7" i="88" s="1"/>
  <c r="AE9" i="82"/>
  <c r="H8" i="88" s="1"/>
  <c r="O11" i="89"/>
  <c r="R17" i="82"/>
  <c r="AR189" i="82"/>
  <c r="AR164" i="82"/>
  <c r="AR148" i="82"/>
  <c r="AR108" i="82"/>
  <c r="AR92" i="82"/>
  <c r="AR68" i="82"/>
  <c r="AR36" i="82"/>
  <c r="AZ198" i="82"/>
  <c r="AZ194" i="82"/>
  <c r="AZ190" i="82"/>
  <c r="AZ186" i="82"/>
  <c r="AZ182" i="82"/>
  <c r="AZ178" i="82"/>
  <c r="AZ174" i="82"/>
  <c r="AZ170" i="82"/>
  <c r="AZ166" i="82"/>
  <c r="AZ162" i="82"/>
  <c r="AZ158" i="82"/>
  <c r="AZ154" i="82"/>
  <c r="AZ150" i="82"/>
  <c r="AZ146" i="82"/>
  <c r="AZ142" i="82"/>
  <c r="AZ138" i="82"/>
  <c r="AZ134" i="82"/>
  <c r="AZ130" i="82"/>
  <c r="AZ126" i="82"/>
  <c r="AZ122" i="82"/>
  <c r="AZ118" i="82"/>
  <c r="AZ114" i="82"/>
  <c r="AZ110" i="82"/>
  <c r="AZ106" i="82"/>
  <c r="AZ102" i="82"/>
  <c r="AZ98" i="82"/>
  <c r="AZ94" i="82"/>
  <c r="AZ90" i="82"/>
  <c r="AZ86" i="82"/>
  <c r="AZ82" i="82"/>
  <c r="AZ78" i="82"/>
  <c r="AZ74" i="82"/>
  <c r="AZ70" i="82"/>
  <c r="AZ66" i="82"/>
  <c r="AZ62" i="82"/>
  <c r="AZ58" i="82"/>
  <c r="AZ54" i="82"/>
  <c r="AZ50" i="82"/>
  <c r="AZ46" i="82"/>
  <c r="AZ42" i="82"/>
  <c r="AZ38" i="82"/>
  <c r="AZ34" i="82"/>
  <c r="AZ30" i="82"/>
  <c r="AZ26" i="82"/>
  <c r="AZ22" i="82"/>
  <c r="AZ18" i="82"/>
  <c r="AZ14" i="82"/>
  <c r="L31" i="81" s="1"/>
  <c r="R18" i="82"/>
  <c r="AE18" i="82"/>
  <c r="H17" i="88" s="1"/>
  <c r="T18" i="82"/>
  <c r="F16" i="88" s="1"/>
  <c r="O20" i="89"/>
  <c r="AZ155" i="82"/>
  <c r="AZ99" i="82"/>
  <c r="AZ43" i="82"/>
  <c r="R20" i="82"/>
  <c r="AT191" i="82" s="1"/>
  <c r="AE20" i="82"/>
  <c r="T20" i="82"/>
  <c r="F18" i="88" s="1"/>
  <c r="O22" i="89"/>
  <c r="AC16" i="82"/>
  <c r="BB126" i="82" s="1"/>
  <c r="AE16" i="82"/>
  <c r="H15" i="88" s="1"/>
  <c r="T16" i="82"/>
  <c r="F14" i="88" s="1"/>
  <c r="O18" i="89"/>
  <c r="AC12" i="82"/>
  <c r="BB66" i="82" s="1"/>
  <c r="AE12" i="82"/>
  <c r="H11" i="88" s="1"/>
  <c r="T12" i="82"/>
  <c r="F10" i="88" s="1"/>
  <c r="O14" i="89"/>
  <c r="AC8" i="82"/>
  <c r="BB21" i="82" s="1"/>
  <c r="AE8" i="82"/>
  <c r="H7" i="88" s="1"/>
  <c r="T8" i="82"/>
  <c r="F6" i="88" s="1"/>
  <c r="O10" i="89"/>
  <c r="R13" i="82"/>
  <c r="AT90" i="82" s="1"/>
  <c r="AR170" i="82"/>
  <c r="AR159" i="82"/>
  <c r="AR143" i="82"/>
  <c r="AR103" i="82"/>
  <c r="AR87" i="82"/>
  <c r="AR47" i="82"/>
  <c r="AR31" i="82"/>
  <c r="AZ197" i="82"/>
  <c r="AZ193" i="82"/>
  <c r="AZ189" i="82"/>
  <c r="AZ185" i="82"/>
  <c r="AZ181" i="82"/>
  <c r="AZ177" i="82"/>
  <c r="AZ173" i="82"/>
  <c r="AZ169" i="82"/>
  <c r="AZ165" i="82"/>
  <c r="AZ161" i="82"/>
  <c r="AZ157" i="82"/>
  <c r="AZ153" i="82"/>
  <c r="AZ149" i="82"/>
  <c r="AZ145" i="82"/>
  <c r="AZ141" i="82"/>
  <c r="AZ137" i="82"/>
  <c r="AZ133" i="82"/>
  <c r="AZ129" i="82"/>
  <c r="AZ125" i="82"/>
  <c r="AZ121" i="82"/>
  <c r="AZ117" i="82"/>
  <c r="AZ113" i="82"/>
  <c r="AZ109" i="82"/>
  <c r="AZ105" i="82"/>
  <c r="AZ101" i="82"/>
  <c r="AZ97" i="82"/>
  <c r="AZ93" i="82"/>
  <c r="AZ89" i="82"/>
  <c r="AZ85" i="82"/>
  <c r="AZ81" i="82"/>
  <c r="AZ77" i="82"/>
  <c r="AZ73" i="82"/>
  <c r="AZ69" i="82"/>
  <c r="AZ65" i="82"/>
  <c r="AZ61" i="82"/>
  <c r="AZ57" i="82"/>
  <c r="AZ53" i="82"/>
  <c r="AZ49" i="82"/>
  <c r="AZ45" i="82"/>
  <c r="AZ41" i="82"/>
  <c r="AZ37" i="82"/>
  <c r="AZ33" i="82"/>
  <c r="AZ29" i="82"/>
  <c r="AZ25" i="82"/>
  <c r="AZ21" i="82"/>
  <c r="AZ17" i="82"/>
  <c r="AZ13" i="82"/>
  <c r="R10" i="82"/>
  <c r="AE10" i="82"/>
  <c r="H9" i="88" s="1"/>
  <c r="T10" i="82"/>
  <c r="F8" i="88" s="1"/>
  <c r="O12" i="89"/>
  <c r="AR39" i="82"/>
  <c r="AZ163" i="82"/>
  <c r="AZ107" i="82"/>
  <c r="AZ95" i="82"/>
  <c r="AZ47" i="82"/>
  <c r="AZ35" i="82"/>
  <c r="AC6" i="82"/>
  <c r="BB5" i="82" s="1"/>
  <c r="T6" i="82"/>
  <c r="F4" i="88" s="1"/>
  <c r="AE6" i="82"/>
  <c r="H5" i="88" s="1"/>
  <c r="O8" i="89"/>
  <c r="R19" i="82"/>
  <c r="T19" i="82"/>
  <c r="F17" i="88" s="1"/>
  <c r="AE19" i="82"/>
  <c r="H18" i="88" s="1"/>
  <c r="O21" i="89"/>
  <c r="R15" i="82"/>
  <c r="AE15" i="82"/>
  <c r="H14" i="88" s="1"/>
  <c r="T15" i="82"/>
  <c r="F13" i="88" s="1"/>
  <c r="O17" i="89"/>
  <c r="R11" i="82"/>
  <c r="T11" i="82"/>
  <c r="F9" i="88" s="1"/>
  <c r="AE11" i="82"/>
  <c r="H10" i="88" s="1"/>
  <c r="O13" i="89"/>
  <c r="R7" i="82"/>
  <c r="AE7" i="82"/>
  <c r="H6" i="88" s="1"/>
  <c r="T7" i="82"/>
  <c r="F5" i="88" s="1"/>
  <c r="O9" i="89"/>
  <c r="R9" i="82"/>
  <c r="AR197" i="82"/>
  <c r="AR169" i="82"/>
  <c r="AR140" i="82"/>
  <c r="AR84" i="82"/>
  <c r="AR28" i="82"/>
  <c r="AZ196" i="82"/>
  <c r="AZ192" i="82"/>
  <c r="AZ184" i="82"/>
  <c r="AZ180" i="82"/>
  <c r="AZ176" i="82"/>
  <c r="AZ168" i="82"/>
  <c r="AZ164" i="82"/>
  <c r="AZ160" i="82"/>
  <c r="AZ152" i="82"/>
  <c r="AZ148" i="82"/>
  <c r="AZ144" i="82"/>
  <c r="AZ136" i="82"/>
  <c r="AZ132" i="82"/>
  <c r="AZ124" i="82"/>
  <c r="AZ120" i="82"/>
  <c r="AZ116" i="82"/>
  <c r="AZ108" i="82"/>
  <c r="AZ104" i="82"/>
  <c r="AZ100" i="82"/>
  <c r="AZ92" i="82"/>
  <c r="AZ88" i="82"/>
  <c r="AZ84" i="82"/>
  <c r="AZ76" i="82"/>
  <c r="AZ72" i="82"/>
  <c r="AZ64" i="82"/>
  <c r="AZ60" i="82"/>
  <c r="AZ56" i="82"/>
  <c r="AZ48" i="82"/>
  <c r="AZ44" i="82"/>
  <c r="AZ40" i="82"/>
  <c r="AZ32" i="82"/>
  <c r="AZ24" i="82"/>
  <c r="AZ16" i="82"/>
  <c r="J60" i="81"/>
  <c r="J87" i="81"/>
  <c r="J100" i="81"/>
  <c r="J126" i="81"/>
  <c r="L100" i="81"/>
  <c r="L113" i="81"/>
  <c r="L126" i="81"/>
  <c r="BA180" i="82"/>
  <c r="BA173" i="82"/>
  <c r="BA171" i="82"/>
  <c r="BA165" i="82"/>
  <c r="BA149" i="82"/>
  <c r="BA89" i="82"/>
  <c r="BA57" i="82"/>
  <c r="BA41" i="82"/>
  <c r="BA17" i="82"/>
  <c r="AS58" i="82"/>
  <c r="BA184" i="82"/>
  <c r="BA177" i="82"/>
  <c r="BA175" i="82"/>
  <c r="BA161" i="82"/>
  <c r="BA145" i="82"/>
  <c r="BA85" i="82"/>
  <c r="BA53" i="82"/>
  <c r="BA37" i="82"/>
  <c r="BA13" i="82"/>
  <c r="BA181" i="82"/>
  <c r="BA179" i="82"/>
  <c r="BA172" i="82"/>
  <c r="BA157" i="82"/>
  <c r="BA141" i="82"/>
  <c r="BA81" i="82"/>
  <c r="BA49" i="82"/>
  <c r="BA33" i="82"/>
  <c r="BA183" i="82"/>
  <c r="BA176" i="82"/>
  <c r="BA169" i="82"/>
  <c r="BA153" i="82"/>
  <c r="BA93" i="82"/>
  <c r="BA61" i="82"/>
  <c r="BA45" i="82"/>
  <c r="BA29" i="82"/>
  <c r="AZ6" i="82"/>
  <c r="J58" i="81"/>
  <c r="BB8" i="82"/>
  <c r="AR7" i="82"/>
  <c r="AZ9" i="82"/>
  <c r="BB6" i="82"/>
  <c r="AR5" i="82"/>
  <c r="AZ5" i="82"/>
  <c r="BB10" i="82"/>
  <c r="AZ8" i="82"/>
  <c r="AZ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B152" i="82"/>
  <c r="BB150" i="82"/>
  <c r="BB143" i="82"/>
  <c r="BB141" i="82"/>
  <c r="BB92" i="82"/>
  <c r="BB90" i="82"/>
  <c r="BB83" i="82"/>
  <c r="BB81" i="82"/>
  <c r="BB33" i="82"/>
  <c r="BB28" i="82"/>
  <c r="BB22" i="82"/>
  <c r="BB153" i="82"/>
  <c r="BB148" i="82"/>
  <c r="BB146" i="82"/>
  <c r="BB133" i="82"/>
  <c r="BB125" i="82"/>
  <c r="BB93" i="82"/>
  <c r="BB88" i="82"/>
  <c r="BB86" i="82"/>
  <c r="BB79" i="82"/>
  <c r="BB71" i="82"/>
  <c r="BB31" i="82"/>
  <c r="BB29" i="82"/>
  <c r="BB151" i="82"/>
  <c r="BB149" i="82"/>
  <c r="BB144" i="82"/>
  <c r="BB142" i="82"/>
  <c r="BB91" i="82"/>
  <c r="BB89" i="82"/>
  <c r="BB84" i="82"/>
  <c r="BB82" i="82"/>
  <c r="BB34" i="82"/>
  <c r="BB27" i="82"/>
  <c r="BB25" i="82"/>
  <c r="BB154" i="82"/>
  <c r="BB147" i="82"/>
  <c r="BB145" i="82"/>
  <c r="BB132" i="82"/>
  <c r="BB94" i="82"/>
  <c r="BB87" i="82"/>
  <c r="BB85" i="82"/>
  <c r="BB74" i="82"/>
  <c r="BB32" i="82"/>
  <c r="BB9" i="82"/>
  <c r="BB7" i="82"/>
  <c r="BA197" i="82"/>
  <c r="BA189" i="82"/>
  <c r="BA77" i="82"/>
  <c r="BA69" i="82"/>
  <c r="BA65" i="82"/>
  <c r="BA25" i="82"/>
  <c r="BA21" i="82"/>
  <c r="BA198" i="82"/>
  <c r="BA194" i="82"/>
  <c r="BA190" i="82"/>
  <c r="BA186" i="82"/>
  <c r="BA182" i="82"/>
  <c r="BA178" i="82"/>
  <c r="BA174" i="82"/>
  <c r="BA166" i="82"/>
  <c r="BA162" i="82"/>
  <c r="BA158" i="82"/>
  <c r="BA154" i="82"/>
  <c r="BA150" i="82"/>
  <c r="BA146" i="82"/>
  <c r="BA142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BA185" i="82"/>
  <c r="BA73" i="82"/>
  <c r="BA199" i="82"/>
  <c r="BA195" i="82"/>
  <c r="BA191" i="82"/>
  <c r="BA187" i="82"/>
  <c r="BA167" i="82"/>
  <c r="BA163" i="82"/>
  <c r="BA159" i="82"/>
  <c r="BA155" i="82"/>
  <c r="BA151" i="82"/>
  <c r="BA147" i="82"/>
  <c r="BA143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9" i="82"/>
  <c r="BA35" i="82"/>
  <c r="BA31" i="82"/>
  <c r="BA27" i="82"/>
  <c r="BA23" i="82"/>
  <c r="BA19" i="82"/>
  <c r="BA15" i="82"/>
  <c r="BA11" i="82"/>
  <c r="BA193" i="82"/>
  <c r="BA196" i="82"/>
  <c r="BA192" i="82"/>
  <c r="BA168" i="82"/>
  <c r="BA164" i="82"/>
  <c r="BA160" i="82"/>
  <c r="BA152" i="82"/>
  <c r="BA148" i="82"/>
  <c r="BA144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AS184" i="82"/>
  <c r="AS176" i="82"/>
  <c r="AS122" i="82"/>
  <c r="O63" i="81"/>
  <c r="O58" i="81"/>
  <c r="O64" i="81"/>
  <c r="AT187" i="82"/>
  <c r="AT188" i="82"/>
  <c r="AT193" i="82"/>
  <c r="AT198" i="82"/>
  <c r="AT171" i="82"/>
  <c r="AT175" i="82"/>
  <c r="AT179" i="82"/>
  <c r="AT183" i="82"/>
  <c r="AT172" i="82"/>
  <c r="AT176" i="82"/>
  <c r="AT180" i="82"/>
  <c r="AT184" i="82"/>
  <c r="AT177" i="82"/>
  <c r="AT185" i="82"/>
  <c r="AT178" i="82"/>
  <c r="AT181" i="82"/>
  <c r="AT182" i="82"/>
  <c r="AT173" i="82"/>
  <c r="AT174" i="82"/>
  <c r="AT114" i="82"/>
  <c r="AT118" i="82"/>
  <c r="AT122" i="82"/>
  <c r="AT111" i="82"/>
  <c r="AT115" i="82"/>
  <c r="AT119" i="82"/>
  <c r="AT123" i="82"/>
  <c r="AT112" i="82"/>
  <c r="AT116" i="82"/>
  <c r="AT120" i="82"/>
  <c r="AT124" i="82"/>
  <c r="AT121" i="82"/>
  <c r="AT125" i="82"/>
  <c r="AT113" i="82"/>
  <c r="AT117" i="82"/>
  <c r="AT54" i="82"/>
  <c r="AT58" i="82"/>
  <c r="AT62" i="82"/>
  <c r="AT51" i="82"/>
  <c r="AT55" i="82"/>
  <c r="AT59" i="82"/>
  <c r="AT63" i="82"/>
  <c r="AT52" i="82"/>
  <c r="AT56" i="82"/>
  <c r="AT60" i="82"/>
  <c r="AT64" i="82"/>
  <c r="AT57" i="82"/>
  <c r="AT61" i="82"/>
  <c r="AT65" i="82"/>
  <c r="AT53" i="82"/>
  <c r="AT14" i="82"/>
  <c r="AT18" i="82"/>
  <c r="AT15" i="82"/>
  <c r="AT19" i="82"/>
  <c r="AT12" i="82"/>
  <c r="AT16" i="82"/>
  <c r="AT20" i="82"/>
  <c r="AT13" i="82"/>
  <c r="AT17" i="82"/>
  <c r="AS99" i="82"/>
  <c r="AS103" i="82"/>
  <c r="AS107" i="82"/>
  <c r="AS96" i="82"/>
  <c r="AS100" i="82"/>
  <c r="AS104" i="82"/>
  <c r="AS108" i="82"/>
  <c r="AS101" i="82"/>
  <c r="AS109" i="82"/>
  <c r="AS102" i="82"/>
  <c r="AS110" i="82"/>
  <c r="AS97" i="82"/>
  <c r="AS98" i="82"/>
  <c r="AS106" i="82"/>
  <c r="AS105" i="82"/>
  <c r="AT158" i="82"/>
  <c r="AT162" i="82"/>
  <c r="AT159" i="82"/>
  <c r="AT163" i="82"/>
  <c r="AT167" i="82"/>
  <c r="AT156" i="82"/>
  <c r="AT160" i="82"/>
  <c r="AT164" i="82"/>
  <c r="AT168" i="82"/>
  <c r="AT166" i="82"/>
  <c r="AT157" i="82"/>
  <c r="AT169" i="82"/>
  <c r="AT161" i="82"/>
  <c r="AT170" i="82"/>
  <c r="AT165" i="82"/>
  <c r="AT98" i="82"/>
  <c r="AT102" i="82"/>
  <c r="AT106" i="82"/>
  <c r="AT110" i="82"/>
  <c r="AT99" i="82"/>
  <c r="AT103" i="82"/>
  <c r="AT107" i="82"/>
  <c r="AT96" i="82"/>
  <c r="AT100" i="82"/>
  <c r="AT104" i="82"/>
  <c r="AT108" i="82"/>
  <c r="AT105" i="82"/>
  <c r="AT109" i="82"/>
  <c r="AT97" i="82"/>
  <c r="AT101" i="82"/>
  <c r="AT38" i="82"/>
  <c r="AT42" i="82"/>
  <c r="AT46" i="82"/>
  <c r="AT50" i="82"/>
  <c r="AT39" i="82"/>
  <c r="AT43" i="82"/>
  <c r="AT47" i="82"/>
  <c r="AT36" i="82"/>
  <c r="AT40" i="82"/>
  <c r="AT44" i="82"/>
  <c r="AT48" i="82"/>
  <c r="AT41" i="82"/>
  <c r="AT45" i="82"/>
  <c r="AT49" i="82"/>
  <c r="AT37" i="82"/>
  <c r="AS7" i="82"/>
  <c r="AS11" i="82"/>
  <c r="AS8" i="82"/>
  <c r="AS5" i="82"/>
  <c r="AS6" i="82"/>
  <c r="AS10" i="82"/>
  <c r="AS9" i="82"/>
  <c r="AR53" i="82"/>
  <c r="AR57" i="82"/>
  <c r="AR61" i="82"/>
  <c r="AR65" i="82"/>
  <c r="AR54" i="82"/>
  <c r="AR58" i="82"/>
  <c r="AR62" i="82"/>
  <c r="P18" i="82"/>
  <c r="AT6" i="82"/>
  <c r="AT10" i="82"/>
  <c r="AT7" i="82"/>
  <c r="AT11" i="82"/>
  <c r="AT8" i="82"/>
  <c r="AT9" i="82"/>
  <c r="AT5" i="82"/>
  <c r="AT86" i="82"/>
  <c r="AT87" i="82"/>
  <c r="AT88" i="82"/>
  <c r="AT81" i="82"/>
  <c r="AA6" i="82"/>
  <c r="AC11" i="82"/>
  <c r="AA14" i="82"/>
  <c r="AR185" i="82"/>
  <c r="AR177" i="82"/>
  <c r="AR116" i="82"/>
  <c r="AR52" i="82"/>
  <c r="AR12" i="82"/>
  <c r="AR157" i="82"/>
  <c r="AR161" i="82"/>
  <c r="AR165" i="82"/>
  <c r="AR158" i="82"/>
  <c r="AR162" i="82"/>
  <c r="AR97" i="82"/>
  <c r="AR101" i="82"/>
  <c r="AR105" i="82"/>
  <c r="AR109" i="82"/>
  <c r="AR98" i="82"/>
  <c r="AR102" i="82"/>
  <c r="AR106" i="82"/>
  <c r="AR110" i="82"/>
  <c r="AR37" i="82"/>
  <c r="AR41" i="82"/>
  <c r="AR45" i="82"/>
  <c r="AR49" i="82"/>
  <c r="AR38" i="82"/>
  <c r="AR42" i="82"/>
  <c r="AR46" i="82"/>
  <c r="AR50" i="82"/>
  <c r="P17" i="82"/>
  <c r="P13" i="82"/>
  <c r="P9" i="82"/>
  <c r="R16" i="82"/>
  <c r="R12" i="82"/>
  <c r="R8" i="82"/>
  <c r="AC10" i="82"/>
  <c r="AC14" i="82"/>
  <c r="AC18" i="82"/>
  <c r="AR200" i="82"/>
  <c r="AR196" i="82"/>
  <c r="AR192" i="82"/>
  <c r="AR188" i="82"/>
  <c r="AR184" i="82"/>
  <c r="AR180" i="82"/>
  <c r="AR176" i="82"/>
  <c r="AR172" i="82"/>
  <c r="AR168" i="82"/>
  <c r="AR163" i="82"/>
  <c r="AR155" i="82"/>
  <c r="AR139" i="82"/>
  <c r="AR131" i="82"/>
  <c r="AR123" i="82"/>
  <c r="AR107" i="82"/>
  <c r="AR99" i="82"/>
  <c r="AR91" i="82"/>
  <c r="AR75" i="82"/>
  <c r="AR67" i="82"/>
  <c r="AR59" i="82"/>
  <c r="AR51" i="82"/>
  <c r="AR43" i="82"/>
  <c r="AR27" i="82"/>
  <c r="AS183" i="82"/>
  <c r="AS175" i="82"/>
  <c r="AS121" i="82"/>
  <c r="AR113" i="82"/>
  <c r="AR117" i="82"/>
  <c r="AR121" i="82"/>
  <c r="AR125" i="82"/>
  <c r="AR114" i="82"/>
  <c r="AR118" i="82"/>
  <c r="AR122" i="82"/>
  <c r="AR13" i="82"/>
  <c r="AR17" i="82"/>
  <c r="AR14" i="82"/>
  <c r="AR18" i="82"/>
  <c r="P10" i="82"/>
  <c r="AT142" i="82"/>
  <c r="AT146" i="82"/>
  <c r="AT150" i="82"/>
  <c r="AT154" i="82"/>
  <c r="AT143" i="82"/>
  <c r="AT147" i="82"/>
  <c r="AT151" i="82"/>
  <c r="AT155" i="82"/>
  <c r="AT144" i="82"/>
  <c r="AT148" i="82"/>
  <c r="AT152" i="82"/>
  <c r="AT153" i="82"/>
  <c r="AT141" i="82"/>
  <c r="AT145" i="82"/>
  <c r="AT30" i="82"/>
  <c r="AT34" i="82"/>
  <c r="AT31" i="82"/>
  <c r="AT35" i="82"/>
  <c r="AT28" i="82"/>
  <c r="AT32" i="82"/>
  <c r="AT29" i="82"/>
  <c r="AT33" i="82"/>
  <c r="AC7" i="82"/>
  <c r="AC15" i="82"/>
  <c r="AC19" i="82"/>
  <c r="AR181" i="82"/>
  <c r="AR173" i="82"/>
  <c r="AR124" i="82"/>
  <c r="AR60" i="82"/>
  <c r="AR20" i="82"/>
  <c r="I20" i="82"/>
  <c r="AL209" i="82" s="1"/>
  <c r="AK141" i="82"/>
  <c r="AR9" i="82"/>
  <c r="AR6" i="82"/>
  <c r="AR10" i="82"/>
  <c r="AR141" i="82"/>
  <c r="AR145" i="82"/>
  <c r="AR149" i="82"/>
  <c r="AR153" i="82"/>
  <c r="AR142" i="82"/>
  <c r="AR146" i="82"/>
  <c r="AR150" i="82"/>
  <c r="AR154" i="82"/>
  <c r="AR81" i="82"/>
  <c r="AR85" i="82"/>
  <c r="AR89" i="82"/>
  <c r="AR93" i="82"/>
  <c r="AR82" i="82"/>
  <c r="AR86" i="82"/>
  <c r="AR90" i="82"/>
  <c r="AR94" i="82"/>
  <c r="AR29" i="82"/>
  <c r="AR33" i="82"/>
  <c r="AR30" i="82"/>
  <c r="AR34" i="82"/>
  <c r="P20" i="82"/>
  <c r="P16" i="82"/>
  <c r="P12" i="82"/>
  <c r="P8" i="82"/>
  <c r="AA16" i="82"/>
  <c r="AR199" i="82"/>
  <c r="AR195" i="82"/>
  <c r="AR191" i="82"/>
  <c r="AR187" i="82"/>
  <c r="AR183" i="82"/>
  <c r="AR179" i="82"/>
  <c r="AR175" i="82"/>
  <c r="AR171" i="82"/>
  <c r="AR167" i="82"/>
  <c r="AR160" i="82"/>
  <c r="AR152" i="82"/>
  <c r="AR144" i="82"/>
  <c r="AR136" i="82"/>
  <c r="AR120" i="82"/>
  <c r="AR112" i="82"/>
  <c r="AR104" i="82"/>
  <c r="AR96" i="82"/>
  <c r="AR88" i="82"/>
  <c r="AR80" i="82"/>
  <c r="AR64" i="82"/>
  <c r="AR56" i="82"/>
  <c r="AR48" i="82"/>
  <c r="AR40" i="82"/>
  <c r="AR32" i="82"/>
  <c r="AR16" i="82"/>
  <c r="AR8" i="82"/>
  <c r="AS180" i="82"/>
  <c r="AK181" i="82"/>
  <c r="F18" i="82"/>
  <c r="AK170" i="82" s="1"/>
  <c r="AR129" i="82"/>
  <c r="AR133" i="82"/>
  <c r="AR137" i="82"/>
  <c r="AR126" i="82"/>
  <c r="AR130" i="82"/>
  <c r="AR134" i="82"/>
  <c r="AR138" i="82"/>
  <c r="AR69" i="82"/>
  <c r="AR73" i="82"/>
  <c r="AR77" i="82"/>
  <c r="AR66" i="82"/>
  <c r="AR70" i="82"/>
  <c r="AR74" i="82"/>
  <c r="AR78" i="82"/>
  <c r="AR21" i="82"/>
  <c r="AR25" i="82"/>
  <c r="AR22" i="82"/>
  <c r="AR26" i="82"/>
  <c r="AS173" i="82"/>
  <c r="AS177" i="82"/>
  <c r="AS181" i="82"/>
  <c r="AS185" i="82"/>
  <c r="AS174" i="82"/>
  <c r="AS178" i="82"/>
  <c r="AS182" i="82"/>
  <c r="AS111" i="82"/>
  <c r="AS115" i="82"/>
  <c r="AS119" i="82"/>
  <c r="AS123" i="82"/>
  <c r="AS112" i="82"/>
  <c r="AS116" i="82"/>
  <c r="AS120" i="82"/>
  <c r="AS124" i="82"/>
  <c r="AS117" i="82"/>
  <c r="AS125" i="82"/>
  <c r="AS118" i="82"/>
  <c r="AS51" i="82"/>
  <c r="AS55" i="82"/>
  <c r="AS59" i="82"/>
  <c r="AS63" i="82"/>
  <c r="AS52" i="82"/>
  <c r="AS56" i="82"/>
  <c r="AS60" i="82"/>
  <c r="AS64" i="82"/>
  <c r="AS53" i="82"/>
  <c r="AS61" i="82"/>
  <c r="AS54" i="82"/>
  <c r="AS62" i="82"/>
  <c r="AS15" i="82"/>
  <c r="AS19" i="82"/>
  <c r="AS12" i="82"/>
  <c r="AS16" i="82"/>
  <c r="AS20" i="82"/>
  <c r="AS13" i="82"/>
  <c r="AS14" i="82"/>
  <c r="AA15" i="82"/>
  <c r="AC20" i="82"/>
  <c r="AR198" i="82"/>
  <c r="AR194" i="82"/>
  <c r="AR190" i="82"/>
  <c r="AR182" i="82"/>
  <c r="AR178" i="82"/>
  <c r="AR135" i="82"/>
  <c r="AR127" i="82"/>
  <c r="AR119" i="82"/>
  <c r="AR111" i="82"/>
  <c r="AR79" i="82"/>
  <c r="AR71" i="82"/>
  <c r="AR63" i="82"/>
  <c r="AR55" i="82"/>
  <c r="AR23" i="82"/>
  <c r="AR15" i="82"/>
  <c r="AS179" i="82"/>
  <c r="AS171" i="82"/>
  <c r="AS113" i="82"/>
  <c r="AS65" i="82"/>
  <c r="AS17" i="82"/>
  <c r="AT149" i="82"/>
  <c r="AT85" i="82"/>
  <c r="F10" i="82"/>
  <c r="AK50" i="82" s="1"/>
  <c r="AK173" i="82"/>
  <c r="AK145" i="82"/>
  <c r="F12" i="82"/>
  <c r="AK83" i="82" s="1"/>
  <c r="I18" i="82"/>
  <c r="AL181" i="82" s="1"/>
  <c r="I14" i="82"/>
  <c r="AL117" i="82" s="1"/>
  <c r="I10" i="82"/>
  <c r="AL53" i="82" s="1"/>
  <c r="AK49" i="82"/>
  <c r="AK169" i="82"/>
  <c r="AK148" i="82"/>
  <c r="AK142" i="82"/>
  <c r="AK57" i="82"/>
  <c r="F17" i="82"/>
  <c r="AK160" i="82" s="1"/>
  <c r="F9" i="82"/>
  <c r="AK36" i="82" s="1"/>
  <c r="I16" i="82"/>
  <c r="AL138" i="82" s="1"/>
  <c r="I8" i="82"/>
  <c r="AL17" i="82" s="1"/>
  <c r="AL65" i="82"/>
  <c r="AL211" i="82"/>
  <c r="AL150" i="82"/>
  <c r="AL18" i="82"/>
  <c r="AL22" i="82"/>
  <c r="AL19" i="82"/>
  <c r="AL20" i="82"/>
  <c r="AL24" i="82"/>
  <c r="F14" i="82"/>
  <c r="AK120" i="82" s="1"/>
  <c r="AK149" i="82"/>
  <c r="AK137" i="82"/>
  <c r="F20" i="82"/>
  <c r="AK211" i="82" s="1"/>
  <c r="I19" i="82"/>
  <c r="AL193" i="82" s="1"/>
  <c r="I11" i="82"/>
  <c r="AL69" i="82" s="1"/>
  <c r="AL201" i="82"/>
  <c r="I6" i="82"/>
  <c r="AL167" i="82"/>
  <c r="AL171" i="82"/>
  <c r="I17" i="82"/>
  <c r="AL165" i="82" s="1"/>
  <c r="AL180" i="82"/>
  <c r="AL110" i="82"/>
  <c r="AL111" i="82"/>
  <c r="I13" i="82"/>
  <c r="AL93" i="82" s="1"/>
  <c r="AL51" i="82"/>
  <c r="I9" i="82"/>
  <c r="AL45" i="82" s="1"/>
  <c r="AK40" i="82"/>
  <c r="AK165" i="82"/>
  <c r="AK151" i="82"/>
  <c r="AK147" i="82"/>
  <c r="AK105" i="82"/>
  <c r="F8" i="82"/>
  <c r="AK18" i="82" s="1"/>
  <c r="I15" i="82"/>
  <c r="AL133" i="82" s="1"/>
  <c r="I7" i="82"/>
  <c r="AL10" i="82" s="1"/>
  <c r="AL189" i="82"/>
  <c r="AL61" i="82"/>
  <c r="AL80" i="82"/>
  <c r="AL162" i="82"/>
  <c r="AL164" i="82"/>
  <c r="AL94" i="82"/>
  <c r="AL106" i="82"/>
  <c r="AL95" i="82"/>
  <c r="AL92" i="82"/>
  <c r="AL96" i="82"/>
  <c r="AL34" i="82"/>
  <c r="AL38" i="82"/>
  <c r="AL35" i="82"/>
  <c r="AL39" i="82"/>
  <c r="AL36" i="82"/>
  <c r="AL40" i="82"/>
  <c r="F19" i="82"/>
  <c r="AK190" i="82" s="1"/>
  <c r="AK139" i="82"/>
  <c r="AK143" i="82"/>
  <c r="F15" i="82"/>
  <c r="AK134" i="82" s="1"/>
  <c r="AK140" i="82"/>
  <c r="AK144" i="82"/>
  <c r="AK77" i="82"/>
  <c r="F11" i="82"/>
  <c r="AK62" i="82" s="1"/>
  <c r="AK90" i="82"/>
  <c r="F7" i="82"/>
  <c r="AK12" i="82" s="1"/>
  <c r="AK28" i="82"/>
  <c r="AK208" i="82"/>
  <c r="AK177" i="82"/>
  <c r="AK150" i="82"/>
  <c r="AK146" i="82"/>
  <c r="AK138" i="82"/>
  <c r="AK130" i="82"/>
  <c r="AK122" i="82"/>
  <c r="AK88" i="82"/>
  <c r="F6" i="82"/>
  <c r="F13" i="82"/>
  <c r="AK92" i="82" s="1"/>
  <c r="I12" i="82"/>
  <c r="AL77" i="82" s="1"/>
  <c r="AL202" i="82"/>
  <c r="AL105" i="82"/>
  <c r="AL41" i="82"/>
  <c r="AL25" i="82"/>
  <c r="AL9" i="82"/>
  <c r="AK176" i="82"/>
  <c r="AK168" i="82"/>
  <c r="AK60" i="82"/>
  <c r="AK56" i="82"/>
  <c r="AK48" i="82"/>
  <c r="AK179" i="82"/>
  <c r="AK175" i="82"/>
  <c r="AK171" i="82"/>
  <c r="AK167" i="82"/>
  <c r="AK159" i="82"/>
  <c r="AK155" i="82"/>
  <c r="AK103" i="82"/>
  <c r="AK99" i="82"/>
  <c r="AK95" i="82"/>
  <c r="AK59" i="82"/>
  <c r="AK55" i="82"/>
  <c r="AK51" i="82"/>
  <c r="AK47" i="82"/>
  <c r="AK180" i="82"/>
  <c r="AK172" i="82"/>
  <c r="AK52" i="82"/>
  <c r="AK178" i="82"/>
  <c r="AK174" i="82"/>
  <c r="AK166" i="82"/>
  <c r="AK162" i="82"/>
  <c r="AK106" i="82"/>
  <c r="AK102" i="82"/>
  <c r="AK98" i="82"/>
  <c r="AK58" i="82"/>
  <c r="AK54" i="82"/>
  <c r="N107" i="89" l="1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K44" i="82"/>
  <c r="AL152" i="82"/>
  <c r="AK201" i="82"/>
  <c r="AK32" i="82"/>
  <c r="AL50" i="82"/>
  <c r="AT93" i="82"/>
  <c r="AT84" i="82"/>
  <c r="AT83" i="82"/>
  <c r="AT82" i="82"/>
  <c r="AT197" i="82"/>
  <c r="AT200" i="82"/>
  <c r="AT199" i="82"/>
  <c r="BB68" i="82"/>
  <c r="BB76" i="82"/>
  <c r="BB134" i="82"/>
  <c r="BB65" i="82"/>
  <c r="BB73" i="82"/>
  <c r="BB127" i="82"/>
  <c r="BB135" i="82"/>
  <c r="BB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K46" i="82"/>
  <c r="E17" i="88"/>
  <c r="AK200" i="82"/>
  <c r="AL79" i="82"/>
  <c r="AK33" i="82"/>
  <c r="AK205" i="82"/>
  <c r="AL48" i="82"/>
  <c r="AL108" i="82"/>
  <c r="AT89" i="82"/>
  <c r="AT95" i="82"/>
  <c r="AT94" i="82"/>
  <c r="AT190" i="82"/>
  <c r="AT194" i="82"/>
  <c r="AT196" i="82"/>
  <c r="AT195" i="82"/>
  <c r="BB70" i="82"/>
  <c r="BB78" i="82"/>
  <c r="BB128" i="82"/>
  <c r="BB136" i="82"/>
  <c r="BB67" i="82"/>
  <c r="BB75" i="82"/>
  <c r="BB129" i="82"/>
  <c r="BB137" i="82"/>
  <c r="BB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K163" i="82"/>
  <c r="AL163" i="82"/>
  <c r="AL197" i="82"/>
  <c r="AK158" i="82"/>
  <c r="AK35" i="82"/>
  <c r="AK111" i="82"/>
  <c r="AL89" i="82"/>
  <c r="AK100" i="82"/>
  <c r="AK204" i="82"/>
  <c r="AK31" i="82"/>
  <c r="AL166" i="82"/>
  <c r="AL29" i="82"/>
  <c r="AK53" i="82"/>
  <c r="AK157" i="82"/>
  <c r="AK209" i="82"/>
  <c r="AL168" i="82"/>
  <c r="AL170" i="82"/>
  <c r="AK199" i="82"/>
  <c r="AL23" i="82"/>
  <c r="AK61" i="82"/>
  <c r="AL177" i="82"/>
  <c r="AT92" i="82"/>
  <c r="AT91" i="82"/>
  <c r="AT189" i="82"/>
  <c r="AT186" i="82"/>
  <c r="AT192" i="82"/>
  <c r="BB72" i="82"/>
  <c r="BB130" i="82"/>
  <c r="BB138" i="82"/>
  <c r="BB23" i="82"/>
  <c r="BB69" i="82"/>
  <c r="BB77" i="82"/>
  <c r="BB131" i="82"/>
  <c r="BB139" i="82"/>
  <c r="BB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K188" i="82"/>
  <c r="AK207" i="82"/>
  <c r="AK93" i="82"/>
  <c r="AK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O4" i="88" s="1"/>
  <c r="E12" i="88"/>
  <c r="G9" i="88"/>
  <c r="E13" i="88"/>
  <c r="L85" i="81"/>
  <c r="J71" i="81"/>
  <c r="J57" i="81"/>
  <c r="G10" i="88"/>
  <c r="G11" i="88"/>
  <c r="BB170" i="82"/>
  <c r="BB177" i="82"/>
  <c r="BB180" i="82"/>
  <c r="BB183" i="82"/>
  <c r="BB173" i="82"/>
  <c r="BB176" i="82"/>
  <c r="BB179" i="82"/>
  <c r="BB182" i="82"/>
  <c r="BB172" i="82"/>
  <c r="BB175" i="82"/>
  <c r="BB178" i="82"/>
  <c r="BB171" i="82"/>
  <c r="BB174" i="82"/>
  <c r="BB181" i="82"/>
  <c r="BB184" i="82"/>
  <c r="BB96" i="82"/>
  <c r="BB98" i="82"/>
  <c r="BB100" i="82"/>
  <c r="BB102" i="82"/>
  <c r="BB104" i="82"/>
  <c r="BB106" i="82"/>
  <c r="BB108" i="82"/>
  <c r="BB95" i="82"/>
  <c r="BB97" i="82"/>
  <c r="BB99" i="82"/>
  <c r="BB101" i="82"/>
  <c r="BB103" i="82"/>
  <c r="BB105" i="82"/>
  <c r="BB107" i="82"/>
  <c r="BB109" i="82"/>
  <c r="BB110" i="82"/>
  <c r="BB112" i="82"/>
  <c r="BB114" i="82"/>
  <c r="BB116" i="82"/>
  <c r="BB118" i="82"/>
  <c r="BB120" i="82"/>
  <c r="BB122" i="82"/>
  <c r="BB124" i="82"/>
  <c r="BB111" i="82"/>
  <c r="BB113" i="82"/>
  <c r="BB115" i="82"/>
  <c r="BB117" i="82"/>
  <c r="BB119" i="82"/>
  <c r="BB121" i="82"/>
  <c r="BB123" i="82"/>
  <c r="BB37" i="82"/>
  <c r="BB39" i="82"/>
  <c r="BB46" i="82"/>
  <c r="BB48" i="82"/>
  <c r="BB36" i="82"/>
  <c r="BB41" i="82"/>
  <c r="BB43" i="82"/>
  <c r="BB38" i="82"/>
  <c r="BB40" i="82"/>
  <c r="BB45" i="82"/>
  <c r="BB47" i="82"/>
  <c r="BB35" i="82"/>
  <c r="BB42" i="82"/>
  <c r="BB44" i="82"/>
  <c r="BB49" i="82"/>
  <c r="BB13" i="82"/>
  <c r="BB15" i="82"/>
  <c r="BB12" i="82"/>
  <c r="BB17" i="82"/>
  <c r="BB19" i="82"/>
  <c r="BB14" i="82"/>
  <c r="BB16" i="82"/>
  <c r="BB11" i="82"/>
  <c r="BB18" i="82"/>
  <c r="BB195" i="82"/>
  <c r="BB185" i="82"/>
  <c r="BB187" i="82"/>
  <c r="BB193" i="82"/>
  <c r="BB197" i="82"/>
  <c r="BB199" i="82"/>
  <c r="BB191" i="82"/>
  <c r="BB186" i="82"/>
  <c r="BB188" i="82"/>
  <c r="BB190" i="82"/>
  <c r="BB192" i="82"/>
  <c r="BB194" i="82"/>
  <c r="BB196" i="82"/>
  <c r="BB198" i="82"/>
  <c r="BB189" i="82"/>
  <c r="BB156" i="82"/>
  <c r="BB161" i="82"/>
  <c r="BB163" i="82"/>
  <c r="BB158" i="82"/>
  <c r="BB160" i="82"/>
  <c r="BB165" i="82"/>
  <c r="BB167" i="82"/>
  <c r="BB155" i="82"/>
  <c r="BB162" i="82"/>
  <c r="BB164" i="82"/>
  <c r="BB169" i="82"/>
  <c r="BB157" i="82"/>
  <c r="BB159" i="82"/>
  <c r="BB166" i="82"/>
  <c r="BB168" i="82"/>
  <c r="BB53" i="82"/>
  <c r="BB55" i="82"/>
  <c r="BB62" i="82"/>
  <c r="BB64" i="82"/>
  <c r="BB50" i="82"/>
  <c r="BB52" i="82"/>
  <c r="BB57" i="82"/>
  <c r="BB59" i="82"/>
  <c r="BB54" i="82"/>
  <c r="BB56" i="82"/>
  <c r="BB61" i="82"/>
  <c r="BB63" i="82"/>
  <c r="BB51" i="82"/>
  <c r="BB58" i="82"/>
  <c r="BB60" i="82"/>
  <c r="BA128" i="82"/>
  <c r="BA132" i="82"/>
  <c r="BA136" i="82"/>
  <c r="BA125" i="82"/>
  <c r="BA127" i="82"/>
  <c r="BA131" i="82"/>
  <c r="BA135" i="82"/>
  <c r="BA139" i="82"/>
  <c r="BA133" i="82"/>
  <c r="BA126" i="82"/>
  <c r="BA130" i="82"/>
  <c r="BA134" i="82"/>
  <c r="BA138" i="82"/>
  <c r="BA129" i="82"/>
  <c r="BA137" i="82"/>
  <c r="BA96" i="82"/>
  <c r="BA100" i="82"/>
  <c r="BA104" i="82"/>
  <c r="BA108" i="82"/>
  <c r="BA101" i="82"/>
  <c r="BA95" i="82"/>
  <c r="BA99" i="82"/>
  <c r="BA103" i="82"/>
  <c r="BA107" i="82"/>
  <c r="BA105" i="82"/>
  <c r="BA98" i="82"/>
  <c r="BA102" i="82"/>
  <c r="BA106" i="82"/>
  <c r="BA97" i="82"/>
  <c r="BA109" i="82"/>
  <c r="BA112" i="82"/>
  <c r="BA116" i="82"/>
  <c r="BA120" i="82"/>
  <c r="BA124" i="82"/>
  <c r="BA113" i="82"/>
  <c r="BA111" i="82"/>
  <c r="BA115" i="82"/>
  <c r="BA119" i="82"/>
  <c r="BA123" i="82"/>
  <c r="BA117" i="82"/>
  <c r="BA110" i="82"/>
  <c r="BA114" i="82"/>
  <c r="BA118" i="82"/>
  <c r="BA122" i="82"/>
  <c r="BA121" i="82"/>
  <c r="BA9" i="82"/>
  <c r="BA8" i="82"/>
  <c r="BA5" i="82"/>
  <c r="BA6" i="82"/>
  <c r="BA7" i="82"/>
  <c r="BA10" i="82"/>
  <c r="AK63" i="82"/>
  <c r="AK74" i="82"/>
  <c r="AS23" i="82"/>
  <c r="AS27" i="82"/>
  <c r="AS24" i="82"/>
  <c r="AS21" i="82"/>
  <c r="AS22" i="82"/>
  <c r="AS25" i="82"/>
  <c r="AS26" i="82"/>
  <c r="AS83" i="82"/>
  <c r="AS87" i="82"/>
  <c r="AS91" i="82"/>
  <c r="AS95" i="82"/>
  <c r="AS84" i="82"/>
  <c r="AS88" i="82"/>
  <c r="AS92" i="82"/>
  <c r="AS85" i="82"/>
  <c r="AS93" i="82"/>
  <c r="AS86" i="82"/>
  <c r="AS94" i="82"/>
  <c r="AS81" i="82"/>
  <c r="AS82" i="82"/>
  <c r="AS89" i="82"/>
  <c r="AS90" i="82"/>
  <c r="AS157" i="82"/>
  <c r="AS161" i="82"/>
  <c r="AS165" i="82"/>
  <c r="AS169" i="82"/>
  <c r="AS158" i="82"/>
  <c r="AS162" i="82"/>
  <c r="AS166" i="82"/>
  <c r="AS170" i="82"/>
  <c r="AS163" i="82"/>
  <c r="AS156" i="82"/>
  <c r="AS164" i="82"/>
  <c r="AS168" i="82"/>
  <c r="AS159" i="82"/>
  <c r="AS167" i="82"/>
  <c r="AS160" i="82"/>
  <c r="AK108" i="82"/>
  <c r="AL57" i="82"/>
  <c r="AL210" i="82"/>
  <c r="AK64" i="82"/>
  <c r="AK24" i="82"/>
  <c r="AK86" i="82"/>
  <c r="AL205" i="82"/>
  <c r="AL120" i="82"/>
  <c r="AL107" i="82"/>
  <c r="AL207" i="82"/>
  <c r="AK76" i="82"/>
  <c r="AK73" i="82"/>
  <c r="AS143" i="82"/>
  <c r="AS147" i="82"/>
  <c r="AS144" i="82"/>
  <c r="AS148" i="82"/>
  <c r="AS141" i="82"/>
  <c r="AS149" i="82"/>
  <c r="AS153" i="82"/>
  <c r="AS142" i="82"/>
  <c r="AS150" i="82"/>
  <c r="AS154" i="82"/>
  <c r="AS145" i="82"/>
  <c r="AS155" i="82"/>
  <c r="AS146" i="82"/>
  <c r="AS152" i="82"/>
  <c r="AS151" i="82"/>
  <c r="AK38" i="82"/>
  <c r="AK114" i="82"/>
  <c r="AK116" i="82"/>
  <c r="AK39" i="82"/>
  <c r="AK119" i="82"/>
  <c r="AK112" i="82"/>
  <c r="AL73" i="82"/>
  <c r="AL153" i="82"/>
  <c r="AK22" i="82"/>
  <c r="AK72" i="82"/>
  <c r="AK20" i="82"/>
  <c r="AK23" i="82"/>
  <c r="AK82" i="82"/>
  <c r="AK85" i="82"/>
  <c r="AL32" i="82"/>
  <c r="AL46" i="82"/>
  <c r="AL104" i="82"/>
  <c r="AL103" i="82"/>
  <c r="AL102" i="82"/>
  <c r="AL160" i="82"/>
  <c r="AL159" i="82"/>
  <c r="AL158" i="82"/>
  <c r="AL78" i="82"/>
  <c r="AL173" i="82"/>
  <c r="AK45" i="82"/>
  <c r="AL56" i="82"/>
  <c r="AL59" i="82"/>
  <c r="AL58" i="82"/>
  <c r="AL116" i="82"/>
  <c r="AL119" i="82"/>
  <c r="AL118" i="82"/>
  <c r="AL176" i="82"/>
  <c r="AL179" i="82"/>
  <c r="AL178" i="82"/>
  <c r="AL15" i="82"/>
  <c r="AK124" i="82"/>
  <c r="AL204" i="82"/>
  <c r="AL203" i="82"/>
  <c r="AL206" i="82"/>
  <c r="AK84" i="82"/>
  <c r="AK113" i="82"/>
  <c r="AL67" i="82"/>
  <c r="AL101" i="82"/>
  <c r="AL198" i="82"/>
  <c r="AS127" i="82"/>
  <c r="AS131" i="82"/>
  <c r="AS135" i="82"/>
  <c r="AS139" i="82"/>
  <c r="AS128" i="82"/>
  <c r="AS132" i="82"/>
  <c r="AS136" i="82"/>
  <c r="AS140" i="82"/>
  <c r="AS133" i="82"/>
  <c r="AS126" i="82"/>
  <c r="AS134" i="82"/>
  <c r="AS129" i="82"/>
  <c r="AS130" i="82"/>
  <c r="AS137" i="82"/>
  <c r="AS138" i="82"/>
  <c r="AT126" i="82"/>
  <c r="AT130" i="82"/>
  <c r="AT134" i="82"/>
  <c r="AT138" i="82"/>
  <c r="AT127" i="82"/>
  <c r="AT131" i="82"/>
  <c r="AT135" i="82"/>
  <c r="AT139" i="82"/>
  <c r="AT128" i="82"/>
  <c r="AT132" i="82"/>
  <c r="AT136" i="82"/>
  <c r="AT140" i="82"/>
  <c r="AT137" i="82"/>
  <c r="AT129" i="82"/>
  <c r="AT133" i="82"/>
  <c r="AT22" i="82"/>
  <c r="AT26" i="82"/>
  <c r="AT23" i="82"/>
  <c r="AT27" i="82"/>
  <c r="AT24" i="82"/>
  <c r="AT25" i="82"/>
  <c r="AT21" i="82"/>
  <c r="AK115" i="82"/>
  <c r="AL121" i="82"/>
  <c r="AK27" i="82"/>
  <c r="AK89" i="82"/>
  <c r="AL109" i="82"/>
  <c r="AL60" i="82"/>
  <c r="AL47" i="82"/>
  <c r="AK87" i="82"/>
  <c r="AL208" i="82"/>
  <c r="AL161" i="82"/>
  <c r="AL68" i="82"/>
  <c r="AK79" i="82"/>
  <c r="AL157" i="82"/>
  <c r="AS67" i="82"/>
  <c r="AS71" i="82"/>
  <c r="AS75" i="82"/>
  <c r="AS79" i="82"/>
  <c r="AS68" i="82"/>
  <c r="AS72" i="82"/>
  <c r="AS76" i="82"/>
  <c r="AS80" i="82"/>
  <c r="AS69" i="82"/>
  <c r="AS77" i="82"/>
  <c r="AS70" i="82"/>
  <c r="AS78" i="82"/>
  <c r="AS66" i="82"/>
  <c r="AS74" i="82"/>
  <c r="AS73" i="82"/>
  <c r="AT66" i="82"/>
  <c r="AT70" i="82"/>
  <c r="AT74" i="82"/>
  <c r="AT78" i="82"/>
  <c r="AT67" i="82"/>
  <c r="AT71" i="82"/>
  <c r="AT75" i="82"/>
  <c r="AT79" i="82"/>
  <c r="AT68" i="82"/>
  <c r="AT72" i="82"/>
  <c r="AT76" i="82"/>
  <c r="AT80" i="82"/>
  <c r="AT73" i="82"/>
  <c r="AT77" i="82"/>
  <c r="AT69" i="82"/>
  <c r="AK42" i="82"/>
  <c r="AK118" i="82"/>
  <c r="AK43" i="82"/>
  <c r="AK107" i="82"/>
  <c r="AL169" i="82"/>
  <c r="AK30" i="82"/>
  <c r="AK80" i="82"/>
  <c r="AK19" i="82"/>
  <c r="AK78" i="82"/>
  <c r="AK81" i="82"/>
  <c r="AL44" i="82"/>
  <c r="AL43" i="82"/>
  <c r="AL42" i="82"/>
  <c r="AL100" i="82"/>
  <c r="AL99" i="82"/>
  <c r="AL98" i="82"/>
  <c r="AL156" i="82"/>
  <c r="AL155" i="82"/>
  <c r="AL154" i="82"/>
  <c r="AK91" i="82"/>
  <c r="AK37" i="82"/>
  <c r="AL52" i="82"/>
  <c r="AL55" i="82"/>
  <c r="AL54" i="82"/>
  <c r="AL112" i="82"/>
  <c r="AL115" i="82"/>
  <c r="AL114" i="82"/>
  <c r="AL172" i="82"/>
  <c r="AL175" i="82"/>
  <c r="AL174" i="82"/>
  <c r="AL37" i="82"/>
  <c r="AK123" i="82"/>
  <c r="AL151" i="82"/>
  <c r="AL200" i="82"/>
  <c r="AL199" i="82"/>
  <c r="AK17" i="82"/>
  <c r="AK210" i="82"/>
  <c r="AK10" i="82"/>
  <c r="AL66" i="82"/>
  <c r="AS189" i="82"/>
  <c r="AS193" i="82"/>
  <c r="AS197" i="82"/>
  <c r="AS186" i="82"/>
  <c r="AS190" i="82"/>
  <c r="AS194" i="82"/>
  <c r="AS198" i="82"/>
  <c r="AS187" i="82"/>
  <c r="AS195" i="82"/>
  <c r="AS188" i="82"/>
  <c r="AS196" i="82"/>
  <c r="AS200" i="82"/>
  <c r="AS191" i="82"/>
  <c r="AS199" i="82"/>
  <c r="AS192" i="82"/>
  <c r="AS39" i="82"/>
  <c r="AS43" i="82"/>
  <c r="AS47" i="82"/>
  <c r="AS36" i="82"/>
  <c r="AS40" i="82"/>
  <c r="AS44" i="82"/>
  <c r="AS48" i="82"/>
  <c r="AS37" i="82"/>
  <c r="AS45" i="82"/>
  <c r="AS38" i="82"/>
  <c r="AS46" i="82"/>
  <c r="AS49" i="82"/>
  <c r="AS50" i="82"/>
  <c r="AS42" i="82"/>
  <c r="AS41" i="82"/>
  <c r="AS31" i="82"/>
  <c r="AS35" i="82"/>
  <c r="AS28" i="82"/>
  <c r="AS32" i="82"/>
  <c r="AS29" i="82"/>
  <c r="AS30" i="82"/>
  <c r="AS33" i="82"/>
  <c r="AS34" i="82"/>
  <c r="AL132" i="82"/>
  <c r="AL196" i="82"/>
  <c r="AL186" i="82"/>
  <c r="AL185" i="82"/>
  <c r="AK192" i="82"/>
  <c r="AL91" i="82"/>
  <c r="AL90" i="82"/>
  <c r="AL13" i="82"/>
  <c r="AL125" i="82"/>
  <c r="AK67" i="82"/>
  <c r="AK125" i="82"/>
  <c r="AK193" i="82"/>
  <c r="AK104" i="82"/>
  <c r="AL16" i="82"/>
  <c r="AL11" i="82"/>
  <c r="AL149" i="82"/>
  <c r="AK71" i="82"/>
  <c r="AK183" i="82"/>
  <c r="AK136" i="82"/>
  <c r="AK135" i="82"/>
  <c r="AK110" i="82"/>
  <c r="AK121" i="82"/>
  <c r="AL31" i="82"/>
  <c r="AL30" i="82"/>
  <c r="AL148" i="82"/>
  <c r="AL147" i="82"/>
  <c r="AL146" i="82"/>
  <c r="AL81" i="82"/>
  <c r="AL190" i="82"/>
  <c r="AK34" i="82"/>
  <c r="AK41" i="82"/>
  <c r="AK26" i="82"/>
  <c r="AK182" i="82"/>
  <c r="AK198" i="82"/>
  <c r="AK15" i="82"/>
  <c r="AL64" i="82"/>
  <c r="AL63" i="82"/>
  <c r="AL62" i="82"/>
  <c r="AL128" i="82"/>
  <c r="AL127" i="82"/>
  <c r="AL126" i="82"/>
  <c r="AL192" i="82"/>
  <c r="AL191" i="82"/>
  <c r="AL182" i="82"/>
  <c r="AK129" i="82"/>
  <c r="AK195" i="82"/>
  <c r="AK70" i="82"/>
  <c r="AK69" i="82"/>
  <c r="AL145" i="82"/>
  <c r="AK126" i="82"/>
  <c r="AK194" i="82"/>
  <c r="AL131" i="82"/>
  <c r="AK187" i="82"/>
  <c r="AL137" i="82"/>
  <c r="AL194" i="82"/>
  <c r="AK94" i="82"/>
  <c r="AK97" i="82"/>
  <c r="AK196" i="82"/>
  <c r="AL88" i="82"/>
  <c r="AL87" i="82"/>
  <c r="AL86" i="82"/>
  <c r="AL141" i="82"/>
  <c r="AK16" i="82"/>
  <c r="AK75" i="82"/>
  <c r="AK133" i="82"/>
  <c r="AK96" i="82"/>
  <c r="AL12" i="82"/>
  <c r="AL14" i="82"/>
  <c r="AK21" i="82"/>
  <c r="AK191" i="82"/>
  <c r="AK132" i="82"/>
  <c r="AK131" i="82"/>
  <c r="AL28" i="82"/>
  <c r="AL27" i="82"/>
  <c r="AL26" i="82"/>
  <c r="AL144" i="82"/>
  <c r="AL143" i="82"/>
  <c r="AL142" i="82"/>
  <c r="AL97" i="82"/>
  <c r="AK154" i="82"/>
  <c r="AK156" i="82"/>
  <c r="AK164" i="82"/>
  <c r="AK161" i="82"/>
  <c r="AK153" i="82"/>
  <c r="AK109" i="82"/>
  <c r="AK152" i="82"/>
  <c r="AK186" i="82"/>
  <c r="AK202" i="82"/>
  <c r="AK11" i="82"/>
  <c r="AL76" i="82"/>
  <c r="AL75" i="82"/>
  <c r="AL74" i="82"/>
  <c r="AL124" i="82"/>
  <c r="AL123" i="82"/>
  <c r="AL122" i="82"/>
  <c r="AL188" i="82"/>
  <c r="AL187" i="82"/>
  <c r="AL21" i="82"/>
  <c r="AK203" i="82"/>
  <c r="AK66" i="82"/>
  <c r="AK65" i="82"/>
  <c r="AL49" i="82"/>
  <c r="AK25" i="82"/>
  <c r="AK197" i="82"/>
  <c r="AK189" i="82"/>
  <c r="AL130" i="82"/>
  <c r="AL195" i="82"/>
  <c r="AK6" i="82"/>
  <c r="AK7" i="82"/>
  <c r="AK5" i="82"/>
  <c r="AK8" i="82"/>
  <c r="AK184" i="82"/>
  <c r="AL84" i="82"/>
  <c r="AL83" i="82"/>
  <c r="AL82" i="82"/>
  <c r="AK185" i="82"/>
  <c r="AK101" i="82"/>
  <c r="AL6" i="82"/>
  <c r="AL7" i="82"/>
  <c r="AL8" i="82"/>
  <c r="AL5" i="82"/>
  <c r="AK29" i="82"/>
  <c r="AK128" i="82"/>
  <c r="AK127" i="82"/>
  <c r="AL140" i="82"/>
  <c r="AL139" i="82"/>
  <c r="AL33" i="82"/>
  <c r="AL129" i="82"/>
  <c r="AK9" i="82"/>
  <c r="AK68" i="82"/>
  <c r="AK206" i="82"/>
  <c r="AK117" i="82"/>
  <c r="AK14" i="82"/>
  <c r="AL72" i="82"/>
  <c r="AL71" i="82"/>
  <c r="AL70" i="82"/>
  <c r="AL136" i="82"/>
  <c r="AL135" i="82"/>
  <c r="AL134" i="82"/>
  <c r="AL184" i="82"/>
  <c r="AL183" i="82"/>
  <c r="AL85" i="82"/>
  <c r="AL113" i="82"/>
  <c r="E6" i="88" l="1"/>
  <c r="G14" i="88"/>
  <c r="E7" i="88"/>
  <c r="G13" i="88"/>
  <c r="J24" i="88"/>
  <c r="Q4" i="88"/>
  <c r="E16" i="88"/>
  <c r="E18" i="88"/>
  <c r="E10" i="88"/>
  <c r="E11" i="88"/>
  <c r="G5" i="88"/>
  <c r="O5" i="88" s="1"/>
  <c r="G15" i="88"/>
  <c r="E14" i="88"/>
  <c r="E15" i="88"/>
  <c r="E8" i="88"/>
  <c r="M14" i="85"/>
  <c r="N14" i="85"/>
  <c r="O14" i="85"/>
  <c r="M15" i="85"/>
  <c r="N15" i="85"/>
  <c r="Q15" i="85" s="1"/>
  <c r="O15" i="85"/>
  <c r="M16" i="85"/>
  <c r="N16" i="85"/>
  <c r="O16" i="85"/>
  <c r="M17" i="85"/>
  <c r="N17" i="85"/>
  <c r="O17" i="85"/>
  <c r="M18" i="85"/>
  <c r="N18" i="85"/>
  <c r="O18" i="85"/>
  <c r="M13" i="85"/>
  <c r="N13" i="85"/>
  <c r="O13" i="85"/>
  <c r="M12" i="85"/>
  <c r="N12" i="85"/>
  <c r="O12" i="85"/>
  <c r="M11" i="85"/>
  <c r="N11" i="85"/>
  <c r="O11" i="85"/>
  <c r="M10" i="85"/>
  <c r="N10" i="85"/>
  <c r="O10" i="85"/>
  <c r="O9" i="85"/>
  <c r="N9" i="85"/>
  <c r="M9" i="85"/>
  <c r="M5" i="85"/>
  <c r="N5" i="85"/>
  <c r="Q5" i="85" s="1"/>
  <c r="O5" i="85"/>
  <c r="M6" i="85"/>
  <c r="N6" i="85"/>
  <c r="O6" i="85"/>
  <c r="M7" i="85"/>
  <c r="N7" i="85"/>
  <c r="O7" i="85"/>
  <c r="M8" i="85"/>
  <c r="N8" i="85"/>
  <c r="O8" i="85"/>
  <c r="N4" i="85"/>
  <c r="Q4" i="85" s="1"/>
  <c r="O4" i="85"/>
  <c r="M4" i="85"/>
  <c r="J25" i="88" l="1"/>
  <c r="Q5" i="88"/>
  <c r="D19" i="89"/>
  <c r="B15" i="88"/>
  <c r="Q12" i="85"/>
  <c r="Q16" i="85"/>
  <c r="Q8" i="85"/>
  <c r="Q11" i="85"/>
  <c r="Q6" i="85"/>
  <c r="Q17" i="85"/>
  <c r="Q7" i="85"/>
  <c r="Q10" i="85"/>
  <c r="Q18" i="85"/>
  <c r="Q14" i="85"/>
  <c r="J114" i="81"/>
  <c r="K114" i="81" s="1"/>
  <c r="J115" i="81"/>
  <c r="K115" i="81" s="1"/>
  <c r="J102" i="81"/>
  <c r="K102" i="81" s="1"/>
  <c r="J101" i="81"/>
  <c r="K101" i="81" s="1"/>
  <c r="J61" i="81"/>
  <c r="K61" i="81" s="1"/>
  <c r="J62" i="81"/>
  <c r="K62" i="81" s="1"/>
  <c r="Q9" i="85"/>
  <c r="Q13" i="85"/>
  <c r="J104" i="81" l="1"/>
  <c r="P107" i="81" s="1"/>
  <c r="J64" i="81"/>
  <c r="K63" i="81" s="1"/>
  <c r="J117" i="81"/>
  <c r="D11" i="89"/>
  <c r="B7" i="88"/>
  <c r="D20" i="89"/>
  <c r="B16" i="88"/>
  <c r="D16" i="89"/>
  <c r="B12" i="88"/>
  <c r="D18" i="89"/>
  <c r="B14" i="88"/>
  <c r="D13" i="89"/>
  <c r="B9" i="88"/>
  <c r="D22" i="89"/>
  <c r="B18" i="88"/>
  <c r="D10" i="89"/>
  <c r="B6" i="88"/>
  <c r="M6" i="88" s="1"/>
  <c r="O6" i="88" s="1"/>
  <c r="Q6" i="88" s="1"/>
  <c r="D15" i="89"/>
  <c r="B11" i="88"/>
  <c r="M15" i="88"/>
  <c r="N15" i="88"/>
  <c r="D17" i="89"/>
  <c r="B13" i="88"/>
  <c r="D21" i="89"/>
  <c r="B17" i="88"/>
  <c r="D14" i="89"/>
  <c r="B10" i="88"/>
  <c r="D12" i="89"/>
  <c r="B8" i="88"/>
  <c r="J74" i="81"/>
  <c r="K74" i="81" s="1"/>
  <c r="J75" i="81"/>
  <c r="K75" i="81" s="1"/>
  <c r="J89" i="81"/>
  <c r="K89" i="81" s="1"/>
  <c r="J88" i="81"/>
  <c r="K88" i="81" s="1"/>
  <c r="P102" i="81"/>
  <c r="P105" i="81"/>
  <c r="P64" i="81"/>
  <c r="P63" i="81"/>
  <c r="P58" i="81"/>
  <c r="P114" i="81"/>
  <c r="P120" i="81"/>
  <c r="P115" i="81"/>
  <c r="P117" i="81"/>
  <c r="P119" i="81"/>
  <c r="P111" i="81"/>
  <c r="K116" i="81"/>
  <c r="P118" i="81"/>
  <c r="P113" i="81"/>
  <c r="P112" i="81"/>
  <c r="P116" i="81"/>
  <c r="J128" i="81"/>
  <c r="K128" i="81" s="1"/>
  <c r="J127" i="81"/>
  <c r="K127" i="81" s="1"/>
  <c r="P106" i="81" l="1"/>
  <c r="P100" i="81"/>
  <c r="P99" i="81"/>
  <c r="P103" i="81"/>
  <c r="K103" i="81"/>
  <c r="P101" i="81"/>
  <c r="P104" i="81"/>
  <c r="P98" i="81"/>
  <c r="O15" i="88"/>
  <c r="P61" i="81"/>
  <c r="P66" i="81"/>
  <c r="P59" i="81"/>
  <c r="P65" i="81"/>
  <c r="P62" i="81"/>
  <c r="P57" i="81"/>
  <c r="P60" i="81"/>
  <c r="M8" i="88"/>
  <c r="N8" i="88"/>
  <c r="M17" i="88"/>
  <c r="N17" i="88"/>
  <c r="J26" i="88"/>
  <c r="M9" i="88"/>
  <c r="N9" i="88"/>
  <c r="M12" i="88"/>
  <c r="N12" i="88"/>
  <c r="M7" i="88"/>
  <c r="N7" i="88"/>
  <c r="O7" i="88" s="1"/>
  <c r="M10" i="88"/>
  <c r="N10" i="88"/>
  <c r="M13" i="88"/>
  <c r="N13" i="88"/>
  <c r="M11" i="88"/>
  <c r="N11" i="88"/>
  <c r="M18" i="88"/>
  <c r="N18" i="88"/>
  <c r="O18" i="88" s="1"/>
  <c r="M14" i="88"/>
  <c r="N14" i="88"/>
  <c r="M16" i="88"/>
  <c r="N16" i="88"/>
  <c r="O16" i="88" s="1"/>
  <c r="J130" i="81"/>
  <c r="J91" i="81"/>
  <c r="J77" i="81"/>
  <c r="O13" i="88" l="1"/>
  <c r="E19" i="88" s="1"/>
  <c r="O9" i="88"/>
  <c r="Q9" i="88" s="1"/>
  <c r="J27" i="88"/>
  <c r="Q7" i="88"/>
  <c r="O17" i="88"/>
  <c r="C28" i="88"/>
  <c r="O28" i="88" s="1"/>
  <c r="D19" i="88"/>
  <c r="G19" i="88"/>
  <c r="J19" i="88"/>
  <c r="N19" i="88"/>
  <c r="O8" i="88"/>
  <c r="Q8" i="88" s="1"/>
  <c r="O14" i="88"/>
  <c r="C27" i="88" s="1"/>
  <c r="L27" i="88" s="1"/>
  <c r="T27" i="88" s="1"/>
  <c r="O11" i="88"/>
  <c r="Q11" i="88" s="1"/>
  <c r="O10" i="88"/>
  <c r="Q10" i="88" s="1"/>
  <c r="O12" i="88"/>
  <c r="C24" i="88"/>
  <c r="P77" i="81"/>
  <c r="P74" i="81"/>
  <c r="P80" i="81"/>
  <c r="P75" i="81"/>
  <c r="P79" i="81"/>
  <c r="P73" i="81"/>
  <c r="P72" i="81"/>
  <c r="P71" i="81"/>
  <c r="P78" i="81"/>
  <c r="K76" i="81"/>
  <c r="P76" i="8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H19" i="88" l="1"/>
  <c r="Q13" i="88"/>
  <c r="M19" i="88"/>
  <c r="K19" i="88"/>
  <c r="F19" i="88"/>
  <c r="I19" i="88"/>
  <c r="L19" i="88"/>
  <c r="C26" i="88"/>
  <c r="K26" i="88" s="1"/>
  <c r="AJ12" i="89" s="1"/>
  <c r="Q12" i="88"/>
  <c r="M28" i="88"/>
  <c r="C25" i="88"/>
  <c r="O25" i="88" s="1"/>
  <c r="J28" i="88"/>
  <c r="K28" i="88"/>
  <c r="AJ20" i="89" s="1"/>
  <c r="AL20" i="89" s="1"/>
  <c r="AN20" i="89" s="1"/>
  <c r="AI51" i="89" s="1"/>
  <c r="N28" i="88"/>
  <c r="L28" i="88"/>
  <c r="K27" i="88"/>
  <c r="AJ16" i="89" s="1"/>
  <c r="AL17" i="89" s="1"/>
  <c r="AN17" i="89" s="1"/>
  <c r="AI48" i="89" s="1"/>
  <c r="N27" i="88"/>
  <c r="O27" i="88"/>
  <c r="M27" i="88"/>
  <c r="O24" i="88"/>
  <c r="L24" i="88"/>
  <c r="M24" i="88"/>
  <c r="N24" i="88"/>
  <c r="K24" i="88"/>
  <c r="AJ5" i="89" s="1"/>
  <c r="AO11" i="83"/>
  <c r="AO12" i="83"/>
  <c r="AO13" i="83"/>
  <c r="AO14" i="83"/>
  <c r="AO15" i="83"/>
  <c r="O26" i="88" l="1"/>
  <c r="N26" i="88"/>
  <c r="M26" i="88"/>
  <c r="L26" i="88"/>
  <c r="T26" i="88" s="1"/>
  <c r="AL22" i="89"/>
  <c r="AN22" i="89" s="1"/>
  <c r="AI53" i="89" s="1"/>
  <c r="O139" i="90" s="1"/>
  <c r="AL21" i="89"/>
  <c r="AN21" i="89" s="1"/>
  <c r="AI52" i="89" s="1"/>
  <c r="O117" i="90" s="1"/>
  <c r="M25" i="88"/>
  <c r="L25" i="88"/>
  <c r="T25" i="88" s="1"/>
  <c r="K25" i="88"/>
  <c r="AJ8" i="89" s="1"/>
  <c r="AL8" i="89" s="1"/>
  <c r="AN8" i="89" s="1"/>
  <c r="AI39" i="89" s="1"/>
  <c r="N25" i="88"/>
  <c r="AL24" i="89"/>
  <c r="AN24" i="89" s="1"/>
  <c r="AI55" i="89" s="1"/>
  <c r="O435" i="90" s="1"/>
  <c r="AL23" i="89"/>
  <c r="AN23" i="89" s="1"/>
  <c r="AI54" i="89" s="1"/>
  <c r="O161" i="90" s="1"/>
  <c r="AL19" i="89"/>
  <c r="AN19" i="89" s="1"/>
  <c r="AI50" i="89" s="1"/>
  <c r="O346" i="90" s="1"/>
  <c r="AL16" i="89"/>
  <c r="AN16" i="89" s="1"/>
  <c r="AI47" i="89" s="1"/>
  <c r="O406" i="90" s="1"/>
  <c r="AL18" i="89"/>
  <c r="AN18" i="89" s="1"/>
  <c r="AI49" i="89" s="1"/>
  <c r="O198" i="90" s="1"/>
  <c r="AL7" i="89"/>
  <c r="AN7" i="89" s="1"/>
  <c r="AI38" i="89" s="1"/>
  <c r="AL5" i="89"/>
  <c r="AN5" i="89" s="1"/>
  <c r="AI36" i="89" s="1"/>
  <c r="AL6" i="89"/>
  <c r="AN6" i="89" s="1"/>
  <c r="AI37" i="89" s="1"/>
  <c r="O137" i="90"/>
  <c r="O74" i="90"/>
  <c r="O179" i="90"/>
  <c r="O284" i="90"/>
  <c r="O410" i="90"/>
  <c r="O221" i="90"/>
  <c r="O95" i="90"/>
  <c r="O200" i="90"/>
  <c r="O326" i="90"/>
  <c r="O431" i="90"/>
  <c r="O305" i="90"/>
  <c r="O116" i="90"/>
  <c r="O242" i="90"/>
  <c r="O347" i="90"/>
  <c r="O452" i="90"/>
  <c r="O53" i="90"/>
  <c r="O389" i="90"/>
  <c r="O158" i="90"/>
  <c r="O263" i="90"/>
  <c r="O368" i="90"/>
  <c r="O473" i="90"/>
  <c r="O365" i="90"/>
  <c r="O71" i="90"/>
  <c r="O344" i="90"/>
  <c r="O134" i="90"/>
  <c r="O239" i="90"/>
  <c r="O113" i="90"/>
  <c r="O470" i="90"/>
  <c r="O92" i="90"/>
  <c r="O428" i="90"/>
  <c r="O218" i="90"/>
  <c r="O449" i="90"/>
  <c r="O197" i="90"/>
  <c r="O407" i="90"/>
  <c r="O176" i="90"/>
  <c r="O155" i="90"/>
  <c r="O302" i="90"/>
  <c r="O281" i="90"/>
  <c r="O50" i="90"/>
  <c r="O260" i="90"/>
  <c r="O323" i="90"/>
  <c r="O386" i="90"/>
  <c r="O201" i="90"/>
  <c r="O306" i="90"/>
  <c r="AL15" i="89"/>
  <c r="AN15" i="89" s="1"/>
  <c r="AI46" i="89" s="1"/>
  <c r="AL13" i="89"/>
  <c r="AN13" i="89" s="1"/>
  <c r="AI44" i="89" s="1"/>
  <c r="AL12" i="89"/>
  <c r="AN12" i="89" s="1"/>
  <c r="AI43" i="89" s="1"/>
  <c r="AL14" i="89"/>
  <c r="AN14" i="89" s="1"/>
  <c r="AI45" i="89" s="1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O160" i="90" l="1"/>
  <c r="O246" i="90"/>
  <c r="O304" i="90"/>
  <c r="O370" i="90"/>
  <c r="O76" i="90"/>
  <c r="O430" i="90"/>
  <c r="O451" i="90"/>
  <c r="O286" i="90"/>
  <c r="O223" i="90"/>
  <c r="O454" i="90"/>
  <c r="O199" i="90"/>
  <c r="O307" i="90"/>
  <c r="O181" i="90"/>
  <c r="O73" i="90"/>
  <c r="AL9" i="89"/>
  <c r="AN9" i="89" s="1"/>
  <c r="AI40" i="89" s="1"/>
  <c r="O55" i="90"/>
  <c r="O433" i="90"/>
  <c r="O327" i="90"/>
  <c r="O285" i="90"/>
  <c r="O243" i="90"/>
  <c r="O385" i="90"/>
  <c r="O222" i="90"/>
  <c r="O390" i="90"/>
  <c r="O138" i="90"/>
  <c r="O133" i="90"/>
  <c r="O411" i="90"/>
  <c r="O54" i="90"/>
  <c r="U23" i="88"/>
  <c r="U27" i="88" s="1"/>
  <c r="O266" i="90"/>
  <c r="O96" i="90"/>
  <c r="O180" i="90"/>
  <c r="O264" i="90"/>
  <c r="O453" i="90"/>
  <c r="O474" i="90"/>
  <c r="O328" i="90"/>
  <c r="O349" i="90"/>
  <c r="O202" i="90"/>
  <c r="O475" i="90"/>
  <c r="O412" i="90"/>
  <c r="O97" i="90"/>
  <c r="O432" i="90"/>
  <c r="O369" i="90"/>
  <c r="O75" i="90"/>
  <c r="O159" i="90"/>
  <c r="O348" i="90"/>
  <c r="O391" i="90"/>
  <c r="O244" i="90"/>
  <c r="O265" i="90"/>
  <c r="O118" i="90"/>
  <c r="O225" i="90"/>
  <c r="O141" i="90"/>
  <c r="O219" i="90"/>
  <c r="O330" i="90"/>
  <c r="O345" i="90"/>
  <c r="O413" i="90"/>
  <c r="O392" i="90"/>
  <c r="O329" i="90"/>
  <c r="O287" i="90"/>
  <c r="O77" i="90"/>
  <c r="O140" i="90"/>
  <c r="O204" i="90"/>
  <c r="O72" i="90"/>
  <c r="O308" i="90"/>
  <c r="O203" i="90"/>
  <c r="O56" i="90"/>
  <c r="O477" i="90"/>
  <c r="O114" i="90"/>
  <c r="O324" i="90"/>
  <c r="O178" i="90"/>
  <c r="O325" i="90"/>
  <c r="AL11" i="89"/>
  <c r="AN11" i="89" s="1"/>
  <c r="AI42" i="89" s="1"/>
  <c r="O359" i="90" s="1"/>
  <c r="O283" i="90"/>
  <c r="O157" i="90"/>
  <c r="O388" i="90"/>
  <c r="O115" i="90"/>
  <c r="O367" i="90"/>
  <c r="O241" i="90"/>
  <c r="O476" i="90"/>
  <c r="O182" i="90"/>
  <c r="O119" i="90"/>
  <c r="O245" i="90"/>
  <c r="O455" i="90"/>
  <c r="AL10" i="89"/>
  <c r="AN10" i="89" s="1"/>
  <c r="AI41" i="89" s="1"/>
  <c r="O106" i="90" s="1"/>
  <c r="O136" i="90"/>
  <c r="O409" i="90"/>
  <c r="O220" i="90"/>
  <c r="O262" i="90"/>
  <c r="O472" i="90"/>
  <c r="O52" i="90"/>
  <c r="O94" i="90"/>
  <c r="O371" i="90"/>
  <c r="O434" i="90"/>
  <c r="O224" i="90"/>
  <c r="O98" i="90"/>
  <c r="O350" i="90"/>
  <c r="O196" i="90"/>
  <c r="O280" i="90"/>
  <c r="O469" i="90"/>
  <c r="O364" i="90"/>
  <c r="O343" i="90"/>
  <c r="O49" i="90"/>
  <c r="O91" i="90"/>
  <c r="O175" i="90"/>
  <c r="O259" i="90"/>
  <c r="O238" i="90"/>
  <c r="O448" i="90"/>
  <c r="O301" i="90"/>
  <c r="O70" i="90"/>
  <c r="O154" i="90"/>
  <c r="O112" i="90"/>
  <c r="O322" i="90"/>
  <c r="O427" i="90"/>
  <c r="O217" i="90"/>
  <c r="O267" i="90"/>
  <c r="O351" i="90"/>
  <c r="O393" i="90"/>
  <c r="O99" i="90"/>
  <c r="O78" i="90"/>
  <c r="O240" i="90"/>
  <c r="O366" i="90"/>
  <c r="O135" i="90"/>
  <c r="O261" i="90"/>
  <c r="O471" i="90"/>
  <c r="O288" i="90"/>
  <c r="O162" i="90"/>
  <c r="O57" i="90"/>
  <c r="O120" i="90"/>
  <c r="O372" i="90"/>
  <c r="O387" i="90"/>
  <c r="O450" i="90"/>
  <c r="O303" i="90"/>
  <c r="O282" i="90"/>
  <c r="O429" i="90"/>
  <c r="O177" i="90"/>
  <c r="O414" i="90"/>
  <c r="O183" i="90"/>
  <c r="O456" i="90"/>
  <c r="O309" i="90"/>
  <c r="O408" i="90"/>
  <c r="O93" i="90"/>
  <c r="O156" i="90"/>
  <c r="O51" i="90"/>
  <c r="O321" i="90"/>
  <c r="O195" i="90"/>
  <c r="O363" i="90"/>
  <c r="O216" i="90"/>
  <c r="O405" i="90"/>
  <c r="O69" i="90"/>
  <c r="O90" i="90"/>
  <c r="O258" i="90"/>
  <c r="O426" i="90"/>
  <c r="O300" i="90"/>
  <c r="O468" i="90"/>
  <c r="O153" i="90"/>
  <c r="O111" i="90"/>
  <c r="O279" i="90"/>
  <c r="O48" i="90"/>
  <c r="O384" i="90"/>
  <c r="O237" i="90"/>
  <c r="O174" i="90"/>
  <c r="O342" i="90"/>
  <c r="O132" i="90"/>
  <c r="O447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422" i="90"/>
  <c r="O257" i="90"/>
  <c r="O131" i="90"/>
  <c r="O299" i="90"/>
  <c r="O467" i="90"/>
  <c r="O362" i="90"/>
  <c r="O341" i="90"/>
  <c r="O152" i="90"/>
  <c r="O320" i="90"/>
  <c r="O110" i="90"/>
  <c r="O425" i="90"/>
  <c r="O89" i="90"/>
  <c r="O47" i="90"/>
  <c r="O215" i="90"/>
  <c r="O383" i="90"/>
  <c r="O194" i="90"/>
  <c r="O404" i="90"/>
  <c r="O173" i="90"/>
  <c r="O68" i="90"/>
  <c r="O236" i="90"/>
  <c r="O446" i="90"/>
  <c r="O278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45" i="90"/>
  <c r="O381" i="90"/>
  <c r="O87" i="90"/>
  <c r="O339" i="90"/>
  <c r="O150" i="90"/>
  <c r="O465" i="90"/>
  <c r="O129" i="90"/>
  <c r="O402" i="90"/>
  <c r="O444" i="90"/>
  <c r="O108" i="90"/>
  <c r="O234" i="90"/>
  <c r="O213" i="90"/>
  <c r="O423" i="90"/>
  <c r="O171" i="90"/>
  <c r="O192" i="90"/>
  <c r="O318" i="90"/>
  <c r="O297" i="90"/>
  <c r="O66" i="90"/>
  <c r="O255" i="90"/>
  <c r="O360" i="90"/>
  <c r="O276" i="90"/>
  <c r="O273" i="90"/>
  <c r="O84" i="90"/>
  <c r="O210" i="90"/>
  <c r="O315" i="90"/>
  <c r="O399" i="90"/>
  <c r="O357" i="90"/>
  <c r="O126" i="90"/>
  <c r="O231" i="90"/>
  <c r="O336" i="90"/>
  <c r="O420" i="90"/>
  <c r="O105" i="90"/>
  <c r="O42" i="90"/>
  <c r="O147" i="90"/>
  <c r="O252" i="90"/>
  <c r="O378" i="90"/>
  <c r="O441" i="90"/>
  <c r="O189" i="90"/>
  <c r="O63" i="90"/>
  <c r="O168" i="90"/>
  <c r="O294" i="90"/>
  <c r="O462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U24" i="88" l="1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D5" i="84"/>
  <c r="D6" i="84"/>
  <c r="D7" i="84"/>
  <c r="D8" i="84"/>
  <c r="D9" i="84"/>
  <c r="D10" i="84"/>
  <c r="D11" i="84"/>
  <c r="D12" i="84"/>
  <c r="D13" i="84"/>
  <c r="D14" i="84"/>
  <c r="D15" i="84"/>
  <c r="D16" i="84"/>
  <c r="D17" i="84"/>
  <c r="D18" i="84"/>
  <c r="D19" i="84"/>
  <c r="D4" i="84"/>
  <c r="J47" i="81" s="1"/>
  <c r="C2" i="84"/>
  <c r="AY19" i="83" l="1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BH3" i="83" l="1"/>
  <c r="BH14" i="83" s="1"/>
  <c r="BH27" i="83"/>
  <c r="J50" i="8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<sst xmlns="http://schemas.openxmlformats.org/spreadsheetml/2006/main" count="950" uniqueCount="454">
  <si>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</si>
  <si>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</si>
  <si>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</si>
  <si>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</si>
  <si>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</si>
  <si>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</si>
  <si>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</si>
  <si>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</si>
  <si>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</si>
  <si>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</si>
  <si>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</si>
  <si>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</si>
  <si>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</si>
  <si>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</si>
  <si>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</si>
  <si>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</si>
  <si>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</si>
  <si>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</si>
  <si>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</si>
  <si>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</si>
  <si>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</si>
  <si>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</si>
  <si>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</si>
  <si>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</si>
  <si>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</si>
  <si>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</si>
  <si>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</si>
  <si>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</si>
  <si>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</si>
  <si>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</si>
  <si>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</si>
  <si>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</si>
  <si>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</si>
  <si>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</si>
  <si>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</si>
  <si>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</si>
  <si>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</si>
  <si>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</si>
  <si>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</si>
  <si>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</si>
  <si>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</si>
  <si>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</si>
  <si>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</si>
  <si>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</si>
  <si>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</si>
  <si>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</si>
  <si>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</si>
  <si>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</si>
  <si>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</si>
  <si>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</si>
  <si>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</si>
  <si>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</si>
  <si>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</si>
  <si>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</si>
  <si>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</si>
  <si>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</si>
  <si>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</si>
  <si>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</si>
  <si>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</si>
  <si>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</si>
  <si>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</si>
  <si>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</si>
  <si>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</si>
  <si>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</si>
  <si>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</si>
  <si>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</si>
  <si>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</si>
  <si>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</si>
  <si>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</si>
  <si>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</si>
  <si>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</si>
  <si>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</si>
  <si>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</si>
  <si>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</si>
  <si>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</si>
  <si>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</si>
  <si>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</si>
  <si>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</si>
  <si>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</si>
  <si>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</si>
  <si>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</si>
  <si>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</si>
  <si>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</si>
  <si>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</si>
  <si>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</si>
  <si>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</si>
  <si>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</si>
  <si>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</si>
  <si>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</si>
  <si>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</si>
  <si>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LvLimit</t>
    <phoneticPr fontId="2" type="noConversion"/>
  </si>
  <si>
    <t>LvShow</t>
    <phoneticPr fontId="2" type="noConversion"/>
  </si>
  <si>
    <t>验证</t>
    <phoneticPr fontId="2" type="noConversion"/>
  </si>
  <si>
    <t>数量</t>
    <phoneticPr fontId="2" type="noConversion"/>
  </si>
  <si>
    <t>奖励3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</si>
  <si>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</si>
  <si>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</si>
  <si>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</si>
  <si>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</si>
  <si>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</si>
  <si>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</si>
  <si>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</si>
  <si>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</si>
  <si>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</si>
  <si>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</si>
  <si>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</si>
  <si>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</si>
  <si>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</si>
  <si>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</si>
  <si>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</si>
  <si>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</si>
  <si>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</si>
  <si>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</si>
  <si>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</si>
  <si>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奖励1.id</t>
    <phoneticPr fontId="2" type="noConversion"/>
  </si>
  <si>
    <t>奖励2.id</t>
    <phoneticPr fontId="2" type="noConversion"/>
  </si>
  <si>
    <t>奖励2.num</t>
    <phoneticPr fontId="2" type="noConversion"/>
  </si>
  <si>
    <t>初级专属强化石</t>
  </si>
  <si>
    <t>中级专属强化石</t>
  </si>
  <si>
    <t>高级专属强化石</t>
  </si>
  <si>
    <t>专属武器-低</t>
    <phoneticPr fontId="2" type="noConversion"/>
  </si>
  <si>
    <t>专属武器-低中</t>
    <phoneticPr fontId="2" type="noConversion"/>
  </si>
  <si>
    <t>专属武器-中高</t>
    <phoneticPr fontId="2" type="noConversion"/>
  </si>
  <si>
    <t>停留</t>
    <phoneticPr fontId="2" type="noConversion"/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</si>
  <si>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</si>
  <si>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</si>
  <si>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</si>
  <si>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</si>
  <si>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</si>
  <si>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</si>
  <si>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</si>
  <si>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</si>
  <si>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</si>
  <si>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</si>
  <si>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</si>
  <si>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</si>
  <si>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</si>
  <si>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</si>
  <si>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</si>
  <si>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</si>
  <si>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</si>
  <si>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</si>
  <si>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</si>
  <si>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</si>
  <si>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</si>
  <si>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</si>
  <si>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</si>
  <si>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</si>
  <si>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</si>
  <si>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</si>
  <si>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</si>
  <si>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</si>
  <si>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</si>
  <si>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</si>
  <si>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</si>
  <si>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</si>
  <si>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</si>
  <si>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</si>
  <si>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</si>
  <si>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</si>
  <si>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</si>
  <si>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</si>
  <si>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</si>
  <si>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</si>
  <si>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</si>
  <si>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</si>
  <si>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</si>
  <si>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</si>
  <si>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</si>
  <si>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</si>
  <si>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</si>
  <si>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</si>
  <si>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</si>
  <si>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</si>
  <si>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</si>
  <si>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</si>
  <si>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</si>
  <si>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</si>
  <si>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</si>
  <si>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</si>
  <si>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</si>
  <si>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</si>
  <si>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</si>
  <si>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</si>
  <si>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</si>
  <si>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</si>
  <si>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</si>
  <si>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</si>
  <si>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</si>
  <si>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</si>
  <si>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</si>
  <si>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</si>
  <si>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</si>
  <si>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</si>
  <si>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</si>
  <si>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</si>
  <si>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</si>
  <si>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</si>
  <si>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</si>
  <si>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</si>
  <si>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</si>
  <si>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</si>
  <si>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</si>
  <si>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</si>
  <si>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</si>
  <si>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</si>
  <si>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</si>
  <si>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</si>
  <si>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</si>
  <si>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</si>
  <si>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</si>
  <si>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</si>
  <si>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</si>
  <si>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</si>
  <si>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</si>
  <si>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</si>
  <si>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</si>
  <si>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</si>
  <si>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</si>
  <si>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</si>
  <si>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</si>
  <si>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</si>
  <si>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</si>
  <si>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</si>
  <si>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</si>
  <si>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</si>
  <si>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</si>
  <si>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</si>
  <si>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奖励4</t>
    <phoneticPr fontId="2" type="noConversion"/>
  </si>
  <si>
    <t>金币</t>
    <phoneticPr fontId="2" type="noConversion"/>
  </si>
  <si>
    <t>奖励4.num</t>
    <phoneticPr fontId="2" type="noConversion"/>
  </si>
  <si>
    <t>Cha</t>
    <phoneticPr fontId="2" type="noConversion"/>
  </si>
  <si>
    <t>金币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</si>
  <si>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</si>
  <si>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</si>
  <si>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</si>
  <si>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</si>
  <si>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</si>
  <si>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</si>
  <si>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</si>
  <si>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</si>
  <si>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</si>
  <si>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</si>
  <si>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</si>
  <si>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</si>
  <si>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</si>
  <si>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</si>
  <si>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</si>
  <si>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</si>
  <si>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</si>
  <si>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</si>
  <si>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</si>
  <si>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</si>
  <si>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</si>
  <si>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</si>
  <si>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</si>
  <si>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</si>
  <si>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</si>
  <si>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</si>
  <si>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</si>
  <si>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</si>
  <si>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</si>
  <si>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</si>
  <si>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</si>
  <si>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</si>
  <si>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</si>
  <si>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</si>
  <si>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</si>
  <si>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</si>
  <si>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</si>
  <si>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</si>
  <si>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</si>
  <si>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</si>
  <si>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</si>
  <si>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</si>
  <si>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</si>
  <si>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</si>
  <si>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</si>
  <si>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</si>
  <si>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</si>
  <si>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</si>
  <si>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</si>
  <si>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</si>
  <si>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</si>
  <si>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</si>
  <si>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</si>
  <si>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</si>
  <si>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</si>
  <si>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</si>
  <si>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</si>
  <si>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</si>
  <si>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</si>
  <si>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</si>
  <si>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</si>
  <si>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</si>
  <si>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比例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</si>
  <si>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</si>
  <si>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</si>
  <si>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</si>
  <si>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</si>
  <si>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</si>
  <si>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</si>
  <si>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</si>
  <si>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</si>
  <si>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</si>
  <si>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</si>
  <si>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</si>
  <si>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</si>
  <si>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</si>
  <si>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</si>
  <si>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</si>
  <si>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</si>
  <si>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</si>
  <si>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</si>
  <si>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</si>
  <si>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</si>
  <si>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</si>
  <si>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</si>
  <si>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</si>
  <si>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</si>
  <si>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</si>
  <si>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</si>
  <si>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</si>
  <si>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</si>
  <si>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</si>
  <si>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</si>
  <si>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</si>
  <si>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</si>
  <si>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</si>
  <si>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</si>
  <si>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</si>
  <si>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</si>
  <si>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</si>
  <si>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</si>
  <si>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</si>
  <si>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</si>
  <si>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</si>
  <si>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</si>
  <si>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</si>
  <si>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</si>
  <si>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</si>
  <si>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</si>
  <si>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</si>
  <si>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</si>
  <si>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</si>
  <si>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</si>
  <si>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</si>
  <si>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</si>
  <si>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</si>
  <si>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</si>
  <si>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</si>
  <si>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</si>
  <si>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</si>
  <si>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</si>
  <si>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</si>
  <si>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</si>
  <si>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</si>
  <si>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</si>
  <si>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</si>
  <si>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</si>
  <si>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</si>
  <si>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</si>
  <si>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</si>
  <si>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</si>
  <si>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</si>
  <si>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</si>
  <si>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</si>
  <si>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</si>
  <si>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</si>
  <si>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</si>
  <si>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</si>
  <si>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</si>
  <si>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</si>
  <si>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</si>
  <si>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</si>
  <si>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</si>
  <si>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</si>
  <si>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</si>
  <si>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</si>
  <si>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</si>
  <si>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</si>
  <si>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</si>
  <si>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</si>
  <si>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</si>
  <si>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</si>
  <si>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</si>
  <si>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</si>
  <si>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</si>
  <si>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</si>
  <si>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</si>
  <si>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预估产出</t>
    <phoneticPr fontId="2" type="noConversion"/>
  </si>
  <si>
    <t>高级</t>
    <phoneticPr fontId="2" type="noConversion"/>
  </si>
  <si>
    <t>使用一次牧守令</t>
    <phoneticPr fontId="2" type="noConversion"/>
  </si>
  <si>
    <t>停留</t>
    <phoneticPr fontId="2" type="noConversion"/>
  </si>
  <si>
    <t>章节</t>
    <phoneticPr fontId="2" type="noConversion"/>
  </si>
  <si>
    <t>奖励1.num</t>
    <phoneticPr fontId="2" type="noConversion"/>
  </si>
  <si>
    <t>奖励1.Prob</t>
    <phoneticPr fontId="2" type="noConversion"/>
  </si>
  <si>
    <t>神器7</t>
    <phoneticPr fontId="2" type="noConversion"/>
  </si>
  <si>
    <t>神器6</t>
    <phoneticPr fontId="2" type="noConversion"/>
  </si>
  <si>
    <t>神器6</t>
    <phoneticPr fontId="2" type="noConversion"/>
  </si>
  <si>
    <t>神器5</t>
    <phoneticPr fontId="2" type="noConversion"/>
  </si>
  <si>
    <t>神器4</t>
    <phoneticPr fontId="2" type="noConversion"/>
  </si>
  <si>
    <t>神器3</t>
    <phoneticPr fontId="2" type="noConversion"/>
  </si>
  <si>
    <t>神器2</t>
    <phoneticPr fontId="2" type="noConversion"/>
  </si>
  <si>
    <t>神器1</t>
    <phoneticPr fontId="2" type="noConversion"/>
  </si>
  <si>
    <t>数量</t>
    <phoneticPr fontId="2" type="noConversion"/>
  </si>
  <si>
    <t>强化石</t>
    <phoneticPr fontId="2" type="noConversion"/>
  </si>
  <si>
    <t>价值</t>
    <phoneticPr fontId="2" type="noConversion"/>
  </si>
  <si>
    <t>#note</t>
    <phoneticPr fontId="2" type="noConversion"/>
  </si>
  <si>
    <t>单价</t>
    <phoneticPr fontId="2" type="noConversion"/>
  </si>
  <si>
    <t>部位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</si>
  <si>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</si>
  <si>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</si>
  <si>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</si>
  <si>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</si>
  <si>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</si>
  <si>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</si>
  <si>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</si>
  <si>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</si>
  <si>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</si>
  <si>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</si>
  <si>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</si>
  <si>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</si>
  <si>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</si>
  <si>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</si>
  <si>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</si>
  <si>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</si>
  <si>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</si>
  <si>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</si>
  <si>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</si>
  <si>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</si>
  <si>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</si>
  <si>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</si>
  <si>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</si>
  <si>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</si>
  <si>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</si>
  <si>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</si>
  <si>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</si>
  <si>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</si>
  <si>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</si>
  <si>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</si>
  <si>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</si>
  <si>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</si>
  <si>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</si>
  <si>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专属强化石</t>
  </si>
  <si>
    <t>RowID</t>
    <phoneticPr fontId="2" type="noConversion"/>
  </si>
  <si>
    <t>总价</t>
    <phoneticPr fontId="2" type="noConversion"/>
  </si>
  <si>
    <t>奖励3.id</t>
    <phoneticPr fontId="2" type="noConversion"/>
  </si>
  <si>
    <t>奖励3.num</t>
    <phoneticPr fontId="2" type="noConversion"/>
  </si>
  <si>
    <t>新评估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</si>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</sst>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7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0" borderId="23" xfId="0" applyBorder="1" applyAlignment="1">
      <alignment horizontal="center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5" t="s">
        <v>13</v>
      </c>
      <c r="C2" s="46"/>
      <c r="D2" s="46"/>
      <c r="E2" s="47"/>
    </row>
    <row r="3" spans="2:5" ht="35.1" customHeight="1" x14ac:dyDescent="0.2">
      <c r="B3" s="2" t="s">
        <v>0</v>
      </c>
      <c r="C3" s="3" t="s">
        <v>11</v>
      </c>
      <c r="D3" s="48" t="s">
        <v>1</v>
      </c>
      <c r="E3" s="50" t="s">
        <v>14</v>
      </c>
    </row>
    <row r="4" spans="2:5" ht="35.1" customHeight="1" x14ac:dyDescent="0.2">
      <c r="B4" s="2" t="s">
        <v>2</v>
      </c>
      <c r="C4" s="3" t="s">
        <v>12</v>
      </c>
      <c r="D4" s="49"/>
      <c r="E4" s="51"/>
    </row>
    <row r="5" spans="2:5" ht="35.1" customHeight="1" x14ac:dyDescent="0.2">
      <c r="B5" s="4" t="s">
        <v>3</v>
      </c>
      <c r="C5" s="52" t="s">
        <v>15</v>
      </c>
      <c r="D5" s="53"/>
      <c r="E5" s="54"/>
    </row>
    <row r="6" spans="2:5" ht="18" x14ac:dyDescent="0.2">
      <c r="B6" s="55" t="s">
        <v>4</v>
      </c>
      <c r="C6" s="56"/>
      <c r="D6" s="56"/>
      <c r="E6" s="57"/>
    </row>
    <row r="7" spans="2:5" ht="18" x14ac:dyDescent="0.2">
      <c r="B7" s="5" t="s">
        <v>5</v>
      </c>
      <c r="C7" s="6" t="s">
        <v>6</v>
      </c>
      <c r="D7" s="43" t="s">
        <v>7</v>
      </c>
      <c r="E7" s="44"/>
    </row>
    <row r="8" spans="2:5" x14ac:dyDescent="0.2">
      <c r="B8" s="7">
        <v>43490</v>
      </c>
      <c r="C8" s="8" t="s">
        <v>10</v>
      </c>
      <c r="D8" s="58" t="s">
        <v>8</v>
      </c>
      <c r="E8" s="59"/>
    </row>
    <row r="9" spans="2:5" x14ac:dyDescent="0.2">
      <c r="B9" s="7"/>
      <c r="C9" s="8"/>
      <c r="D9" s="58"/>
      <c r="E9" s="59"/>
    </row>
    <row r="10" spans="2:5" x14ac:dyDescent="0.2">
      <c r="B10" s="9"/>
      <c r="C10" s="8"/>
      <c r="D10" s="58"/>
      <c r="E10" s="59"/>
    </row>
    <row r="11" spans="2:5" x14ac:dyDescent="0.2">
      <c r="B11" s="9"/>
      <c r="C11" s="8"/>
      <c r="D11" s="58"/>
      <c r="E11" s="59"/>
    </row>
    <row r="12" spans="2:5" x14ac:dyDescent="0.2">
      <c r="B12" s="9"/>
      <c r="C12" s="8"/>
      <c r="D12" s="58"/>
      <c r="E12" s="59"/>
    </row>
    <row r="13" spans="2:5" x14ac:dyDescent="0.2">
      <c r="B13" s="9"/>
      <c r="C13" s="8"/>
      <c r="D13" s="58"/>
      <c r="E13" s="59"/>
    </row>
    <row r="14" spans="2:5" x14ac:dyDescent="0.2">
      <c r="B14" s="9"/>
      <c r="C14" s="8"/>
      <c r="D14" s="58"/>
      <c r="E14" s="59"/>
    </row>
    <row r="15" spans="2:5" x14ac:dyDescent="0.2">
      <c r="B15" s="9"/>
      <c r="C15" s="8"/>
      <c r="D15" s="58"/>
      <c r="E15" s="59"/>
    </row>
    <row r="16" spans="2:5" x14ac:dyDescent="0.2">
      <c r="B16" s="9"/>
      <c r="C16" s="8"/>
      <c r="D16" s="58"/>
      <c r="E16" s="59"/>
    </row>
    <row r="17" spans="2:5" x14ac:dyDescent="0.2">
      <c r="B17" s="9"/>
      <c r="C17" s="8"/>
      <c r="D17" s="58"/>
      <c r="E17" s="59"/>
    </row>
    <row r="18" spans="2:5" x14ac:dyDescent="0.2">
      <c r="B18" s="9"/>
      <c r="C18" s="8"/>
      <c r="D18" s="58"/>
      <c r="E18" s="59"/>
    </row>
    <row r="19" spans="2:5" x14ac:dyDescent="0.2">
      <c r="B19" s="9"/>
      <c r="C19" s="8"/>
      <c r="D19" s="58"/>
      <c r="E19" s="59"/>
    </row>
    <row r="20" spans="2:5" x14ac:dyDescent="0.2">
      <c r="B20" s="9"/>
      <c r="C20" s="8"/>
      <c r="D20" s="58"/>
      <c r="E20" s="59"/>
    </row>
    <row r="21" spans="2:5" x14ac:dyDescent="0.2">
      <c r="B21" s="9"/>
      <c r="C21" s="8"/>
      <c r="D21" s="58"/>
      <c r="E21" s="59"/>
    </row>
    <row r="22" spans="2:5" x14ac:dyDescent="0.2">
      <c r="B22" s="9"/>
      <c r="C22" s="8"/>
      <c r="D22" s="58"/>
      <c r="E22" s="59"/>
    </row>
    <row r="23" spans="2:5" x14ac:dyDescent="0.2">
      <c r="B23" s="9"/>
      <c r="C23" s="8"/>
      <c r="D23" s="58"/>
      <c r="E23" s="59"/>
    </row>
    <row r="24" spans="2:5" x14ac:dyDescent="0.2">
      <c r="B24" s="9"/>
      <c r="C24" s="8"/>
      <c r="D24" s="58"/>
      <c r="E24" s="59"/>
    </row>
    <row r="25" spans="2:5" x14ac:dyDescent="0.2">
      <c r="B25" s="9"/>
      <c r="C25" s="8"/>
      <c r="D25" s="58"/>
      <c r="E25" s="59"/>
    </row>
    <row r="26" spans="2:5" x14ac:dyDescent="0.2">
      <c r="B26" s="9"/>
      <c r="C26" s="8"/>
      <c r="D26" s="58"/>
      <c r="E26" s="59"/>
    </row>
    <row r="27" spans="2:5" x14ac:dyDescent="0.2">
      <c r="B27" s="9"/>
      <c r="C27" s="8"/>
      <c r="D27" s="58"/>
      <c r="E27" s="59"/>
    </row>
    <row r="28" spans="2:5" ht="18" thickBot="1" x14ac:dyDescent="0.25">
      <c r="B28" s="10"/>
      <c r="C28" s="11"/>
      <c r="D28" s="60"/>
      <c r="E28" s="61"/>
    </row>
    <row r="30" spans="2:5" x14ac:dyDescent="0.2">
      <c r="B30" s="62" t="s">
        <v>9</v>
      </c>
      <c r="C30" s="62"/>
      <c r="D30" s="62"/>
      <c r="E30" s="6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G25" sqref="G25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6">
        <f>SUM(C4:C19)</f>
        <v>20</v>
      </c>
      <c r="D2" s="27">
        <v>5000</v>
      </c>
      <c r="E2" s="27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233</v>
      </c>
    </row>
    <row r="4" spans="1:5" ht="16.5" x14ac:dyDescent="0.2">
      <c r="A4" s="19">
        <v>1</v>
      </c>
      <c r="B4" s="19" t="s">
        <v>66</v>
      </c>
      <c r="C4" s="19">
        <v>1</v>
      </c>
      <c r="D4" s="16">
        <f>D$2/C$2*C4</f>
        <v>250</v>
      </c>
      <c r="E4" s="16">
        <f>E$2/$C$2*$C4</f>
        <v>1000</v>
      </c>
    </row>
    <row r="5" spans="1:5" ht="16.5" x14ac:dyDescent="0.2">
      <c r="A5" s="19">
        <v>2</v>
      </c>
      <c r="B5" s="19" t="s">
        <v>67</v>
      </c>
      <c r="C5" s="19">
        <v>1</v>
      </c>
      <c r="D5" s="16">
        <f t="shared" ref="D5:D19" si="0">D$2/C$2*C5</f>
        <v>250</v>
      </c>
      <c r="E5" s="16">
        <f t="shared" ref="E5:E19" si="1">E$2/$C$2*$C5</f>
        <v>1000</v>
      </c>
    </row>
    <row r="6" spans="1:5" ht="16.5" x14ac:dyDescent="0.2">
      <c r="A6" s="19">
        <v>3</v>
      </c>
      <c r="B6" s="19" t="s">
        <v>68</v>
      </c>
      <c r="C6" s="19">
        <v>1</v>
      </c>
      <c r="D6" s="16">
        <f t="shared" si="0"/>
        <v>250</v>
      </c>
      <c r="E6" s="16">
        <f t="shared" si="1"/>
        <v>1000</v>
      </c>
    </row>
    <row r="7" spans="1:5" ht="16.5" x14ac:dyDescent="0.2">
      <c r="A7" s="19">
        <v>4</v>
      </c>
      <c r="B7" s="19" t="s">
        <v>69</v>
      </c>
      <c r="C7" s="19">
        <v>1</v>
      </c>
      <c r="D7" s="16">
        <f t="shared" si="0"/>
        <v>250</v>
      </c>
      <c r="E7" s="16">
        <f t="shared" si="1"/>
        <v>1000</v>
      </c>
    </row>
    <row r="8" spans="1:5" ht="16.5" x14ac:dyDescent="0.2">
      <c r="A8" s="19">
        <v>5</v>
      </c>
      <c r="B8" s="19" t="s">
        <v>392</v>
      </c>
      <c r="C8" s="19">
        <v>1</v>
      </c>
      <c r="D8" s="16">
        <f t="shared" si="0"/>
        <v>250</v>
      </c>
      <c r="E8" s="16">
        <f t="shared" si="1"/>
        <v>1000</v>
      </c>
    </row>
    <row r="9" spans="1:5" ht="16.5" x14ac:dyDescent="0.2">
      <c r="A9" s="19">
        <v>6</v>
      </c>
      <c r="B9" s="19" t="s">
        <v>70</v>
      </c>
      <c r="C9" s="19">
        <v>1</v>
      </c>
      <c r="D9" s="16">
        <f t="shared" si="0"/>
        <v>250</v>
      </c>
      <c r="E9" s="16">
        <f t="shared" si="1"/>
        <v>1000</v>
      </c>
    </row>
    <row r="10" spans="1:5" ht="16.5" x14ac:dyDescent="0.2">
      <c r="A10" s="19">
        <v>7</v>
      </c>
      <c r="B10" s="19" t="s">
        <v>71</v>
      </c>
      <c r="C10" s="19">
        <v>1</v>
      </c>
      <c r="D10" s="16">
        <f t="shared" si="0"/>
        <v>250</v>
      </c>
      <c r="E10" s="16">
        <f t="shared" si="1"/>
        <v>1000</v>
      </c>
    </row>
    <row r="11" spans="1:5" ht="16.5" x14ac:dyDescent="0.2">
      <c r="A11" s="19">
        <v>8</v>
      </c>
      <c r="B11" s="19" t="s">
        <v>72</v>
      </c>
      <c r="C11" s="19">
        <v>1</v>
      </c>
      <c r="D11" s="16">
        <f t="shared" si="0"/>
        <v>250</v>
      </c>
      <c r="E11" s="16">
        <f t="shared" si="1"/>
        <v>1000</v>
      </c>
    </row>
    <row r="12" spans="1:5" ht="16.5" x14ac:dyDescent="0.2">
      <c r="A12" s="19">
        <v>9</v>
      </c>
      <c r="B12" s="19" t="s">
        <v>73</v>
      </c>
      <c r="C12" s="19">
        <v>1</v>
      </c>
      <c r="D12" s="16">
        <f t="shared" si="0"/>
        <v>250</v>
      </c>
      <c r="E12" s="16">
        <f t="shared" si="1"/>
        <v>1000</v>
      </c>
    </row>
    <row r="13" spans="1:5" ht="16.5" x14ac:dyDescent="0.2">
      <c r="A13" s="19">
        <v>10</v>
      </c>
      <c r="B13" s="19" t="s">
        <v>74</v>
      </c>
      <c r="C13" s="19">
        <v>1</v>
      </c>
      <c r="D13" s="16">
        <f t="shared" si="0"/>
        <v>250</v>
      </c>
      <c r="E13" s="16">
        <f t="shared" si="1"/>
        <v>1000</v>
      </c>
    </row>
    <row r="14" spans="1:5" ht="16.5" x14ac:dyDescent="0.2">
      <c r="A14" s="19">
        <v>11</v>
      </c>
      <c r="B14" s="19" t="s">
        <v>75</v>
      </c>
      <c r="C14" s="19">
        <v>1</v>
      </c>
      <c r="D14" s="16">
        <f t="shared" si="0"/>
        <v>250</v>
      </c>
      <c r="E14" s="16">
        <f t="shared" si="1"/>
        <v>1000</v>
      </c>
    </row>
    <row r="15" spans="1:5" ht="16.5" x14ac:dyDescent="0.2">
      <c r="A15" s="19">
        <v>12</v>
      </c>
      <c r="B15" s="19" t="s">
        <v>76</v>
      </c>
      <c r="C15" s="19">
        <v>2</v>
      </c>
      <c r="D15" s="16">
        <f t="shared" si="0"/>
        <v>500</v>
      </c>
      <c r="E15" s="16">
        <f t="shared" si="1"/>
        <v>2000</v>
      </c>
    </row>
    <row r="16" spans="1:5" ht="16.5" x14ac:dyDescent="0.2">
      <c r="A16" s="19">
        <v>13</v>
      </c>
      <c r="B16" s="19" t="s">
        <v>77</v>
      </c>
      <c r="C16" s="19">
        <v>1</v>
      </c>
      <c r="D16" s="16">
        <f t="shared" si="0"/>
        <v>250</v>
      </c>
      <c r="E16" s="16">
        <f t="shared" si="1"/>
        <v>1000</v>
      </c>
    </row>
    <row r="17" spans="1:5" ht="16.5" x14ac:dyDescent="0.2">
      <c r="A17" s="19">
        <v>14</v>
      </c>
      <c r="B17" s="19" t="s">
        <v>78</v>
      </c>
      <c r="C17" s="19">
        <v>3</v>
      </c>
      <c r="D17" s="16">
        <f t="shared" si="0"/>
        <v>750</v>
      </c>
      <c r="E17" s="16">
        <f t="shared" si="1"/>
        <v>3000</v>
      </c>
    </row>
    <row r="18" spans="1:5" ht="16.5" x14ac:dyDescent="0.2">
      <c r="A18" s="19">
        <v>15</v>
      </c>
      <c r="B18" s="19" t="s">
        <v>42</v>
      </c>
      <c r="C18" s="19">
        <v>1</v>
      </c>
      <c r="D18" s="16">
        <f t="shared" si="0"/>
        <v>250</v>
      </c>
      <c r="E18" s="16">
        <f t="shared" si="1"/>
        <v>1000</v>
      </c>
    </row>
    <row r="19" spans="1:5" ht="16.5" x14ac:dyDescent="0.2">
      <c r="A19" s="19">
        <v>16</v>
      </c>
      <c r="B19" s="19" t="s">
        <v>79</v>
      </c>
      <c r="C19" s="19">
        <v>2</v>
      </c>
      <c r="D19" s="16">
        <f t="shared" si="0"/>
        <v>500</v>
      </c>
      <c r="E19" s="16">
        <f t="shared" si="1"/>
        <v>2000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P26" sqref="P26:P27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3.875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9" t="s">
        <v>277</v>
      </c>
      <c r="S1" s="30">
        <v>3</v>
      </c>
      <c r="T1" s="17"/>
    </row>
    <row r="2" spans="1:40" ht="16.5" x14ac:dyDescent="0.2">
      <c r="A2" s="29" t="s">
        <v>275</v>
      </c>
      <c r="B2" s="30">
        <v>1</v>
      </c>
    </row>
    <row r="3" spans="1:40" ht="20.25" x14ac:dyDescent="0.2">
      <c r="A3" s="63" t="s">
        <v>184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R3" s="63" t="s">
        <v>267</v>
      </c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</row>
    <row r="4" spans="1:40" ht="17.25" x14ac:dyDescent="0.2">
      <c r="A4" s="17"/>
      <c r="B4" s="17"/>
      <c r="C4" s="17"/>
      <c r="D4" s="17"/>
      <c r="E4" s="29" t="s">
        <v>263</v>
      </c>
      <c r="F4" s="30">
        <v>1</v>
      </c>
      <c r="G4" s="30">
        <v>0.5</v>
      </c>
      <c r="H4" s="30">
        <v>0.2</v>
      </c>
      <c r="I4" s="30">
        <v>0.1</v>
      </c>
      <c r="J4" s="30">
        <v>0.05</v>
      </c>
      <c r="K4" s="30">
        <v>0.5</v>
      </c>
      <c r="L4" s="30">
        <v>0.2</v>
      </c>
      <c r="M4" s="30">
        <v>0.1</v>
      </c>
      <c r="N4" s="30">
        <v>0.1</v>
      </c>
      <c r="O4" s="36">
        <v>1</v>
      </c>
      <c r="P4" s="36">
        <v>1</v>
      </c>
      <c r="R4" s="12" t="s">
        <v>243</v>
      </c>
      <c r="S4" s="12" t="s">
        <v>244</v>
      </c>
      <c r="T4" s="12" t="s">
        <v>276</v>
      </c>
      <c r="U4" s="12" t="s">
        <v>253</v>
      </c>
      <c r="V4" s="12" t="s">
        <v>255</v>
      </c>
      <c r="W4" s="12" t="s">
        <v>245</v>
      </c>
      <c r="X4" s="12" t="s">
        <v>246</v>
      </c>
      <c r="Y4" s="12" t="s">
        <v>247</v>
      </c>
      <c r="Z4" s="12" t="s">
        <v>248</v>
      </c>
      <c r="AA4" s="12" t="s">
        <v>265</v>
      </c>
      <c r="AB4" s="12" t="s">
        <v>249</v>
      </c>
      <c r="AC4" s="12" t="s">
        <v>250</v>
      </c>
      <c r="AD4" s="12" t="s">
        <v>251</v>
      </c>
      <c r="AE4" s="12" t="s">
        <v>252</v>
      </c>
      <c r="AJ4" s="12" t="s">
        <v>306</v>
      </c>
      <c r="AK4" s="12" t="s">
        <v>307</v>
      </c>
      <c r="AL4" s="12" t="s">
        <v>308</v>
      </c>
      <c r="AM4" s="12" t="s">
        <v>309</v>
      </c>
      <c r="AN4" s="12" t="s">
        <v>286</v>
      </c>
    </row>
    <row r="5" spans="1:40" ht="16.5" x14ac:dyDescent="0.2">
      <c r="A5" s="17"/>
      <c r="B5" s="17"/>
      <c r="C5" s="17"/>
      <c r="D5" s="17"/>
      <c r="E5" s="29" t="s">
        <v>264</v>
      </c>
      <c r="F5" s="30">
        <v>6</v>
      </c>
      <c r="G5" s="30">
        <v>6</v>
      </c>
      <c r="H5" s="30">
        <v>6</v>
      </c>
      <c r="I5" s="30">
        <v>6</v>
      </c>
      <c r="J5" s="30">
        <v>6</v>
      </c>
      <c r="K5" s="30">
        <v>20</v>
      </c>
      <c r="L5" s="30">
        <v>20</v>
      </c>
      <c r="M5" s="30">
        <v>20</v>
      </c>
      <c r="N5" s="30">
        <v>60</v>
      </c>
      <c r="O5" s="36">
        <v>1</v>
      </c>
      <c r="P5" s="36">
        <v>1</v>
      </c>
      <c r="R5" s="30">
        <v>1</v>
      </c>
      <c r="S5" s="30" t="s">
        <v>254</v>
      </c>
      <c r="T5" s="30">
        <v>1</v>
      </c>
      <c r="U5" s="30">
        <v>5</v>
      </c>
      <c r="V5" s="30">
        <v>15</v>
      </c>
      <c r="W5" s="21">
        <v>0.1</v>
      </c>
      <c r="X5" s="30"/>
      <c r="Y5" s="30"/>
      <c r="Z5" s="30"/>
      <c r="AA5" s="30"/>
      <c r="AB5" s="30"/>
      <c r="AC5" s="30"/>
      <c r="AD5" s="30"/>
      <c r="AE5" s="30"/>
      <c r="AJ5" s="16">
        <f>金币总产!K24</f>
        <v>85441</v>
      </c>
      <c r="AK5" s="21">
        <v>0.1</v>
      </c>
      <c r="AL5" s="16">
        <f>INT(AJ$5*AK5)</f>
        <v>8544</v>
      </c>
      <c r="AM5" s="36">
        <v>1</v>
      </c>
      <c r="AN5" s="16">
        <f>INT(AL5/AM5/$S$1/500)*500</f>
        <v>2500</v>
      </c>
    </row>
    <row r="6" spans="1:40" ht="17.25" x14ac:dyDescent="0.2">
      <c r="A6" s="12" t="s">
        <v>214</v>
      </c>
      <c r="B6" s="12" t="s">
        <v>269</v>
      </c>
      <c r="C6" s="12" t="s">
        <v>268</v>
      </c>
      <c r="D6" s="12" t="s">
        <v>149</v>
      </c>
      <c r="E6" s="12" t="s">
        <v>242</v>
      </c>
      <c r="F6" s="12" t="s">
        <v>235</v>
      </c>
      <c r="G6" s="12" t="s">
        <v>236</v>
      </c>
      <c r="H6" s="12" t="s">
        <v>237</v>
      </c>
      <c r="I6" s="12" t="s">
        <v>238</v>
      </c>
      <c r="J6" s="12" t="s">
        <v>266</v>
      </c>
      <c r="K6" s="12" t="s">
        <v>17</v>
      </c>
      <c r="L6" s="12" t="s">
        <v>18</v>
      </c>
      <c r="M6" s="12" t="s">
        <v>239</v>
      </c>
      <c r="N6" s="12" t="s">
        <v>241</v>
      </c>
      <c r="O6" s="12" t="s">
        <v>288</v>
      </c>
      <c r="P6" s="12" t="s">
        <v>287</v>
      </c>
      <c r="R6" s="30">
        <v>2</v>
      </c>
      <c r="S6" s="30" t="s">
        <v>256</v>
      </c>
      <c r="T6" s="30">
        <v>1</v>
      </c>
      <c r="U6" s="30">
        <v>15</v>
      </c>
      <c r="V6" s="30">
        <v>30</v>
      </c>
      <c r="W6" s="21">
        <v>0.3</v>
      </c>
      <c r="X6" s="30"/>
      <c r="Y6" s="30"/>
      <c r="Z6" s="30"/>
      <c r="AA6" s="30"/>
      <c r="AB6" s="30"/>
      <c r="AC6" s="30"/>
      <c r="AD6" s="30"/>
      <c r="AE6" s="30"/>
      <c r="AK6" s="21">
        <v>0.3</v>
      </c>
      <c r="AL6" s="16">
        <f t="shared" ref="AL6:AL7" si="0">INT(AJ$5*AK6)</f>
        <v>25632</v>
      </c>
      <c r="AM6" s="36">
        <v>1</v>
      </c>
      <c r="AN6" s="16">
        <f t="shared" ref="AN6:AN24" si="1">INT(AL6/AM6/$S$1/500)*500</f>
        <v>8500</v>
      </c>
    </row>
    <row r="7" spans="1:40" ht="16.5" x14ac:dyDescent="0.2">
      <c r="A7" s="30">
        <v>0</v>
      </c>
      <c r="B7" s="30">
        <v>0</v>
      </c>
      <c r="C7" s="30">
        <v>0</v>
      </c>
      <c r="D7" s="16">
        <v>0</v>
      </c>
      <c r="E7" s="16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16">
        <f>章节关卡!H5</f>
        <v>10</v>
      </c>
      <c r="P7" s="16">
        <f>章节关卡!E5</f>
        <v>4</v>
      </c>
      <c r="R7" s="30">
        <v>3</v>
      </c>
      <c r="S7" s="30" t="s">
        <v>256</v>
      </c>
      <c r="T7" s="30">
        <v>1</v>
      </c>
      <c r="U7" s="30">
        <v>30</v>
      </c>
      <c r="V7" s="30">
        <v>40</v>
      </c>
      <c r="W7" s="21">
        <v>0.6</v>
      </c>
      <c r="X7" s="30"/>
      <c r="Y7" s="30"/>
      <c r="Z7" s="30"/>
      <c r="AA7" s="30"/>
      <c r="AB7" s="21">
        <v>0.1</v>
      </c>
      <c r="AC7" s="30"/>
      <c r="AD7" s="30"/>
      <c r="AE7" s="30"/>
      <c r="AK7" s="21">
        <v>0.6</v>
      </c>
      <c r="AL7" s="16">
        <f t="shared" si="0"/>
        <v>51264</v>
      </c>
      <c r="AM7" s="36">
        <v>1</v>
      </c>
      <c r="AN7" s="16">
        <f t="shared" si="1"/>
        <v>17000</v>
      </c>
    </row>
    <row r="8" spans="1:40" ht="16.5" x14ac:dyDescent="0.2">
      <c r="A8" s="30">
        <v>1</v>
      </c>
      <c r="B8" s="30">
        <v>4</v>
      </c>
      <c r="C8" s="30">
        <v>1</v>
      </c>
      <c r="D8" s="16">
        <f>节奏总表!Q5</f>
        <v>7.0000000000000007E-2</v>
      </c>
      <c r="E8" s="16">
        <f>节奏总表!K5*60</f>
        <v>240</v>
      </c>
      <c r="F8" s="21">
        <v>0.25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16">
        <f>章节关卡!H6</f>
        <v>25</v>
      </c>
      <c r="P8" s="16">
        <f>章节关卡!E6</f>
        <v>10</v>
      </c>
      <c r="R8" s="30">
        <v>4</v>
      </c>
      <c r="S8" s="30" t="s">
        <v>257</v>
      </c>
      <c r="T8" s="30">
        <v>1.25</v>
      </c>
      <c r="U8" s="30">
        <v>40</v>
      </c>
      <c r="V8" s="30">
        <v>50</v>
      </c>
      <c r="W8" s="30"/>
      <c r="X8" s="21">
        <v>0.1</v>
      </c>
      <c r="Y8" s="30"/>
      <c r="Z8" s="30"/>
      <c r="AA8" s="30"/>
      <c r="AB8" s="21">
        <v>0.15</v>
      </c>
      <c r="AC8" s="30"/>
      <c r="AD8" s="30"/>
      <c r="AE8" s="30"/>
      <c r="AJ8" s="16">
        <f>金币总产!K25</f>
        <v>482458</v>
      </c>
      <c r="AK8" s="21">
        <v>0.1</v>
      </c>
      <c r="AL8" s="16">
        <f>INT(AJ$8*AK8)</f>
        <v>48245</v>
      </c>
      <c r="AM8" s="36">
        <v>1.5</v>
      </c>
      <c r="AN8" s="16">
        <f t="shared" si="1"/>
        <v>10500</v>
      </c>
    </row>
    <row r="9" spans="1:40" ht="16.5" x14ac:dyDescent="0.2">
      <c r="A9" s="30">
        <v>2</v>
      </c>
      <c r="B9" s="30">
        <v>8</v>
      </c>
      <c r="C9" s="30">
        <v>1</v>
      </c>
      <c r="D9" s="16">
        <f>节奏总表!Q5</f>
        <v>7.0000000000000007E-2</v>
      </c>
      <c r="E9" s="16">
        <f>节奏总表!K5*60</f>
        <v>240</v>
      </c>
      <c r="F9" s="21">
        <v>0.5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16">
        <f>章节关卡!H7</f>
        <v>42</v>
      </c>
      <c r="P9" s="16">
        <f>章节关卡!E7</f>
        <v>15</v>
      </c>
      <c r="R9" s="30">
        <v>5</v>
      </c>
      <c r="S9" s="30" t="s">
        <v>257</v>
      </c>
      <c r="T9" s="30">
        <v>1.5</v>
      </c>
      <c r="U9" s="30">
        <v>50</v>
      </c>
      <c r="V9" s="30">
        <v>60</v>
      </c>
      <c r="W9" s="30"/>
      <c r="X9" s="21">
        <v>0.2</v>
      </c>
      <c r="Y9" s="30"/>
      <c r="Z9" s="30"/>
      <c r="AA9" s="30"/>
      <c r="AB9" s="21">
        <v>0.2</v>
      </c>
      <c r="AC9" s="30"/>
      <c r="AD9" s="30"/>
      <c r="AE9" s="30"/>
      <c r="AK9" s="21">
        <v>0.25</v>
      </c>
      <c r="AL9" s="16">
        <f t="shared" ref="AL9:AL11" si="2">INT(AJ$8*AK9)</f>
        <v>120614</v>
      </c>
      <c r="AM9" s="36">
        <v>1.6</v>
      </c>
      <c r="AN9" s="16">
        <f t="shared" si="1"/>
        <v>25000</v>
      </c>
    </row>
    <row r="10" spans="1:40" ht="16.5" x14ac:dyDescent="0.2">
      <c r="A10" s="30">
        <v>3</v>
      </c>
      <c r="B10" s="30">
        <v>9</v>
      </c>
      <c r="C10" s="30">
        <v>1</v>
      </c>
      <c r="D10" s="16">
        <f>节奏总表!Q6</f>
        <v>0.30000000000000004</v>
      </c>
      <c r="E10" s="16">
        <f>节奏总表!K6*60</f>
        <v>720</v>
      </c>
      <c r="F10" s="21">
        <v>0.75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16">
        <f>章节关卡!H8</f>
        <v>70</v>
      </c>
      <c r="P10" s="16">
        <f>章节关卡!E8</f>
        <v>20</v>
      </c>
      <c r="R10" s="30">
        <v>6</v>
      </c>
      <c r="S10" s="30" t="s">
        <v>258</v>
      </c>
      <c r="T10" s="30">
        <v>1.75</v>
      </c>
      <c r="U10" s="30">
        <v>60</v>
      </c>
      <c r="V10" s="30">
        <v>70</v>
      </c>
      <c r="W10" s="30"/>
      <c r="X10" s="21">
        <v>0.3</v>
      </c>
      <c r="Y10" s="30"/>
      <c r="Z10" s="30"/>
      <c r="AA10" s="30"/>
      <c r="AB10" s="21">
        <v>0.25</v>
      </c>
      <c r="AC10" s="30"/>
      <c r="AD10" s="30"/>
      <c r="AE10" s="30"/>
      <c r="AK10" s="21">
        <v>0.3</v>
      </c>
      <c r="AL10" s="16">
        <f t="shared" si="2"/>
        <v>144737</v>
      </c>
      <c r="AM10" s="36">
        <v>1.7</v>
      </c>
      <c r="AN10" s="16">
        <f t="shared" si="1"/>
        <v>28000</v>
      </c>
    </row>
    <row r="11" spans="1:40" ht="16.5" x14ac:dyDescent="0.2">
      <c r="A11" s="30">
        <v>4</v>
      </c>
      <c r="B11" s="30">
        <v>9</v>
      </c>
      <c r="C11" s="30">
        <v>1</v>
      </c>
      <c r="D11" s="16">
        <f>节奏总表!Q7</f>
        <v>0.6</v>
      </c>
      <c r="E11" s="16">
        <f>节奏总表!K7*60</f>
        <v>1440</v>
      </c>
      <c r="F11" s="21">
        <v>1</v>
      </c>
      <c r="G11" s="21">
        <v>0.25</v>
      </c>
      <c r="H11" s="21">
        <v>0</v>
      </c>
      <c r="I11" s="21">
        <v>0</v>
      </c>
      <c r="J11" s="21">
        <v>0</v>
      </c>
      <c r="K11" s="21">
        <v>0.25</v>
      </c>
      <c r="L11" s="21">
        <v>0</v>
      </c>
      <c r="M11" s="21">
        <v>0</v>
      </c>
      <c r="N11" s="21">
        <v>0</v>
      </c>
      <c r="O11" s="16">
        <f>章节关卡!H9</f>
        <v>104</v>
      </c>
      <c r="P11" s="16">
        <f>章节关卡!E9</f>
        <v>25</v>
      </c>
      <c r="R11" s="30">
        <v>7</v>
      </c>
      <c r="S11" s="30" t="s">
        <v>258</v>
      </c>
      <c r="T11" s="30">
        <v>2</v>
      </c>
      <c r="U11" s="30">
        <v>70</v>
      </c>
      <c r="V11" s="30">
        <v>80</v>
      </c>
      <c r="W11" s="30"/>
      <c r="X11" s="21">
        <v>0.4</v>
      </c>
      <c r="Y11" s="30"/>
      <c r="Z11" s="30"/>
      <c r="AA11" s="30"/>
      <c r="AB11" s="21">
        <v>0.3</v>
      </c>
      <c r="AC11" s="30"/>
      <c r="AD11" s="30"/>
      <c r="AE11" s="30"/>
      <c r="AK11" s="21">
        <v>0.35</v>
      </c>
      <c r="AL11" s="16">
        <f t="shared" si="2"/>
        <v>168860</v>
      </c>
      <c r="AM11" s="36">
        <v>1.8</v>
      </c>
      <c r="AN11" s="16">
        <f t="shared" si="1"/>
        <v>31000</v>
      </c>
    </row>
    <row r="12" spans="1:40" ht="16.5" x14ac:dyDescent="0.2">
      <c r="A12" s="30">
        <v>5</v>
      </c>
      <c r="B12" s="30">
        <v>15</v>
      </c>
      <c r="C12" s="30">
        <v>1</v>
      </c>
      <c r="D12" s="16">
        <f>节奏总表!Q8</f>
        <v>1</v>
      </c>
      <c r="E12" s="16">
        <f>节奏总表!K8*60</f>
        <v>2400</v>
      </c>
      <c r="F12" s="21">
        <v>0.75</v>
      </c>
      <c r="G12" s="21">
        <v>0.5</v>
      </c>
      <c r="H12" s="21">
        <v>0</v>
      </c>
      <c r="I12" s="21">
        <v>0</v>
      </c>
      <c r="J12" s="21">
        <v>0</v>
      </c>
      <c r="K12" s="21">
        <v>0.4</v>
      </c>
      <c r="L12" s="21">
        <v>0</v>
      </c>
      <c r="M12" s="21">
        <v>0</v>
      </c>
      <c r="N12" s="21">
        <v>0</v>
      </c>
      <c r="O12" s="16">
        <f>章节关卡!H10</f>
        <v>144</v>
      </c>
      <c r="P12" s="16">
        <f>章节关卡!E10</f>
        <v>32</v>
      </c>
      <c r="R12" s="30">
        <v>8</v>
      </c>
      <c r="S12" s="30" t="s">
        <v>259</v>
      </c>
      <c r="T12" s="30">
        <v>2.2000000000000002</v>
      </c>
      <c r="U12" s="30">
        <v>80</v>
      </c>
      <c r="V12" s="30">
        <v>85</v>
      </c>
      <c r="W12" s="30"/>
      <c r="X12" s="30"/>
      <c r="Y12" s="21">
        <v>0.1</v>
      </c>
      <c r="Z12" s="30"/>
      <c r="AA12" s="30"/>
      <c r="AB12" s="21"/>
      <c r="AC12" s="21">
        <v>0.06</v>
      </c>
      <c r="AD12" s="30"/>
      <c r="AE12" s="30"/>
      <c r="AJ12" s="16">
        <f>金币总产!K26</f>
        <v>597495</v>
      </c>
      <c r="AK12" s="21">
        <v>0.22</v>
      </c>
      <c r="AL12" s="16">
        <f>INT(AJ$12*AK12)</f>
        <v>131448</v>
      </c>
      <c r="AM12" s="36">
        <v>1.8</v>
      </c>
      <c r="AN12" s="16">
        <f t="shared" si="1"/>
        <v>24000</v>
      </c>
    </row>
    <row r="13" spans="1:40" ht="16.5" x14ac:dyDescent="0.2">
      <c r="A13" s="30">
        <v>6</v>
      </c>
      <c r="B13" s="30">
        <v>15</v>
      </c>
      <c r="C13" s="30">
        <v>1</v>
      </c>
      <c r="D13" s="16">
        <f>节奏总表!Q9</f>
        <v>1.5</v>
      </c>
      <c r="E13" s="16">
        <f>节奏总表!K9*60</f>
        <v>3600</v>
      </c>
      <c r="F13" s="21">
        <v>0.5</v>
      </c>
      <c r="G13" s="21">
        <v>0.75</v>
      </c>
      <c r="H13" s="21">
        <v>0</v>
      </c>
      <c r="I13" s="21">
        <v>0</v>
      </c>
      <c r="J13" s="21">
        <v>0</v>
      </c>
      <c r="K13" s="21">
        <v>0.55000000000000004</v>
      </c>
      <c r="L13" s="21">
        <v>0</v>
      </c>
      <c r="M13" s="21">
        <v>0</v>
      </c>
      <c r="N13" s="21">
        <v>0</v>
      </c>
      <c r="O13" s="16">
        <f>章节关卡!H11</f>
        <v>200</v>
      </c>
      <c r="P13" s="16">
        <f>章节关卡!E11</f>
        <v>40</v>
      </c>
      <c r="R13" s="30">
        <v>9</v>
      </c>
      <c r="S13" s="30" t="s">
        <v>259</v>
      </c>
      <c r="T13" s="30">
        <v>2.4</v>
      </c>
      <c r="U13" s="30">
        <v>85</v>
      </c>
      <c r="V13" s="30">
        <v>90</v>
      </c>
      <c r="W13" s="30"/>
      <c r="X13" s="30"/>
      <c r="Y13" s="21">
        <v>0.2</v>
      </c>
      <c r="Z13" s="30"/>
      <c r="AA13" s="30"/>
      <c r="AB13" s="30"/>
      <c r="AC13" s="21">
        <v>0.1</v>
      </c>
      <c r="AD13" s="30"/>
      <c r="AE13" s="30"/>
      <c r="AK13" s="21">
        <v>0.24</v>
      </c>
      <c r="AL13" s="16">
        <f t="shared" ref="AL13:AL15" si="3">INT(AJ$12*AK13)</f>
        <v>143398</v>
      </c>
      <c r="AM13" s="36">
        <v>1.8</v>
      </c>
      <c r="AN13" s="16">
        <f t="shared" si="1"/>
        <v>26500</v>
      </c>
    </row>
    <row r="14" spans="1:40" ht="16.5" x14ac:dyDescent="0.2">
      <c r="A14" s="30">
        <v>7</v>
      </c>
      <c r="B14" s="30">
        <v>15</v>
      </c>
      <c r="C14" s="30">
        <v>2</v>
      </c>
      <c r="D14" s="16">
        <f>节奏总表!Q10</f>
        <v>2</v>
      </c>
      <c r="E14" s="16">
        <f>节奏总表!K10*60</f>
        <v>4800</v>
      </c>
      <c r="F14" s="21">
        <v>0</v>
      </c>
      <c r="G14" s="21">
        <v>1</v>
      </c>
      <c r="H14" s="21">
        <v>0.25</v>
      </c>
      <c r="I14" s="21">
        <v>0</v>
      </c>
      <c r="J14" s="21">
        <v>0</v>
      </c>
      <c r="K14" s="21">
        <v>0.7</v>
      </c>
      <c r="L14" s="21">
        <v>0</v>
      </c>
      <c r="M14" s="21">
        <v>0</v>
      </c>
      <c r="N14" s="21">
        <v>0</v>
      </c>
      <c r="O14" s="16">
        <f>章节关卡!H12</f>
        <v>275</v>
      </c>
      <c r="P14" s="16">
        <f>章节关卡!E12</f>
        <v>50</v>
      </c>
      <c r="R14" s="30">
        <v>10</v>
      </c>
      <c r="S14" s="30" t="s">
        <v>259</v>
      </c>
      <c r="T14" s="30">
        <v>2.6</v>
      </c>
      <c r="U14" s="30">
        <v>90</v>
      </c>
      <c r="V14" s="30">
        <v>95</v>
      </c>
      <c r="W14" s="30"/>
      <c r="X14" s="30"/>
      <c r="Y14" s="21">
        <v>0.3</v>
      </c>
      <c r="Z14" s="30"/>
      <c r="AA14" s="30"/>
      <c r="AB14" s="30"/>
      <c r="AC14" s="21">
        <v>0.15</v>
      </c>
      <c r="AD14" s="30"/>
      <c r="AE14" s="30"/>
      <c r="AK14" s="21">
        <v>0.26</v>
      </c>
      <c r="AL14" s="16">
        <f t="shared" si="3"/>
        <v>155348</v>
      </c>
      <c r="AM14" s="36">
        <v>1.8</v>
      </c>
      <c r="AN14" s="16">
        <f t="shared" si="1"/>
        <v>28500</v>
      </c>
    </row>
    <row r="15" spans="1:40" ht="16.5" x14ac:dyDescent="0.2">
      <c r="A15" s="30">
        <v>8</v>
      </c>
      <c r="B15" s="30">
        <v>15</v>
      </c>
      <c r="C15" s="30">
        <v>2</v>
      </c>
      <c r="D15" s="16">
        <f>节奏总表!Q11</f>
        <v>2.5</v>
      </c>
      <c r="E15" s="16">
        <f>节奏总表!K11*60</f>
        <v>6000</v>
      </c>
      <c r="F15" s="21">
        <v>0</v>
      </c>
      <c r="G15" s="21">
        <v>0.75</v>
      </c>
      <c r="H15" s="21">
        <v>0.5</v>
      </c>
      <c r="I15" s="21">
        <v>0</v>
      </c>
      <c r="J15" s="21">
        <v>0</v>
      </c>
      <c r="K15" s="21">
        <v>0.85</v>
      </c>
      <c r="L15" s="21">
        <v>0</v>
      </c>
      <c r="M15" s="21">
        <v>0</v>
      </c>
      <c r="N15" s="21">
        <v>0</v>
      </c>
      <c r="O15" s="16">
        <f>章节关卡!H13</f>
        <v>360</v>
      </c>
      <c r="P15" s="16">
        <f>章节关卡!E13</f>
        <v>60</v>
      </c>
      <c r="R15" s="30">
        <v>11</v>
      </c>
      <c r="S15" s="30" t="s">
        <v>259</v>
      </c>
      <c r="T15" s="30">
        <v>2.8</v>
      </c>
      <c r="U15" s="30">
        <v>95</v>
      </c>
      <c r="V15" s="30">
        <v>100</v>
      </c>
      <c r="W15" s="30"/>
      <c r="X15" s="30"/>
      <c r="Y15" s="21">
        <v>0.4</v>
      </c>
      <c r="Z15" s="30"/>
      <c r="AA15" s="30"/>
      <c r="AB15" s="30"/>
      <c r="AC15" s="21">
        <v>0.19</v>
      </c>
      <c r="AD15" s="30"/>
      <c r="AE15" s="30"/>
      <c r="AK15" s="21">
        <v>0.28000000000000003</v>
      </c>
      <c r="AL15" s="16">
        <f t="shared" si="3"/>
        <v>167298</v>
      </c>
      <c r="AM15" s="36">
        <v>1.8</v>
      </c>
      <c r="AN15" s="16">
        <f t="shared" si="1"/>
        <v>30500</v>
      </c>
    </row>
    <row r="16" spans="1:40" ht="16.5" x14ac:dyDescent="0.2">
      <c r="A16" s="30">
        <v>9</v>
      </c>
      <c r="B16" s="30">
        <v>15</v>
      </c>
      <c r="C16" s="30">
        <v>2</v>
      </c>
      <c r="D16" s="16">
        <f>节奏总表!Q12</f>
        <v>3.75</v>
      </c>
      <c r="E16" s="16">
        <f>节奏总表!K12*60</f>
        <v>9000</v>
      </c>
      <c r="F16" s="21">
        <v>0</v>
      </c>
      <c r="G16" s="21">
        <v>0.5</v>
      </c>
      <c r="H16" s="21">
        <v>0.75</v>
      </c>
      <c r="I16" s="21">
        <v>0</v>
      </c>
      <c r="J16" s="21">
        <v>0</v>
      </c>
      <c r="K16" s="21">
        <v>1</v>
      </c>
      <c r="L16" s="21">
        <v>0.25</v>
      </c>
      <c r="M16" s="21">
        <v>0</v>
      </c>
      <c r="N16" s="21">
        <v>0</v>
      </c>
      <c r="O16" s="16">
        <f>章节关卡!H14</f>
        <v>468</v>
      </c>
      <c r="P16" s="16">
        <f>章节关卡!E14</f>
        <v>72</v>
      </c>
      <c r="R16" s="30">
        <v>12</v>
      </c>
      <c r="S16" s="30" t="s">
        <v>260</v>
      </c>
      <c r="T16" s="30">
        <v>3</v>
      </c>
      <c r="U16" s="30">
        <v>100</v>
      </c>
      <c r="V16" s="30">
        <v>105</v>
      </c>
      <c r="W16" s="30"/>
      <c r="X16" s="30"/>
      <c r="Y16" s="30"/>
      <c r="Z16" s="21">
        <v>0.1</v>
      </c>
      <c r="AA16" s="30"/>
      <c r="AB16" s="30"/>
      <c r="AC16" s="21">
        <v>0.23</v>
      </c>
      <c r="AD16" s="21"/>
      <c r="AE16" s="30"/>
      <c r="AJ16" s="16">
        <f>金币总产!K27</f>
        <v>1544932</v>
      </c>
      <c r="AK16" s="21">
        <v>0.15</v>
      </c>
      <c r="AL16" s="16">
        <f>INT(AJ$16*AK16)</f>
        <v>231739</v>
      </c>
      <c r="AM16" s="36">
        <v>2</v>
      </c>
      <c r="AN16" s="16">
        <f t="shared" si="1"/>
        <v>38500</v>
      </c>
    </row>
    <row r="17" spans="1:40" ht="16.5" x14ac:dyDescent="0.2">
      <c r="A17" s="30">
        <v>10</v>
      </c>
      <c r="B17" s="30">
        <v>15</v>
      </c>
      <c r="C17" s="30">
        <v>2</v>
      </c>
      <c r="D17" s="16">
        <f>节奏总表!Q13</f>
        <v>6.25</v>
      </c>
      <c r="E17" s="16">
        <f>节奏总表!K13*60</f>
        <v>15000</v>
      </c>
      <c r="F17" s="21">
        <v>0</v>
      </c>
      <c r="G17" s="21">
        <v>0</v>
      </c>
      <c r="H17" s="21">
        <v>1</v>
      </c>
      <c r="I17" s="21">
        <v>0.25</v>
      </c>
      <c r="J17" s="21">
        <v>0</v>
      </c>
      <c r="K17" s="21">
        <v>0.75</v>
      </c>
      <c r="L17" s="21">
        <v>0.5</v>
      </c>
      <c r="M17" s="21">
        <v>0</v>
      </c>
      <c r="N17" s="21">
        <v>0</v>
      </c>
      <c r="O17" s="16">
        <f>章节关卡!H15</f>
        <v>616</v>
      </c>
      <c r="P17" s="16">
        <f>章节关卡!E15</f>
        <v>90</v>
      </c>
      <c r="R17" s="30">
        <v>13</v>
      </c>
      <c r="S17" s="30" t="s">
        <v>260</v>
      </c>
      <c r="T17" s="30">
        <v>3</v>
      </c>
      <c r="U17" s="30">
        <v>105</v>
      </c>
      <c r="V17" s="30">
        <v>110</v>
      </c>
      <c r="W17" s="30"/>
      <c r="X17" s="30"/>
      <c r="Y17" s="30"/>
      <c r="Z17" s="21">
        <v>0.2</v>
      </c>
      <c r="AA17" s="30"/>
      <c r="AB17" s="30"/>
      <c r="AC17" s="21">
        <v>0.27</v>
      </c>
      <c r="AD17" s="21"/>
      <c r="AE17" s="30"/>
      <c r="AK17" s="21">
        <v>0.22</v>
      </c>
      <c r="AL17" s="16">
        <f t="shared" ref="AL17:AL19" si="4">INT(AJ$16*AK17)</f>
        <v>339885</v>
      </c>
      <c r="AM17" s="36">
        <v>2.2000000000000002</v>
      </c>
      <c r="AN17" s="16">
        <f t="shared" si="1"/>
        <v>51000</v>
      </c>
    </row>
    <row r="18" spans="1:40" ht="16.5" x14ac:dyDescent="0.2">
      <c r="A18" s="30">
        <v>11</v>
      </c>
      <c r="B18" s="30">
        <v>15</v>
      </c>
      <c r="C18" s="30">
        <v>3</v>
      </c>
      <c r="D18" s="16">
        <f>节奏总表!Q14</f>
        <v>10</v>
      </c>
      <c r="E18" s="16">
        <f>节奏总表!K14*60</f>
        <v>24000</v>
      </c>
      <c r="F18" s="21">
        <v>0</v>
      </c>
      <c r="G18" s="21">
        <v>0</v>
      </c>
      <c r="H18" s="21">
        <v>0.75</v>
      </c>
      <c r="I18" s="21">
        <v>0.5</v>
      </c>
      <c r="J18" s="21">
        <v>0</v>
      </c>
      <c r="K18" s="21">
        <v>0.5</v>
      </c>
      <c r="L18" s="21">
        <v>0.75</v>
      </c>
      <c r="M18" s="21">
        <v>0</v>
      </c>
      <c r="N18" s="21">
        <v>0</v>
      </c>
      <c r="O18" s="16">
        <f>章节关卡!H16</f>
        <v>795</v>
      </c>
      <c r="P18" s="16">
        <f>章节关卡!E16</f>
        <v>110</v>
      </c>
      <c r="R18" s="30">
        <v>14</v>
      </c>
      <c r="S18" s="30" t="s">
        <v>260</v>
      </c>
      <c r="T18" s="30">
        <v>3</v>
      </c>
      <c r="U18" s="30">
        <v>110</v>
      </c>
      <c r="V18" s="30">
        <v>115</v>
      </c>
      <c r="W18" s="30"/>
      <c r="X18" s="30"/>
      <c r="Y18" s="30"/>
      <c r="Z18" s="21">
        <v>0.3</v>
      </c>
      <c r="AA18" s="30"/>
      <c r="AB18" s="30"/>
      <c r="AC18" s="21"/>
      <c r="AD18" s="32">
        <v>0.05</v>
      </c>
      <c r="AE18" s="30"/>
      <c r="AK18" s="21">
        <v>0.28000000000000003</v>
      </c>
      <c r="AL18" s="16">
        <f t="shared" si="4"/>
        <v>432580</v>
      </c>
      <c r="AM18" s="36">
        <v>2.4</v>
      </c>
      <c r="AN18" s="16">
        <f t="shared" si="1"/>
        <v>60000</v>
      </c>
    </row>
    <row r="19" spans="1:40" ht="16.5" x14ac:dyDescent="0.2">
      <c r="A19" s="30">
        <v>12</v>
      </c>
      <c r="B19" s="30">
        <v>15</v>
      </c>
      <c r="C19" s="30">
        <v>3</v>
      </c>
      <c r="D19" s="16">
        <f>节奏总表!Q15</f>
        <v>13.75</v>
      </c>
      <c r="E19" s="16">
        <f>节奏总表!K15*60</f>
        <v>33000</v>
      </c>
      <c r="F19" s="21">
        <v>0</v>
      </c>
      <c r="G19" s="21">
        <v>0</v>
      </c>
      <c r="H19" s="21">
        <v>0.5</v>
      </c>
      <c r="I19" s="21">
        <v>0.75</v>
      </c>
      <c r="J19" s="21">
        <v>0</v>
      </c>
      <c r="K19" s="21">
        <v>0</v>
      </c>
      <c r="L19" s="21">
        <v>1</v>
      </c>
      <c r="M19" s="21">
        <v>0.25</v>
      </c>
      <c r="N19" s="21">
        <v>0.2</v>
      </c>
      <c r="O19" s="16">
        <f>章节关卡!H17</f>
        <v>1040</v>
      </c>
      <c r="P19" s="16">
        <f>章节关卡!E17</f>
        <v>130</v>
      </c>
      <c r="R19" s="30">
        <v>15</v>
      </c>
      <c r="S19" s="30" t="s">
        <v>260</v>
      </c>
      <c r="T19" s="30">
        <v>3</v>
      </c>
      <c r="U19" s="30">
        <v>115</v>
      </c>
      <c r="V19" s="30">
        <v>120</v>
      </c>
      <c r="W19" s="30"/>
      <c r="X19" s="30"/>
      <c r="Y19" s="30"/>
      <c r="Z19" s="21">
        <v>0.4</v>
      </c>
      <c r="AA19" s="30"/>
      <c r="AB19" s="30"/>
      <c r="AC19" s="30"/>
      <c r="AD19" s="32">
        <v>0.08</v>
      </c>
      <c r="AE19" s="30"/>
      <c r="AK19" s="21">
        <v>0.35</v>
      </c>
      <c r="AL19" s="16">
        <f t="shared" si="4"/>
        <v>540726</v>
      </c>
      <c r="AM19" s="36">
        <v>2.6</v>
      </c>
      <c r="AN19" s="16">
        <f t="shared" si="1"/>
        <v>69000</v>
      </c>
    </row>
    <row r="20" spans="1:40" ht="16.5" x14ac:dyDescent="0.2">
      <c r="A20" s="30">
        <v>13</v>
      </c>
      <c r="B20" s="30">
        <v>15</v>
      </c>
      <c r="C20" s="30">
        <v>3</v>
      </c>
      <c r="D20" s="16">
        <f>节奏总表!Q16</f>
        <v>17.5</v>
      </c>
      <c r="E20" s="16">
        <f>节奏总表!K16*60</f>
        <v>42000</v>
      </c>
      <c r="F20" s="21">
        <v>0</v>
      </c>
      <c r="G20" s="21">
        <v>0</v>
      </c>
      <c r="H20" s="21">
        <v>0</v>
      </c>
      <c r="I20" s="21">
        <v>1</v>
      </c>
      <c r="J20" s="21">
        <v>0.25</v>
      </c>
      <c r="K20" s="21">
        <v>0</v>
      </c>
      <c r="L20" s="21">
        <v>0.75</v>
      </c>
      <c r="M20" s="21">
        <v>0.5</v>
      </c>
      <c r="N20" s="21">
        <v>0.35</v>
      </c>
      <c r="O20" s="16">
        <f>章节关卡!H18</f>
        <v>1360</v>
      </c>
      <c r="P20" s="16">
        <f>章节关卡!E18</f>
        <v>150</v>
      </c>
      <c r="R20" s="30">
        <v>16</v>
      </c>
      <c r="S20" s="30" t="s">
        <v>261</v>
      </c>
      <c r="T20" s="30">
        <v>3</v>
      </c>
      <c r="U20" s="30">
        <v>120</v>
      </c>
      <c r="V20" s="30">
        <v>125</v>
      </c>
      <c r="W20" s="30"/>
      <c r="X20" s="30"/>
      <c r="Y20" s="30"/>
      <c r="Z20" s="30"/>
      <c r="AA20" s="21">
        <v>0.1</v>
      </c>
      <c r="AB20" s="30"/>
      <c r="AC20" s="30"/>
      <c r="AD20" s="32">
        <v>0.11</v>
      </c>
      <c r="AE20" s="21">
        <v>0.1</v>
      </c>
      <c r="AJ20" s="16">
        <f>金币总产!K28</f>
        <v>6430762</v>
      </c>
      <c r="AK20" s="21">
        <v>0.1</v>
      </c>
      <c r="AL20" s="16">
        <f>INT(AJ$20*AK20)</f>
        <v>643076</v>
      </c>
      <c r="AM20" s="36">
        <v>2.8</v>
      </c>
      <c r="AN20" s="16">
        <f t="shared" si="1"/>
        <v>76500</v>
      </c>
    </row>
    <row r="21" spans="1:40" ht="16.5" x14ac:dyDescent="0.2">
      <c r="A21" s="30">
        <v>14</v>
      </c>
      <c r="B21" s="30">
        <v>15</v>
      </c>
      <c r="C21" s="30">
        <v>3</v>
      </c>
      <c r="D21" s="16">
        <f>节奏总表!Q17</f>
        <v>25</v>
      </c>
      <c r="E21" s="16">
        <f>节奏总表!K17*60</f>
        <v>60000</v>
      </c>
      <c r="F21" s="21">
        <v>0</v>
      </c>
      <c r="G21" s="21">
        <v>0</v>
      </c>
      <c r="H21" s="21">
        <v>0</v>
      </c>
      <c r="I21" s="21">
        <v>0.75</v>
      </c>
      <c r="J21" s="21">
        <v>0.5</v>
      </c>
      <c r="K21" s="21">
        <v>0</v>
      </c>
      <c r="L21" s="21">
        <v>0.5</v>
      </c>
      <c r="M21" s="21">
        <v>0.75</v>
      </c>
      <c r="N21" s="21">
        <v>0.5</v>
      </c>
      <c r="O21" s="16">
        <f>章节关卡!H19</f>
        <v>1800</v>
      </c>
      <c r="P21" s="16">
        <f>章节关卡!E19</f>
        <v>175</v>
      </c>
      <c r="R21" s="30">
        <v>17</v>
      </c>
      <c r="S21" s="30" t="s">
        <v>261</v>
      </c>
      <c r="T21" s="30">
        <v>3</v>
      </c>
      <c r="U21" s="30">
        <v>125</v>
      </c>
      <c r="V21" s="30">
        <v>130</v>
      </c>
      <c r="W21" s="30"/>
      <c r="X21" s="30"/>
      <c r="Y21" s="30"/>
      <c r="Z21" s="30"/>
      <c r="AA21" s="21">
        <v>0.15</v>
      </c>
      <c r="AB21" s="30"/>
      <c r="AC21" s="30"/>
      <c r="AD21" s="32">
        <v>0.14000000000000001</v>
      </c>
      <c r="AE21" s="21">
        <v>0.15</v>
      </c>
      <c r="AK21" s="21">
        <v>0.15</v>
      </c>
      <c r="AL21" s="16">
        <f t="shared" ref="AL21:AL24" si="5">INT(AJ$20*AK21)</f>
        <v>964614</v>
      </c>
      <c r="AM21" s="36">
        <v>3</v>
      </c>
      <c r="AN21" s="16">
        <f t="shared" si="1"/>
        <v>107000</v>
      </c>
    </row>
    <row r="22" spans="1:40" ht="16.5" x14ac:dyDescent="0.2">
      <c r="A22" s="30">
        <v>15</v>
      </c>
      <c r="B22" s="30">
        <v>15</v>
      </c>
      <c r="C22" s="30">
        <v>3</v>
      </c>
      <c r="D22" s="16">
        <f>节奏总表!Q18</f>
        <v>37.5</v>
      </c>
      <c r="E22" s="16">
        <f>节奏总表!K18*60</f>
        <v>90000</v>
      </c>
      <c r="F22" s="21">
        <v>0</v>
      </c>
      <c r="G22" s="21">
        <v>0</v>
      </c>
      <c r="H22" s="21">
        <v>0</v>
      </c>
      <c r="I22" s="21">
        <v>0.5</v>
      </c>
      <c r="J22" s="21">
        <v>1</v>
      </c>
      <c r="K22" s="21">
        <v>0</v>
      </c>
      <c r="L22" s="21">
        <v>0</v>
      </c>
      <c r="M22" s="21">
        <v>1</v>
      </c>
      <c r="N22" s="21">
        <v>1</v>
      </c>
      <c r="O22" s="16">
        <f>章节关卡!H20</f>
        <v>2500</v>
      </c>
      <c r="P22" s="16">
        <f>章节关卡!E20</f>
        <v>200</v>
      </c>
      <c r="R22" s="30">
        <v>18</v>
      </c>
      <c r="S22" s="30" t="s">
        <v>261</v>
      </c>
      <c r="T22" s="30">
        <v>3</v>
      </c>
      <c r="U22" s="30">
        <v>130</v>
      </c>
      <c r="V22" s="30">
        <v>135</v>
      </c>
      <c r="W22" s="30"/>
      <c r="X22" s="30"/>
      <c r="Y22" s="30"/>
      <c r="Z22" s="30"/>
      <c r="AA22" s="21">
        <v>0.2</v>
      </c>
      <c r="AB22" s="30"/>
      <c r="AC22" s="30"/>
      <c r="AD22" s="32">
        <v>0.17</v>
      </c>
      <c r="AE22" s="21">
        <v>0.2</v>
      </c>
      <c r="AK22" s="21">
        <v>0.2</v>
      </c>
      <c r="AL22" s="16">
        <f t="shared" si="5"/>
        <v>1286152</v>
      </c>
      <c r="AM22" s="36">
        <v>3</v>
      </c>
      <c r="AN22" s="16">
        <f t="shared" si="1"/>
        <v>142500</v>
      </c>
    </row>
    <row r="23" spans="1:40" ht="16.5" x14ac:dyDescent="0.2">
      <c r="A23" s="29" t="s">
        <v>278</v>
      </c>
      <c r="B23" s="16"/>
      <c r="C23" s="16"/>
      <c r="D23" s="16"/>
      <c r="E23" s="16"/>
      <c r="F23" s="16">
        <f>SUMPRODUCT($C$7:$C$22,$E$7:$E$22,F$7:F$22)/F$5*F$4*$B$2</f>
        <v>960</v>
      </c>
      <c r="G23" s="16">
        <f t="shared" ref="G23:P23" si="6">SUMPRODUCT($C$7:$C$22,$E$7:$E$22,G$7:G$22)/G$5*G$4*$B$2</f>
        <v>2655</v>
      </c>
      <c r="H23" s="16">
        <f t="shared" si="6"/>
        <v>5180</v>
      </c>
      <c r="I23" s="16">
        <f t="shared" si="6"/>
        <v>8562.5</v>
      </c>
      <c r="J23" s="16">
        <f t="shared" si="6"/>
        <v>3262.5</v>
      </c>
      <c r="K23" s="16">
        <f t="shared" si="6"/>
        <v>2418</v>
      </c>
      <c r="L23" s="16">
        <f t="shared" si="6"/>
        <v>3570</v>
      </c>
      <c r="M23" s="16">
        <f t="shared" si="6"/>
        <v>2463.75</v>
      </c>
      <c r="N23" s="16">
        <f t="shared" si="6"/>
        <v>706.5</v>
      </c>
      <c r="O23" s="16">
        <f t="shared" si="6"/>
        <v>1365705840</v>
      </c>
      <c r="P23" s="16">
        <f t="shared" si="6"/>
        <v>130663200</v>
      </c>
      <c r="R23" s="30">
        <v>19</v>
      </c>
      <c r="S23" s="30" t="s">
        <v>261</v>
      </c>
      <c r="T23" s="30">
        <v>3</v>
      </c>
      <c r="U23" s="30">
        <v>135</v>
      </c>
      <c r="V23" s="30">
        <v>140</v>
      </c>
      <c r="W23" s="30"/>
      <c r="X23" s="30"/>
      <c r="Y23" s="30"/>
      <c r="Z23" s="30"/>
      <c r="AA23" s="21">
        <v>0.25</v>
      </c>
      <c r="AB23" s="30"/>
      <c r="AC23" s="30"/>
      <c r="AD23" s="32">
        <v>0.2</v>
      </c>
      <c r="AE23" s="21">
        <v>0.25</v>
      </c>
      <c r="AK23" s="21">
        <v>0.25</v>
      </c>
      <c r="AL23" s="16">
        <f t="shared" si="5"/>
        <v>1607690</v>
      </c>
      <c r="AM23" s="36">
        <v>3</v>
      </c>
      <c r="AN23" s="16">
        <f t="shared" si="1"/>
        <v>178500</v>
      </c>
    </row>
    <row r="24" spans="1:40" ht="16.5" x14ac:dyDescent="0.2">
      <c r="A24" s="29" t="s">
        <v>280</v>
      </c>
      <c r="B24" s="30"/>
      <c r="C24" s="30"/>
      <c r="D24" s="30"/>
      <c r="E24" s="30"/>
      <c r="F24" s="21">
        <v>0.8</v>
      </c>
      <c r="G24" s="21">
        <v>0.8</v>
      </c>
      <c r="H24" s="21">
        <v>0.8</v>
      </c>
      <c r="I24" s="21">
        <v>0.8</v>
      </c>
      <c r="J24" s="21">
        <v>0.8</v>
      </c>
      <c r="K24" s="21">
        <v>0.6</v>
      </c>
      <c r="L24" s="21">
        <v>0.4</v>
      </c>
      <c r="M24" s="21">
        <v>0.3</v>
      </c>
      <c r="N24" s="21">
        <v>0.3</v>
      </c>
      <c r="R24" s="30">
        <v>20</v>
      </c>
      <c r="S24" s="30" t="s">
        <v>262</v>
      </c>
      <c r="T24" s="30">
        <v>3</v>
      </c>
      <c r="U24" s="30">
        <v>140</v>
      </c>
      <c r="V24" s="30">
        <v>150</v>
      </c>
      <c r="W24" s="30"/>
      <c r="X24" s="30"/>
      <c r="Y24" s="30"/>
      <c r="Z24" s="30"/>
      <c r="AA24" s="21">
        <v>0.3</v>
      </c>
      <c r="AB24" s="30"/>
      <c r="AC24" s="30"/>
      <c r="AD24" s="32">
        <v>0.25</v>
      </c>
      <c r="AE24" s="21">
        <v>0.3</v>
      </c>
      <c r="AK24" s="21">
        <v>0.3</v>
      </c>
      <c r="AL24" s="16">
        <f t="shared" si="5"/>
        <v>1929228</v>
      </c>
      <c r="AM24" s="36">
        <v>3</v>
      </c>
      <c r="AN24" s="16">
        <f t="shared" si="1"/>
        <v>214000</v>
      </c>
    </row>
    <row r="25" spans="1:40" ht="16.5" x14ac:dyDescent="0.2">
      <c r="A25" s="29" t="s">
        <v>281</v>
      </c>
      <c r="B25" s="30"/>
      <c r="C25" s="30"/>
      <c r="D25" s="30"/>
      <c r="E25" s="30"/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</v>
      </c>
      <c r="R25" s="29" t="s">
        <v>279</v>
      </c>
      <c r="W25" s="16">
        <f t="shared" ref="W25:AE25" si="7">F28</f>
        <v>1200</v>
      </c>
      <c r="X25" s="16">
        <f t="shared" si="7"/>
        <v>3318.75</v>
      </c>
      <c r="Y25" s="16">
        <f t="shared" si="7"/>
        <v>6475</v>
      </c>
      <c r="Z25" s="16">
        <f t="shared" si="7"/>
        <v>10703.125</v>
      </c>
      <c r="AA25" s="16">
        <f t="shared" si="7"/>
        <v>4078.125</v>
      </c>
      <c r="AB25" s="16">
        <f t="shared" si="7"/>
        <v>4030</v>
      </c>
      <c r="AC25" s="16">
        <f t="shared" si="7"/>
        <v>8925</v>
      </c>
      <c r="AD25" s="16">
        <f t="shared" si="7"/>
        <v>8212.5</v>
      </c>
      <c r="AE25" s="16">
        <f t="shared" si="7"/>
        <v>2355</v>
      </c>
    </row>
    <row r="26" spans="1:40" ht="16.5" x14ac:dyDescent="0.2">
      <c r="A26" s="29" t="s">
        <v>284</v>
      </c>
      <c r="B26" s="30"/>
      <c r="C26" s="30"/>
      <c r="D26" s="30"/>
      <c r="E26" s="30"/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0.2</v>
      </c>
      <c r="L26" s="21">
        <v>0.35</v>
      </c>
      <c r="M26" s="21">
        <v>0.5</v>
      </c>
      <c r="N26" s="21">
        <v>0</v>
      </c>
    </row>
    <row r="27" spans="1:40" ht="16.5" x14ac:dyDescent="0.2">
      <c r="A27" s="29" t="s">
        <v>282</v>
      </c>
      <c r="B27" s="30"/>
      <c r="C27" s="30"/>
      <c r="D27" s="30"/>
      <c r="E27" s="30"/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0.7</v>
      </c>
    </row>
    <row r="28" spans="1:40" ht="16.5" x14ac:dyDescent="0.2">
      <c r="A28" s="29" t="s">
        <v>283</v>
      </c>
      <c r="B28" s="30"/>
      <c r="C28" s="30"/>
      <c r="D28" s="30"/>
      <c r="E28" s="30"/>
      <c r="F28" s="16">
        <f>F23/F24</f>
        <v>1200</v>
      </c>
      <c r="G28" s="16">
        <f t="shared" ref="G28:N28" si="8">G23/G24</f>
        <v>3318.75</v>
      </c>
      <c r="H28" s="16">
        <f t="shared" si="8"/>
        <v>6475</v>
      </c>
      <c r="I28" s="16">
        <f t="shared" si="8"/>
        <v>10703.125</v>
      </c>
      <c r="J28" s="16">
        <f t="shared" si="8"/>
        <v>4078.125</v>
      </c>
      <c r="K28" s="16">
        <f t="shared" si="8"/>
        <v>4030</v>
      </c>
      <c r="L28" s="16">
        <f t="shared" si="8"/>
        <v>8925</v>
      </c>
      <c r="M28" s="16">
        <f t="shared" si="8"/>
        <v>8212.5</v>
      </c>
      <c r="N28" s="16">
        <f t="shared" si="8"/>
        <v>2355</v>
      </c>
    </row>
    <row r="32" spans="1:40" x14ac:dyDescent="0.2"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48" x14ac:dyDescent="0.2">
      <c r="AI33" s="17"/>
      <c r="AJ33" s="17"/>
      <c r="AK33" s="33"/>
      <c r="AL33" s="17"/>
      <c r="AM33" s="33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ht="17.25" x14ac:dyDescent="0.2">
      <c r="A34" s="12" t="s">
        <v>33</v>
      </c>
      <c r="B34" s="12" t="s">
        <v>270</v>
      </c>
      <c r="C34" s="12" t="s">
        <v>57</v>
      </c>
      <c r="D34" s="12" t="s">
        <v>274</v>
      </c>
      <c r="E34" s="12" t="s">
        <v>235</v>
      </c>
      <c r="F34" s="12" t="s">
        <v>236</v>
      </c>
      <c r="G34" s="12" t="s">
        <v>237</v>
      </c>
      <c r="H34" s="12" t="s">
        <v>238</v>
      </c>
      <c r="I34" s="12" t="s">
        <v>266</v>
      </c>
      <c r="J34" s="12" t="s">
        <v>271</v>
      </c>
      <c r="K34" s="12" t="s">
        <v>272</v>
      </c>
      <c r="L34" s="12" t="s">
        <v>273</v>
      </c>
      <c r="M34" s="12" t="s">
        <v>240</v>
      </c>
      <c r="N34" s="12" t="s">
        <v>285</v>
      </c>
      <c r="O34" s="12" t="s">
        <v>286</v>
      </c>
      <c r="R34" s="12" t="s">
        <v>243</v>
      </c>
      <c r="S34" s="12" t="s">
        <v>244</v>
      </c>
      <c r="T34" s="12" t="s">
        <v>276</v>
      </c>
      <c r="U34" s="12" t="s">
        <v>253</v>
      </c>
      <c r="V34" s="12" t="s">
        <v>255</v>
      </c>
      <c r="W34" s="12" t="s">
        <v>373</v>
      </c>
      <c r="X34" s="12" t="s">
        <v>374</v>
      </c>
      <c r="Y34" s="12" t="s">
        <v>375</v>
      </c>
      <c r="Z34" s="12" t="s">
        <v>245</v>
      </c>
      <c r="AA34" s="12" t="s">
        <v>246</v>
      </c>
      <c r="AB34" s="12" t="s">
        <v>247</v>
      </c>
      <c r="AC34" s="12" t="s">
        <v>248</v>
      </c>
      <c r="AD34" s="12" t="s">
        <v>265</v>
      </c>
      <c r="AE34" s="12" t="s">
        <v>249</v>
      </c>
      <c r="AF34" s="12" t="s">
        <v>250</v>
      </c>
      <c r="AG34" s="12" t="s">
        <v>251</v>
      </c>
      <c r="AH34" s="12" t="s">
        <v>383</v>
      </c>
      <c r="AI34" s="12" t="s">
        <v>310</v>
      </c>
    </row>
    <row r="35" spans="1:48" ht="16.5" x14ac:dyDescent="0.2">
      <c r="A35" s="30">
        <v>1</v>
      </c>
      <c r="B35" s="30">
        <v>1</v>
      </c>
      <c r="C35" s="30">
        <v>1</v>
      </c>
      <c r="D35" s="21">
        <v>0.5</v>
      </c>
      <c r="E35" s="23">
        <f>(INDEX(F$7:F$22,$B35)*(1-$D35)+INDEX(F$7:F$22,$B35+1)*$D35)*F$4*$B$2</f>
        <v>0.125</v>
      </c>
      <c r="F35" s="23">
        <f t="shared" ref="F35:M35" si="9">(INDEX(G$7:G$22,$B35)*(1-$D35)+INDEX(G$7:G$22,$B35+1)*$D35)*G$4*$B$2</f>
        <v>0</v>
      </c>
      <c r="G35" s="23">
        <f t="shared" si="9"/>
        <v>0</v>
      </c>
      <c r="H35" s="23">
        <f t="shared" si="9"/>
        <v>0</v>
      </c>
      <c r="I35" s="23">
        <f t="shared" si="9"/>
        <v>0</v>
      </c>
      <c r="J35" s="23">
        <f t="shared" si="9"/>
        <v>0</v>
      </c>
      <c r="K35" s="23">
        <f t="shared" si="9"/>
        <v>0</v>
      </c>
      <c r="L35" s="23">
        <f t="shared" si="9"/>
        <v>0</v>
      </c>
      <c r="M35" s="23">
        <f t="shared" si="9"/>
        <v>0</v>
      </c>
      <c r="N35" s="39">
        <f>INT((INDEX(O$7:O$22,$B35)*(1-$D35)+INDEX(O$7:O$22,$B35+1)*$D35)*O$4*$B$2)</f>
        <v>17</v>
      </c>
      <c r="O35" s="39">
        <f>INT((INDEX(P$7:P$22,$B35)*(1-$D35)+INDEX(P$7:P$22,$B35+1)*$D35)*P$4*$B$2)</f>
        <v>7</v>
      </c>
      <c r="R35" s="36">
        <v>0</v>
      </c>
      <c r="S35" s="36" t="s">
        <v>376</v>
      </c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</row>
    <row r="36" spans="1:48" ht="16.5" x14ac:dyDescent="0.2">
      <c r="A36" s="30">
        <v>2</v>
      </c>
      <c r="B36" s="30">
        <v>1</v>
      </c>
      <c r="C36" s="30">
        <v>2</v>
      </c>
      <c r="D36" s="21">
        <v>0.65</v>
      </c>
      <c r="E36" s="23">
        <f t="shared" ref="E36:M36" si="10">(INDEX(F$7:F$22,$B36)*(1-$D36)+INDEX(F$7:F$22,$B36+1)*$D36)*F$4*$B$2</f>
        <v>0.16250000000000001</v>
      </c>
      <c r="F36" s="23">
        <f t="shared" si="10"/>
        <v>0</v>
      </c>
      <c r="G36" s="23">
        <f t="shared" si="10"/>
        <v>0</v>
      </c>
      <c r="H36" s="23">
        <f t="shared" si="10"/>
        <v>0</v>
      </c>
      <c r="I36" s="23">
        <f t="shared" si="10"/>
        <v>0</v>
      </c>
      <c r="J36" s="23">
        <f t="shared" si="10"/>
        <v>0</v>
      </c>
      <c r="K36" s="23">
        <f t="shared" si="10"/>
        <v>0</v>
      </c>
      <c r="L36" s="23">
        <f t="shared" si="10"/>
        <v>0</v>
      </c>
      <c r="M36" s="23">
        <f t="shared" si="10"/>
        <v>0</v>
      </c>
      <c r="N36" s="39">
        <f t="shared" ref="N36:O36" si="11">INT((INDEX(O$7:O$22,$B36)*(1-$D36)+INDEX(O$7:O$22,$B36+1)*$D36)*O$4*$B$2)</f>
        <v>19</v>
      </c>
      <c r="O36" s="39">
        <f t="shared" si="11"/>
        <v>7</v>
      </c>
      <c r="R36" s="30">
        <v>1</v>
      </c>
      <c r="S36" s="30" t="s">
        <v>254</v>
      </c>
      <c r="T36" s="16">
        <f t="shared" ref="T36:T55" si="12">T5</f>
        <v>1</v>
      </c>
      <c r="U36" s="30">
        <v>5</v>
      </c>
      <c r="V36" s="30">
        <v>15</v>
      </c>
      <c r="W36" s="36">
        <v>1</v>
      </c>
      <c r="X36" s="36"/>
      <c r="Y36" s="36"/>
      <c r="Z36" s="16">
        <f t="shared" ref="Z36:Z55" si="13">INT(W$25*W5/$S$1/$T36/5)*5</f>
        <v>40</v>
      </c>
      <c r="AA36" s="16">
        <f t="shared" ref="AA36:AA55" si="14">INT(X$25*X5/$S$1/$T36/5)*5</f>
        <v>0</v>
      </c>
      <c r="AB36" s="16">
        <f t="shared" ref="AB36:AB55" si="15">INT(Y$25*Y5/$S$1/$T36/5)*5</f>
        <v>0</v>
      </c>
      <c r="AC36" s="16">
        <f t="shared" ref="AC36:AC55" si="16">INT(Z$25*Z5/$S$1/$T36/5)*5</f>
        <v>0</v>
      </c>
      <c r="AD36" s="16">
        <f t="shared" ref="AD36:AD55" si="17">INT(AA$25*AA5/$S$1/$T36/5)*5</f>
        <v>0</v>
      </c>
      <c r="AE36" s="16">
        <f t="shared" ref="AE36:AE55" si="18">INT(AB$25*AB5/$S$1/$T36/5)*5</f>
        <v>0</v>
      </c>
      <c r="AF36" s="16">
        <f t="shared" ref="AF36:AF55" si="19">INT(AC$25*AC5/$S$1/$T36/5)*5</f>
        <v>0</v>
      </c>
      <c r="AG36" s="16">
        <f t="shared" ref="AG36:AG55" si="20">INT(AD$25*AD5/$S$1/$T36/5)*5</f>
        <v>0</v>
      </c>
      <c r="AH36" s="16">
        <f t="shared" ref="AH36:AH55" si="21">INT(AE$25*AE5/$S$1/$T36/5)*5</f>
        <v>0</v>
      </c>
      <c r="AI36" s="16">
        <f t="shared" ref="AI36:AI55" si="22">AN5</f>
        <v>2500</v>
      </c>
    </row>
    <row r="37" spans="1:48" ht="16.5" x14ac:dyDescent="0.2">
      <c r="A37" s="30">
        <v>3</v>
      </c>
      <c r="B37" s="30">
        <v>1</v>
      </c>
      <c r="C37" s="30">
        <v>3</v>
      </c>
      <c r="D37" s="21">
        <v>0.8</v>
      </c>
      <c r="E37" s="23">
        <f t="shared" ref="E37:M37" si="23">(INDEX(F$7:F$22,$B37)*(1-$D37)+INDEX(F$7:F$22,$B37+1)*$D37)*F$4*$B$2</f>
        <v>0.2</v>
      </c>
      <c r="F37" s="23">
        <f t="shared" si="23"/>
        <v>0</v>
      </c>
      <c r="G37" s="23">
        <f t="shared" si="23"/>
        <v>0</v>
      </c>
      <c r="H37" s="23">
        <f t="shared" si="23"/>
        <v>0</v>
      </c>
      <c r="I37" s="23">
        <f t="shared" si="23"/>
        <v>0</v>
      </c>
      <c r="J37" s="23">
        <f t="shared" si="23"/>
        <v>0</v>
      </c>
      <c r="K37" s="23">
        <f t="shared" si="23"/>
        <v>0</v>
      </c>
      <c r="L37" s="23">
        <f t="shared" si="23"/>
        <v>0</v>
      </c>
      <c r="M37" s="23">
        <f t="shared" si="23"/>
        <v>0</v>
      </c>
      <c r="N37" s="39">
        <f t="shared" ref="N37:O37" si="24">INT((INDEX(O$7:O$22,$B37)*(1-$D37)+INDEX(O$7:O$22,$B37+1)*$D37)*O$4*$B$2)</f>
        <v>22</v>
      </c>
      <c r="O37" s="39">
        <f t="shared" si="24"/>
        <v>8</v>
      </c>
      <c r="R37" s="30">
        <v>2</v>
      </c>
      <c r="S37" s="30" t="s">
        <v>256</v>
      </c>
      <c r="T37" s="16">
        <f t="shared" si="12"/>
        <v>1</v>
      </c>
      <c r="U37" s="30">
        <v>15</v>
      </c>
      <c r="V37" s="30">
        <v>30</v>
      </c>
      <c r="W37" s="36">
        <v>1</v>
      </c>
      <c r="X37" s="36"/>
      <c r="Y37" s="36"/>
      <c r="Z37" s="16">
        <f t="shared" si="13"/>
        <v>120</v>
      </c>
      <c r="AA37" s="16">
        <f t="shared" si="14"/>
        <v>0</v>
      </c>
      <c r="AB37" s="16">
        <f t="shared" si="15"/>
        <v>0</v>
      </c>
      <c r="AC37" s="16">
        <f t="shared" si="16"/>
        <v>0</v>
      </c>
      <c r="AD37" s="16">
        <f t="shared" si="17"/>
        <v>0</v>
      </c>
      <c r="AE37" s="16">
        <f t="shared" si="18"/>
        <v>0</v>
      </c>
      <c r="AF37" s="16">
        <f t="shared" si="19"/>
        <v>0</v>
      </c>
      <c r="AG37" s="16">
        <f t="shared" si="20"/>
        <v>0</v>
      </c>
      <c r="AH37" s="16">
        <f t="shared" si="21"/>
        <v>0</v>
      </c>
      <c r="AI37" s="16">
        <f t="shared" si="22"/>
        <v>8500</v>
      </c>
    </row>
    <row r="38" spans="1:48" ht="16.5" x14ac:dyDescent="0.2">
      <c r="A38" s="30">
        <v>4</v>
      </c>
      <c r="B38" s="30">
        <v>1</v>
      </c>
      <c r="C38" s="30">
        <v>4</v>
      </c>
      <c r="D38" s="21">
        <v>1</v>
      </c>
      <c r="E38" s="23">
        <f t="shared" ref="E38:M38" si="25">(INDEX(F$7:F$22,$B38)*(1-$D38)+INDEX(F$7:F$22,$B38+1)*$D38)*F$4*$B$2</f>
        <v>0.25</v>
      </c>
      <c r="F38" s="23">
        <f t="shared" si="25"/>
        <v>0</v>
      </c>
      <c r="G38" s="23">
        <f t="shared" si="25"/>
        <v>0</v>
      </c>
      <c r="H38" s="23">
        <f t="shared" si="25"/>
        <v>0</v>
      </c>
      <c r="I38" s="23">
        <f t="shared" si="25"/>
        <v>0</v>
      </c>
      <c r="J38" s="23">
        <f t="shared" si="25"/>
        <v>0</v>
      </c>
      <c r="K38" s="23">
        <f t="shared" si="25"/>
        <v>0</v>
      </c>
      <c r="L38" s="23">
        <f t="shared" si="25"/>
        <v>0</v>
      </c>
      <c r="M38" s="23">
        <f t="shared" si="25"/>
        <v>0</v>
      </c>
      <c r="N38" s="39">
        <f t="shared" ref="N38:O38" si="26">INT((INDEX(O$7:O$22,$B38)*(1-$D38)+INDEX(O$7:O$22,$B38+1)*$D38)*O$4*$B$2)</f>
        <v>25</v>
      </c>
      <c r="O38" s="39">
        <f t="shared" si="26"/>
        <v>10</v>
      </c>
      <c r="R38" s="30">
        <v>3</v>
      </c>
      <c r="S38" s="30" t="s">
        <v>256</v>
      </c>
      <c r="T38" s="16">
        <f t="shared" si="12"/>
        <v>1</v>
      </c>
      <c r="U38" s="30">
        <v>30</v>
      </c>
      <c r="V38" s="30">
        <v>40</v>
      </c>
      <c r="W38" s="36">
        <v>1</v>
      </c>
      <c r="X38" s="36">
        <v>1</v>
      </c>
      <c r="Y38" s="36"/>
      <c r="Z38" s="16">
        <f t="shared" si="13"/>
        <v>240</v>
      </c>
      <c r="AA38" s="16">
        <f t="shared" si="14"/>
        <v>0</v>
      </c>
      <c r="AB38" s="16">
        <f t="shared" si="15"/>
        <v>0</v>
      </c>
      <c r="AC38" s="16">
        <f t="shared" si="16"/>
        <v>0</v>
      </c>
      <c r="AD38" s="16">
        <f t="shared" si="17"/>
        <v>0</v>
      </c>
      <c r="AE38" s="16">
        <f t="shared" si="18"/>
        <v>130</v>
      </c>
      <c r="AF38" s="16">
        <f t="shared" si="19"/>
        <v>0</v>
      </c>
      <c r="AG38" s="16">
        <f t="shared" si="20"/>
        <v>0</v>
      </c>
      <c r="AH38" s="16">
        <f t="shared" si="21"/>
        <v>0</v>
      </c>
      <c r="AI38" s="16">
        <f t="shared" si="22"/>
        <v>17000</v>
      </c>
    </row>
    <row r="39" spans="1:48" ht="16.5" x14ac:dyDescent="0.2">
      <c r="A39" s="30">
        <v>5</v>
      </c>
      <c r="B39" s="30">
        <v>2</v>
      </c>
      <c r="C39" s="30">
        <v>1</v>
      </c>
      <c r="D39" s="21">
        <v>0.5</v>
      </c>
      <c r="E39" s="23">
        <f t="shared" ref="E39:M39" si="27">(INDEX(F$7:F$22,$B39)*(1-$D39)+INDEX(F$7:F$22,$B39+1)*$D39)*F$4*$B$2</f>
        <v>0.375</v>
      </c>
      <c r="F39" s="23">
        <f t="shared" si="27"/>
        <v>0</v>
      </c>
      <c r="G39" s="23">
        <f t="shared" si="27"/>
        <v>0</v>
      </c>
      <c r="H39" s="23">
        <f t="shared" si="27"/>
        <v>0</v>
      </c>
      <c r="I39" s="23">
        <f t="shared" si="27"/>
        <v>0</v>
      </c>
      <c r="J39" s="23">
        <f t="shared" si="27"/>
        <v>0</v>
      </c>
      <c r="K39" s="23">
        <f t="shared" si="27"/>
        <v>0</v>
      </c>
      <c r="L39" s="23">
        <f t="shared" si="27"/>
        <v>0</v>
      </c>
      <c r="M39" s="23">
        <f t="shared" si="27"/>
        <v>0</v>
      </c>
      <c r="N39" s="39">
        <f t="shared" ref="N39:O39" si="28">INT((INDEX(O$7:O$22,$B39)*(1-$D39)+INDEX(O$7:O$22,$B39+1)*$D39)*O$4*$B$2)</f>
        <v>33</v>
      </c>
      <c r="O39" s="39">
        <f t="shared" si="28"/>
        <v>12</v>
      </c>
      <c r="R39" s="30">
        <v>4</v>
      </c>
      <c r="S39" s="30" t="s">
        <v>257</v>
      </c>
      <c r="T39" s="16">
        <f t="shared" si="12"/>
        <v>1.25</v>
      </c>
      <c r="U39" s="30">
        <v>40</v>
      </c>
      <c r="V39" s="30">
        <v>50</v>
      </c>
      <c r="W39" s="36">
        <v>2</v>
      </c>
      <c r="X39" s="36">
        <v>1</v>
      </c>
      <c r="Y39" s="36"/>
      <c r="Z39" s="16">
        <f t="shared" si="13"/>
        <v>0</v>
      </c>
      <c r="AA39" s="16">
        <f t="shared" si="14"/>
        <v>85</v>
      </c>
      <c r="AB39" s="16">
        <f t="shared" si="15"/>
        <v>0</v>
      </c>
      <c r="AC39" s="16">
        <f t="shared" si="16"/>
        <v>0</v>
      </c>
      <c r="AD39" s="16">
        <f t="shared" si="17"/>
        <v>0</v>
      </c>
      <c r="AE39" s="16">
        <f t="shared" si="18"/>
        <v>160</v>
      </c>
      <c r="AF39" s="16">
        <f t="shared" si="19"/>
        <v>0</v>
      </c>
      <c r="AG39" s="16">
        <f t="shared" si="20"/>
        <v>0</v>
      </c>
      <c r="AH39" s="16">
        <f t="shared" si="21"/>
        <v>0</v>
      </c>
      <c r="AI39" s="16">
        <f t="shared" si="22"/>
        <v>10500</v>
      </c>
    </row>
    <row r="40" spans="1:48" ht="16.5" x14ac:dyDescent="0.2">
      <c r="A40" s="30">
        <v>6</v>
      </c>
      <c r="B40" s="30">
        <v>2</v>
      </c>
      <c r="C40" s="30">
        <v>2</v>
      </c>
      <c r="D40" s="21">
        <v>0.56999999999999995</v>
      </c>
      <c r="E40" s="23">
        <f t="shared" ref="E40:M40" si="29">(INDEX(F$7:F$22,$B40)*(1-$D40)+INDEX(F$7:F$22,$B40+1)*$D40)*F$4*$B$2</f>
        <v>0.39249999999999996</v>
      </c>
      <c r="F40" s="23">
        <f t="shared" si="29"/>
        <v>0</v>
      </c>
      <c r="G40" s="23">
        <f t="shared" si="29"/>
        <v>0</v>
      </c>
      <c r="H40" s="23">
        <f t="shared" si="29"/>
        <v>0</v>
      </c>
      <c r="I40" s="23">
        <f t="shared" si="29"/>
        <v>0</v>
      </c>
      <c r="J40" s="23">
        <f t="shared" si="29"/>
        <v>0</v>
      </c>
      <c r="K40" s="23">
        <f t="shared" si="29"/>
        <v>0</v>
      </c>
      <c r="L40" s="23">
        <f t="shared" si="29"/>
        <v>0</v>
      </c>
      <c r="M40" s="23">
        <f t="shared" si="29"/>
        <v>0</v>
      </c>
      <c r="N40" s="39">
        <f t="shared" ref="N40:O40" si="30">INT((INDEX(O$7:O$22,$B40)*(1-$D40)+INDEX(O$7:O$22,$B40+1)*$D40)*O$4*$B$2)</f>
        <v>34</v>
      </c>
      <c r="O40" s="39">
        <f t="shared" si="30"/>
        <v>12</v>
      </c>
      <c r="R40" s="30">
        <v>5</v>
      </c>
      <c r="S40" s="30" t="s">
        <v>257</v>
      </c>
      <c r="T40" s="16">
        <f t="shared" si="12"/>
        <v>1.5</v>
      </c>
      <c r="U40" s="30">
        <v>50</v>
      </c>
      <c r="V40" s="30">
        <v>60</v>
      </c>
      <c r="W40" s="36">
        <v>2</v>
      </c>
      <c r="X40" s="36">
        <v>1</v>
      </c>
      <c r="Y40" s="36"/>
      <c r="Z40" s="16">
        <f t="shared" si="13"/>
        <v>0</v>
      </c>
      <c r="AA40" s="16">
        <f t="shared" si="14"/>
        <v>145</v>
      </c>
      <c r="AB40" s="16">
        <f t="shared" si="15"/>
        <v>0</v>
      </c>
      <c r="AC40" s="16">
        <f t="shared" si="16"/>
        <v>0</v>
      </c>
      <c r="AD40" s="16">
        <f t="shared" si="17"/>
        <v>0</v>
      </c>
      <c r="AE40" s="16">
        <f t="shared" si="18"/>
        <v>175</v>
      </c>
      <c r="AF40" s="16">
        <f t="shared" si="19"/>
        <v>0</v>
      </c>
      <c r="AG40" s="16">
        <f t="shared" si="20"/>
        <v>0</v>
      </c>
      <c r="AH40" s="16">
        <f t="shared" si="21"/>
        <v>0</v>
      </c>
      <c r="AI40" s="16">
        <f t="shared" si="22"/>
        <v>25000</v>
      </c>
    </row>
    <row r="41" spans="1:48" ht="16.5" x14ac:dyDescent="0.2">
      <c r="A41" s="30">
        <v>7</v>
      </c>
      <c r="B41" s="30">
        <v>2</v>
      </c>
      <c r="C41" s="30">
        <v>3</v>
      </c>
      <c r="D41" s="21">
        <v>0.64</v>
      </c>
      <c r="E41" s="23">
        <f t="shared" ref="E41:M41" si="31">(INDEX(F$7:F$22,$B41)*(1-$D41)+INDEX(F$7:F$22,$B41+1)*$D41)*F$4*$B$2</f>
        <v>0.41000000000000003</v>
      </c>
      <c r="F41" s="23">
        <f t="shared" si="31"/>
        <v>0</v>
      </c>
      <c r="G41" s="23">
        <f t="shared" si="31"/>
        <v>0</v>
      </c>
      <c r="H41" s="23">
        <f t="shared" si="31"/>
        <v>0</v>
      </c>
      <c r="I41" s="23">
        <f t="shared" si="31"/>
        <v>0</v>
      </c>
      <c r="J41" s="23">
        <f t="shared" si="31"/>
        <v>0</v>
      </c>
      <c r="K41" s="23">
        <f t="shared" si="31"/>
        <v>0</v>
      </c>
      <c r="L41" s="23">
        <f t="shared" si="31"/>
        <v>0</v>
      </c>
      <c r="M41" s="23">
        <f t="shared" si="31"/>
        <v>0</v>
      </c>
      <c r="N41" s="39">
        <f t="shared" ref="N41:O41" si="32">INT((INDEX(O$7:O$22,$B41)*(1-$D41)+INDEX(O$7:O$22,$B41+1)*$D41)*O$4*$B$2)</f>
        <v>35</v>
      </c>
      <c r="O41" s="39">
        <f t="shared" si="32"/>
        <v>13</v>
      </c>
      <c r="R41" s="30">
        <v>6</v>
      </c>
      <c r="S41" s="30" t="s">
        <v>258</v>
      </c>
      <c r="T41" s="16">
        <f t="shared" si="12"/>
        <v>1.75</v>
      </c>
      <c r="U41" s="30">
        <v>60</v>
      </c>
      <c r="V41" s="30">
        <v>70</v>
      </c>
      <c r="W41" s="36">
        <v>2</v>
      </c>
      <c r="X41" s="36">
        <v>1</v>
      </c>
      <c r="Y41" s="36"/>
      <c r="Z41" s="16">
        <f t="shared" si="13"/>
        <v>0</v>
      </c>
      <c r="AA41" s="16">
        <f t="shared" si="14"/>
        <v>185</v>
      </c>
      <c r="AB41" s="16">
        <f t="shared" si="15"/>
        <v>0</v>
      </c>
      <c r="AC41" s="16">
        <f t="shared" si="16"/>
        <v>0</v>
      </c>
      <c r="AD41" s="16">
        <f t="shared" si="17"/>
        <v>0</v>
      </c>
      <c r="AE41" s="16">
        <f t="shared" si="18"/>
        <v>190</v>
      </c>
      <c r="AF41" s="16">
        <f t="shared" si="19"/>
        <v>0</v>
      </c>
      <c r="AG41" s="16">
        <f t="shared" si="20"/>
        <v>0</v>
      </c>
      <c r="AH41" s="16">
        <f t="shared" si="21"/>
        <v>0</v>
      </c>
      <c r="AI41" s="16">
        <f t="shared" si="22"/>
        <v>28000</v>
      </c>
    </row>
    <row r="42" spans="1:48" ht="16.5" x14ac:dyDescent="0.2">
      <c r="A42" s="30">
        <v>8</v>
      </c>
      <c r="B42" s="30">
        <v>2</v>
      </c>
      <c r="C42" s="30">
        <v>4</v>
      </c>
      <c r="D42" s="21">
        <v>0.71</v>
      </c>
      <c r="E42" s="23">
        <f t="shared" ref="E42:M42" si="33">(INDEX(F$7:F$22,$B42)*(1-$D42)+INDEX(F$7:F$22,$B42+1)*$D42)*F$4*$B$2</f>
        <v>0.42749999999999999</v>
      </c>
      <c r="F42" s="23">
        <f t="shared" si="33"/>
        <v>0</v>
      </c>
      <c r="G42" s="23">
        <f t="shared" si="33"/>
        <v>0</v>
      </c>
      <c r="H42" s="23">
        <f t="shared" si="33"/>
        <v>0</v>
      </c>
      <c r="I42" s="23">
        <f t="shared" si="33"/>
        <v>0</v>
      </c>
      <c r="J42" s="23">
        <f t="shared" si="33"/>
        <v>0</v>
      </c>
      <c r="K42" s="23">
        <f t="shared" si="33"/>
        <v>0</v>
      </c>
      <c r="L42" s="23">
        <f t="shared" si="33"/>
        <v>0</v>
      </c>
      <c r="M42" s="23">
        <f t="shared" si="33"/>
        <v>0</v>
      </c>
      <c r="N42" s="39">
        <f t="shared" ref="N42:O42" si="34">INT((INDEX(O$7:O$22,$B42)*(1-$D42)+INDEX(O$7:O$22,$B42+1)*$D42)*O$4*$B$2)</f>
        <v>37</v>
      </c>
      <c r="O42" s="39">
        <f t="shared" si="34"/>
        <v>13</v>
      </c>
      <c r="R42" s="30">
        <v>7</v>
      </c>
      <c r="S42" s="30" t="s">
        <v>258</v>
      </c>
      <c r="T42" s="16">
        <f t="shared" si="12"/>
        <v>2</v>
      </c>
      <c r="U42" s="30">
        <v>70</v>
      </c>
      <c r="V42" s="30">
        <v>80</v>
      </c>
      <c r="W42" s="36">
        <v>2</v>
      </c>
      <c r="X42" s="36">
        <v>1</v>
      </c>
      <c r="Y42" s="36"/>
      <c r="Z42" s="16">
        <f t="shared" si="13"/>
        <v>0</v>
      </c>
      <c r="AA42" s="16">
        <f t="shared" si="14"/>
        <v>220</v>
      </c>
      <c r="AB42" s="16">
        <f t="shared" si="15"/>
        <v>0</v>
      </c>
      <c r="AC42" s="16">
        <f t="shared" si="16"/>
        <v>0</v>
      </c>
      <c r="AD42" s="16">
        <f t="shared" si="17"/>
        <v>0</v>
      </c>
      <c r="AE42" s="16">
        <f t="shared" si="18"/>
        <v>200</v>
      </c>
      <c r="AF42" s="16">
        <f t="shared" si="19"/>
        <v>0</v>
      </c>
      <c r="AG42" s="16">
        <f t="shared" si="20"/>
        <v>0</v>
      </c>
      <c r="AH42" s="16">
        <f t="shared" si="21"/>
        <v>0</v>
      </c>
      <c r="AI42" s="16">
        <f t="shared" si="22"/>
        <v>31000</v>
      </c>
    </row>
    <row r="43" spans="1:48" ht="16.5" x14ac:dyDescent="0.2">
      <c r="A43" s="30">
        <v>9</v>
      </c>
      <c r="B43" s="30">
        <v>2</v>
      </c>
      <c r="C43" s="30">
        <v>5</v>
      </c>
      <c r="D43" s="21">
        <v>0.78</v>
      </c>
      <c r="E43" s="23">
        <f t="shared" ref="E43:M43" si="35">(INDEX(F$7:F$22,$B43)*(1-$D43)+INDEX(F$7:F$22,$B43+1)*$D43)*F$4*$B$2</f>
        <v>0.44500000000000001</v>
      </c>
      <c r="F43" s="23">
        <f t="shared" si="35"/>
        <v>0</v>
      </c>
      <c r="G43" s="23">
        <f t="shared" si="35"/>
        <v>0</v>
      </c>
      <c r="H43" s="23">
        <f t="shared" si="35"/>
        <v>0</v>
      </c>
      <c r="I43" s="23">
        <f t="shared" si="35"/>
        <v>0</v>
      </c>
      <c r="J43" s="23">
        <f t="shared" si="35"/>
        <v>0</v>
      </c>
      <c r="K43" s="23">
        <f t="shared" si="35"/>
        <v>0</v>
      </c>
      <c r="L43" s="23">
        <f t="shared" si="35"/>
        <v>0</v>
      </c>
      <c r="M43" s="23">
        <f t="shared" si="35"/>
        <v>0</v>
      </c>
      <c r="N43" s="39">
        <f t="shared" ref="N43:O43" si="36">INT((INDEX(O$7:O$22,$B43)*(1-$D43)+INDEX(O$7:O$22,$B43+1)*$D43)*O$4*$B$2)</f>
        <v>38</v>
      </c>
      <c r="O43" s="39">
        <f t="shared" si="36"/>
        <v>13</v>
      </c>
      <c r="R43" s="30">
        <v>8</v>
      </c>
      <c r="S43" s="30" t="s">
        <v>259</v>
      </c>
      <c r="T43" s="16">
        <f t="shared" si="12"/>
        <v>2.2000000000000002</v>
      </c>
      <c r="U43" s="30">
        <v>80</v>
      </c>
      <c r="V43" s="30">
        <v>85</v>
      </c>
      <c r="W43" s="36">
        <v>3</v>
      </c>
      <c r="X43" s="36">
        <v>2</v>
      </c>
      <c r="Y43" s="36"/>
      <c r="Z43" s="16">
        <f t="shared" si="13"/>
        <v>0</v>
      </c>
      <c r="AA43" s="16">
        <f t="shared" si="14"/>
        <v>0</v>
      </c>
      <c r="AB43" s="16">
        <f t="shared" si="15"/>
        <v>95</v>
      </c>
      <c r="AC43" s="16">
        <f t="shared" si="16"/>
        <v>0</v>
      </c>
      <c r="AD43" s="16">
        <f t="shared" si="17"/>
        <v>0</v>
      </c>
      <c r="AE43" s="16">
        <f t="shared" si="18"/>
        <v>0</v>
      </c>
      <c r="AF43" s="16">
        <f t="shared" si="19"/>
        <v>80</v>
      </c>
      <c r="AG43" s="16">
        <f t="shared" si="20"/>
        <v>0</v>
      </c>
      <c r="AH43" s="16">
        <f t="shared" si="21"/>
        <v>0</v>
      </c>
      <c r="AI43" s="16">
        <f t="shared" si="22"/>
        <v>24000</v>
      </c>
    </row>
    <row r="44" spans="1:48" ht="16.5" x14ac:dyDescent="0.2">
      <c r="A44" s="30">
        <v>10</v>
      </c>
      <c r="B44" s="30">
        <v>2</v>
      </c>
      <c r="C44" s="30">
        <v>6</v>
      </c>
      <c r="D44" s="21">
        <v>0.85</v>
      </c>
      <c r="E44" s="23">
        <f t="shared" ref="E44:M44" si="37">(INDEX(F$7:F$22,$B44)*(1-$D44)+INDEX(F$7:F$22,$B44+1)*$D44)*F$4*$B$2</f>
        <v>0.46250000000000002</v>
      </c>
      <c r="F44" s="23">
        <f t="shared" si="37"/>
        <v>0</v>
      </c>
      <c r="G44" s="23">
        <f t="shared" si="37"/>
        <v>0</v>
      </c>
      <c r="H44" s="23">
        <f t="shared" si="37"/>
        <v>0</v>
      </c>
      <c r="I44" s="23">
        <f t="shared" si="37"/>
        <v>0</v>
      </c>
      <c r="J44" s="23">
        <f t="shared" si="37"/>
        <v>0</v>
      </c>
      <c r="K44" s="23">
        <f t="shared" si="37"/>
        <v>0</v>
      </c>
      <c r="L44" s="23">
        <f t="shared" si="37"/>
        <v>0</v>
      </c>
      <c r="M44" s="23">
        <f t="shared" si="37"/>
        <v>0</v>
      </c>
      <c r="N44" s="39">
        <f t="shared" ref="N44:O44" si="38">INT((INDEX(O$7:O$22,$B44)*(1-$D44)+INDEX(O$7:O$22,$B44+1)*$D44)*O$4*$B$2)</f>
        <v>39</v>
      </c>
      <c r="O44" s="39">
        <f t="shared" si="38"/>
        <v>14</v>
      </c>
      <c r="R44" s="30">
        <v>9</v>
      </c>
      <c r="S44" s="30" t="s">
        <v>259</v>
      </c>
      <c r="T44" s="16">
        <f t="shared" si="12"/>
        <v>2.4</v>
      </c>
      <c r="U44" s="30">
        <v>85</v>
      </c>
      <c r="V44" s="30">
        <v>90</v>
      </c>
      <c r="W44" s="36">
        <v>3</v>
      </c>
      <c r="X44" s="36">
        <v>2</v>
      </c>
      <c r="Y44" s="36"/>
      <c r="Z44" s="16">
        <f t="shared" si="13"/>
        <v>0</v>
      </c>
      <c r="AA44" s="16">
        <f t="shared" si="14"/>
        <v>0</v>
      </c>
      <c r="AB44" s="16">
        <f t="shared" si="15"/>
        <v>175</v>
      </c>
      <c r="AC44" s="16">
        <f t="shared" si="16"/>
        <v>0</v>
      </c>
      <c r="AD44" s="16">
        <f t="shared" si="17"/>
        <v>0</v>
      </c>
      <c r="AE44" s="16">
        <f t="shared" si="18"/>
        <v>0</v>
      </c>
      <c r="AF44" s="16">
        <f t="shared" si="19"/>
        <v>120</v>
      </c>
      <c r="AG44" s="16">
        <f t="shared" si="20"/>
        <v>0</v>
      </c>
      <c r="AH44" s="16">
        <f t="shared" si="21"/>
        <v>0</v>
      </c>
      <c r="AI44" s="16">
        <f t="shared" si="22"/>
        <v>26500</v>
      </c>
    </row>
    <row r="45" spans="1:48" ht="16.5" x14ac:dyDescent="0.2">
      <c r="A45" s="30">
        <v>11</v>
      </c>
      <c r="B45" s="30">
        <v>2</v>
      </c>
      <c r="C45" s="30">
        <v>7</v>
      </c>
      <c r="D45" s="21">
        <v>0.92</v>
      </c>
      <c r="E45" s="23">
        <f t="shared" ref="E45:M45" si="39">(INDEX(F$7:F$22,$B45)*(1-$D45)+INDEX(F$7:F$22,$B45+1)*$D45)*F$4*$B$2</f>
        <v>0.48</v>
      </c>
      <c r="F45" s="23">
        <f t="shared" si="39"/>
        <v>0</v>
      </c>
      <c r="G45" s="23">
        <f t="shared" si="39"/>
        <v>0</v>
      </c>
      <c r="H45" s="23">
        <f t="shared" si="39"/>
        <v>0</v>
      </c>
      <c r="I45" s="23">
        <f t="shared" si="39"/>
        <v>0</v>
      </c>
      <c r="J45" s="23">
        <f t="shared" si="39"/>
        <v>0</v>
      </c>
      <c r="K45" s="23">
        <f t="shared" si="39"/>
        <v>0</v>
      </c>
      <c r="L45" s="23">
        <f t="shared" si="39"/>
        <v>0</v>
      </c>
      <c r="M45" s="23">
        <f t="shared" si="39"/>
        <v>0</v>
      </c>
      <c r="N45" s="39">
        <f t="shared" ref="N45:O45" si="40">INT((INDEX(O$7:O$22,$B45)*(1-$D45)+INDEX(O$7:O$22,$B45+1)*$D45)*O$4*$B$2)</f>
        <v>40</v>
      </c>
      <c r="O45" s="39">
        <f t="shared" si="40"/>
        <v>14</v>
      </c>
      <c r="R45" s="30">
        <v>10</v>
      </c>
      <c r="S45" s="30" t="s">
        <v>259</v>
      </c>
      <c r="T45" s="16">
        <f t="shared" si="12"/>
        <v>2.6</v>
      </c>
      <c r="U45" s="30">
        <v>90</v>
      </c>
      <c r="V45" s="30">
        <v>95</v>
      </c>
      <c r="W45" s="36">
        <v>3</v>
      </c>
      <c r="X45" s="36">
        <v>2</v>
      </c>
      <c r="Y45" s="36"/>
      <c r="Z45" s="16">
        <f t="shared" si="13"/>
        <v>0</v>
      </c>
      <c r="AA45" s="16">
        <f t="shared" si="14"/>
        <v>0</v>
      </c>
      <c r="AB45" s="16">
        <f t="shared" si="15"/>
        <v>245</v>
      </c>
      <c r="AC45" s="16">
        <f t="shared" si="16"/>
        <v>0</v>
      </c>
      <c r="AD45" s="16">
        <f t="shared" si="17"/>
        <v>0</v>
      </c>
      <c r="AE45" s="16">
        <f t="shared" si="18"/>
        <v>0</v>
      </c>
      <c r="AF45" s="16">
        <f t="shared" si="19"/>
        <v>170</v>
      </c>
      <c r="AG45" s="16">
        <f t="shared" si="20"/>
        <v>0</v>
      </c>
      <c r="AH45" s="16">
        <f t="shared" si="21"/>
        <v>0</v>
      </c>
      <c r="AI45" s="16">
        <f t="shared" si="22"/>
        <v>28500</v>
      </c>
    </row>
    <row r="46" spans="1:48" ht="16.5" x14ac:dyDescent="0.2">
      <c r="A46" s="30">
        <v>12</v>
      </c>
      <c r="B46" s="30">
        <v>2</v>
      </c>
      <c r="C46" s="30">
        <v>8</v>
      </c>
      <c r="D46" s="21">
        <v>1</v>
      </c>
      <c r="E46" s="23">
        <f t="shared" ref="E46:M46" si="41">(INDEX(F$7:F$22,$B46)*(1-$D46)+INDEX(F$7:F$22,$B46+1)*$D46)*F$4*$B$2</f>
        <v>0.5</v>
      </c>
      <c r="F46" s="23">
        <f t="shared" si="41"/>
        <v>0</v>
      </c>
      <c r="G46" s="23">
        <f t="shared" si="41"/>
        <v>0</v>
      </c>
      <c r="H46" s="23">
        <f t="shared" si="41"/>
        <v>0</v>
      </c>
      <c r="I46" s="23">
        <f t="shared" si="41"/>
        <v>0</v>
      </c>
      <c r="J46" s="23">
        <f t="shared" si="41"/>
        <v>0</v>
      </c>
      <c r="K46" s="23">
        <f t="shared" si="41"/>
        <v>0</v>
      </c>
      <c r="L46" s="23">
        <f t="shared" si="41"/>
        <v>0</v>
      </c>
      <c r="M46" s="23">
        <f t="shared" si="41"/>
        <v>0</v>
      </c>
      <c r="N46" s="39">
        <f t="shared" ref="N46:O46" si="42">INT((INDEX(O$7:O$22,$B46)*(1-$D46)+INDEX(O$7:O$22,$B46+1)*$D46)*O$4*$B$2)</f>
        <v>42</v>
      </c>
      <c r="O46" s="39">
        <f t="shared" si="42"/>
        <v>15</v>
      </c>
      <c r="R46" s="30">
        <v>11</v>
      </c>
      <c r="S46" s="30" t="s">
        <v>259</v>
      </c>
      <c r="T46" s="16">
        <f t="shared" si="12"/>
        <v>2.8</v>
      </c>
      <c r="U46" s="30">
        <v>95</v>
      </c>
      <c r="V46" s="30">
        <v>100</v>
      </c>
      <c r="W46" s="36">
        <v>3</v>
      </c>
      <c r="X46" s="36">
        <v>2</v>
      </c>
      <c r="Y46" s="36"/>
      <c r="Z46" s="16">
        <f t="shared" si="13"/>
        <v>0</v>
      </c>
      <c r="AA46" s="16">
        <f t="shared" si="14"/>
        <v>0</v>
      </c>
      <c r="AB46" s="16">
        <f t="shared" si="15"/>
        <v>305</v>
      </c>
      <c r="AC46" s="16">
        <f t="shared" si="16"/>
        <v>0</v>
      </c>
      <c r="AD46" s="16">
        <f t="shared" si="17"/>
        <v>0</v>
      </c>
      <c r="AE46" s="16">
        <f t="shared" si="18"/>
        <v>0</v>
      </c>
      <c r="AF46" s="16">
        <f t="shared" si="19"/>
        <v>200</v>
      </c>
      <c r="AG46" s="16">
        <f t="shared" si="20"/>
        <v>0</v>
      </c>
      <c r="AH46" s="16">
        <f t="shared" si="21"/>
        <v>0</v>
      </c>
      <c r="AI46" s="16">
        <f t="shared" si="22"/>
        <v>30500</v>
      </c>
    </row>
    <row r="47" spans="1:48" ht="16.5" x14ac:dyDescent="0.2">
      <c r="A47" s="30">
        <v>13</v>
      </c>
      <c r="B47" s="30">
        <v>3</v>
      </c>
      <c r="C47" s="30">
        <v>1</v>
      </c>
      <c r="D47" s="21">
        <v>0.5</v>
      </c>
      <c r="E47" s="23">
        <f t="shared" ref="E47:M47" si="43">(INDEX(F$7:F$22,$B47)*(1-$D47)+INDEX(F$7:F$22,$B47+1)*$D47)*F$4*$B$2</f>
        <v>0.625</v>
      </c>
      <c r="F47" s="23">
        <f t="shared" si="43"/>
        <v>0</v>
      </c>
      <c r="G47" s="23">
        <f t="shared" si="43"/>
        <v>0</v>
      </c>
      <c r="H47" s="23">
        <f t="shared" si="43"/>
        <v>0</v>
      </c>
      <c r="I47" s="23">
        <f t="shared" si="43"/>
        <v>0</v>
      </c>
      <c r="J47" s="23">
        <f t="shared" si="43"/>
        <v>0</v>
      </c>
      <c r="K47" s="23">
        <f t="shared" si="43"/>
        <v>0</v>
      </c>
      <c r="L47" s="23">
        <f t="shared" si="43"/>
        <v>0</v>
      </c>
      <c r="M47" s="23">
        <f t="shared" si="43"/>
        <v>0</v>
      </c>
      <c r="N47" s="39">
        <f t="shared" ref="N47:O47" si="44">INT((INDEX(O$7:O$22,$B47)*(1-$D47)+INDEX(O$7:O$22,$B47+1)*$D47)*O$4*$B$2)</f>
        <v>56</v>
      </c>
      <c r="O47" s="39">
        <f t="shared" si="44"/>
        <v>17</v>
      </c>
      <c r="R47" s="30">
        <v>12</v>
      </c>
      <c r="S47" s="30" t="s">
        <v>260</v>
      </c>
      <c r="T47" s="16">
        <f t="shared" si="12"/>
        <v>3</v>
      </c>
      <c r="U47" s="30">
        <v>100</v>
      </c>
      <c r="V47" s="30">
        <v>105</v>
      </c>
      <c r="W47" s="36">
        <v>4</v>
      </c>
      <c r="X47" s="36">
        <v>2</v>
      </c>
      <c r="Y47" s="36"/>
      <c r="Z47" s="16">
        <f t="shared" si="13"/>
        <v>0</v>
      </c>
      <c r="AA47" s="16">
        <f t="shared" si="14"/>
        <v>0</v>
      </c>
      <c r="AB47" s="16">
        <f t="shared" si="15"/>
        <v>0</v>
      </c>
      <c r="AC47" s="16">
        <f t="shared" si="16"/>
        <v>115</v>
      </c>
      <c r="AD47" s="16">
        <f t="shared" si="17"/>
        <v>0</v>
      </c>
      <c r="AE47" s="16">
        <f t="shared" si="18"/>
        <v>0</v>
      </c>
      <c r="AF47" s="16">
        <f t="shared" si="19"/>
        <v>225</v>
      </c>
      <c r="AG47" s="16">
        <f t="shared" si="20"/>
        <v>0</v>
      </c>
      <c r="AH47" s="16">
        <f t="shared" si="21"/>
        <v>0</v>
      </c>
      <c r="AI47" s="16">
        <f t="shared" si="22"/>
        <v>38500</v>
      </c>
    </row>
    <row r="48" spans="1:48" ht="16.5" x14ac:dyDescent="0.2">
      <c r="A48" s="30">
        <v>14</v>
      </c>
      <c r="B48" s="30">
        <v>3</v>
      </c>
      <c r="C48" s="30">
        <v>2</v>
      </c>
      <c r="D48" s="21">
        <v>0.56000000000000005</v>
      </c>
      <c r="E48" s="23">
        <f t="shared" ref="E48:M48" si="45">(INDEX(F$7:F$22,$B48)*(1-$D48)+INDEX(F$7:F$22,$B48+1)*$D48)*F$4*$B$2</f>
        <v>0.64</v>
      </c>
      <c r="F48" s="23">
        <f t="shared" si="45"/>
        <v>0</v>
      </c>
      <c r="G48" s="23">
        <f t="shared" si="45"/>
        <v>0</v>
      </c>
      <c r="H48" s="23">
        <f t="shared" si="45"/>
        <v>0</v>
      </c>
      <c r="I48" s="23">
        <f t="shared" si="45"/>
        <v>0</v>
      </c>
      <c r="J48" s="23">
        <f t="shared" si="45"/>
        <v>0</v>
      </c>
      <c r="K48" s="23">
        <f t="shared" si="45"/>
        <v>0</v>
      </c>
      <c r="L48" s="23">
        <f t="shared" si="45"/>
        <v>0</v>
      </c>
      <c r="M48" s="23">
        <f t="shared" si="45"/>
        <v>0</v>
      </c>
      <c r="N48" s="39">
        <f t="shared" ref="N48:O48" si="46">INT((INDEX(O$7:O$22,$B48)*(1-$D48)+INDEX(O$7:O$22,$B48+1)*$D48)*O$4*$B$2)</f>
        <v>57</v>
      </c>
      <c r="O48" s="39">
        <f t="shared" si="46"/>
        <v>17</v>
      </c>
      <c r="R48" s="30">
        <v>13</v>
      </c>
      <c r="S48" s="30" t="s">
        <v>260</v>
      </c>
      <c r="T48" s="16">
        <f t="shared" si="12"/>
        <v>3</v>
      </c>
      <c r="U48" s="30">
        <v>105</v>
      </c>
      <c r="V48" s="30">
        <v>110</v>
      </c>
      <c r="W48" s="36">
        <v>4</v>
      </c>
      <c r="X48" s="36">
        <v>2</v>
      </c>
      <c r="Y48" s="36"/>
      <c r="Z48" s="16">
        <f t="shared" si="13"/>
        <v>0</v>
      </c>
      <c r="AA48" s="16">
        <f t="shared" si="14"/>
        <v>0</v>
      </c>
      <c r="AB48" s="16">
        <f t="shared" si="15"/>
        <v>0</v>
      </c>
      <c r="AC48" s="16">
        <f t="shared" si="16"/>
        <v>235</v>
      </c>
      <c r="AD48" s="16">
        <f t="shared" si="17"/>
        <v>0</v>
      </c>
      <c r="AE48" s="16">
        <f t="shared" si="18"/>
        <v>0</v>
      </c>
      <c r="AF48" s="16">
        <f t="shared" si="19"/>
        <v>265</v>
      </c>
      <c r="AG48" s="16">
        <f t="shared" si="20"/>
        <v>0</v>
      </c>
      <c r="AH48" s="16">
        <f t="shared" si="21"/>
        <v>0</v>
      </c>
      <c r="AI48" s="16">
        <f t="shared" si="22"/>
        <v>51000</v>
      </c>
    </row>
    <row r="49" spans="1:35" ht="16.5" x14ac:dyDescent="0.2">
      <c r="A49" s="30">
        <v>15</v>
      </c>
      <c r="B49" s="30">
        <v>3</v>
      </c>
      <c r="C49" s="30">
        <v>3</v>
      </c>
      <c r="D49" s="21">
        <v>0.62</v>
      </c>
      <c r="E49" s="23">
        <f t="shared" ref="E49:M49" si="47">(INDEX(F$7:F$22,$B49)*(1-$D49)+INDEX(F$7:F$22,$B49+1)*$D49)*F$4*$B$2</f>
        <v>0.65500000000000003</v>
      </c>
      <c r="F49" s="23">
        <f t="shared" si="47"/>
        <v>0</v>
      </c>
      <c r="G49" s="23">
        <f t="shared" si="47"/>
        <v>0</v>
      </c>
      <c r="H49" s="23">
        <f t="shared" si="47"/>
        <v>0</v>
      </c>
      <c r="I49" s="23">
        <f t="shared" si="47"/>
        <v>0</v>
      </c>
      <c r="J49" s="23">
        <f t="shared" si="47"/>
        <v>0</v>
      </c>
      <c r="K49" s="23">
        <f t="shared" si="47"/>
        <v>0</v>
      </c>
      <c r="L49" s="23">
        <f t="shared" si="47"/>
        <v>0</v>
      </c>
      <c r="M49" s="23">
        <f t="shared" si="47"/>
        <v>0</v>
      </c>
      <c r="N49" s="39">
        <f t="shared" ref="N49:O49" si="48">INT((INDEX(O$7:O$22,$B49)*(1-$D49)+INDEX(O$7:O$22,$B49+1)*$D49)*O$4*$B$2)</f>
        <v>59</v>
      </c>
      <c r="O49" s="39">
        <f t="shared" si="48"/>
        <v>18</v>
      </c>
      <c r="R49" s="30">
        <v>14</v>
      </c>
      <c r="S49" s="30" t="s">
        <v>260</v>
      </c>
      <c r="T49" s="16">
        <f t="shared" si="12"/>
        <v>3</v>
      </c>
      <c r="U49" s="30">
        <v>110</v>
      </c>
      <c r="V49" s="30">
        <v>115</v>
      </c>
      <c r="W49" s="36">
        <v>4</v>
      </c>
      <c r="X49" s="36">
        <v>3</v>
      </c>
      <c r="Y49" s="36"/>
      <c r="Z49" s="16">
        <f t="shared" si="13"/>
        <v>0</v>
      </c>
      <c r="AA49" s="16">
        <f t="shared" si="14"/>
        <v>0</v>
      </c>
      <c r="AB49" s="16">
        <f t="shared" si="15"/>
        <v>0</v>
      </c>
      <c r="AC49" s="16">
        <f t="shared" si="16"/>
        <v>355</v>
      </c>
      <c r="AD49" s="16">
        <f t="shared" si="17"/>
        <v>0</v>
      </c>
      <c r="AE49" s="16">
        <f t="shared" si="18"/>
        <v>0</v>
      </c>
      <c r="AF49" s="16">
        <f t="shared" si="19"/>
        <v>0</v>
      </c>
      <c r="AG49" s="16">
        <f t="shared" si="20"/>
        <v>45</v>
      </c>
      <c r="AH49" s="16">
        <f t="shared" si="21"/>
        <v>0</v>
      </c>
      <c r="AI49" s="16">
        <f t="shared" si="22"/>
        <v>60000</v>
      </c>
    </row>
    <row r="50" spans="1:35" ht="16.5" x14ac:dyDescent="0.2">
      <c r="A50" s="30">
        <v>16</v>
      </c>
      <c r="B50" s="30">
        <v>3</v>
      </c>
      <c r="C50" s="30">
        <v>4</v>
      </c>
      <c r="D50" s="21">
        <v>0.68</v>
      </c>
      <c r="E50" s="23">
        <f t="shared" ref="E50:M50" si="49">(INDEX(F$7:F$22,$B50)*(1-$D50)+INDEX(F$7:F$22,$B50+1)*$D50)*F$4*$B$2</f>
        <v>0.66999999999999993</v>
      </c>
      <c r="F50" s="23">
        <f t="shared" si="49"/>
        <v>0</v>
      </c>
      <c r="G50" s="23">
        <f t="shared" si="49"/>
        <v>0</v>
      </c>
      <c r="H50" s="23">
        <f t="shared" si="49"/>
        <v>0</v>
      </c>
      <c r="I50" s="23">
        <f t="shared" si="49"/>
        <v>0</v>
      </c>
      <c r="J50" s="23">
        <f t="shared" si="49"/>
        <v>0</v>
      </c>
      <c r="K50" s="23">
        <f t="shared" si="49"/>
        <v>0</v>
      </c>
      <c r="L50" s="23">
        <f t="shared" si="49"/>
        <v>0</v>
      </c>
      <c r="M50" s="23">
        <f t="shared" si="49"/>
        <v>0</v>
      </c>
      <c r="N50" s="39">
        <f t="shared" ref="N50:O50" si="50">INT((INDEX(O$7:O$22,$B50)*(1-$D50)+INDEX(O$7:O$22,$B50+1)*$D50)*O$4*$B$2)</f>
        <v>61</v>
      </c>
      <c r="O50" s="39">
        <f t="shared" si="50"/>
        <v>18</v>
      </c>
      <c r="R50" s="30">
        <v>15</v>
      </c>
      <c r="S50" s="30" t="s">
        <v>260</v>
      </c>
      <c r="T50" s="16">
        <f t="shared" si="12"/>
        <v>3</v>
      </c>
      <c r="U50" s="30">
        <v>115</v>
      </c>
      <c r="V50" s="30">
        <v>120</v>
      </c>
      <c r="W50" s="36">
        <v>4</v>
      </c>
      <c r="X50" s="36">
        <v>3</v>
      </c>
      <c r="Y50" s="36"/>
      <c r="Z50" s="16">
        <f t="shared" si="13"/>
        <v>0</v>
      </c>
      <c r="AA50" s="16">
        <f t="shared" si="14"/>
        <v>0</v>
      </c>
      <c r="AB50" s="16">
        <f t="shared" si="15"/>
        <v>0</v>
      </c>
      <c r="AC50" s="16">
        <f t="shared" si="16"/>
        <v>475</v>
      </c>
      <c r="AD50" s="16">
        <f t="shared" si="17"/>
        <v>0</v>
      </c>
      <c r="AE50" s="16">
        <f t="shared" si="18"/>
        <v>0</v>
      </c>
      <c r="AF50" s="16">
        <f t="shared" si="19"/>
        <v>0</v>
      </c>
      <c r="AG50" s="16">
        <f t="shared" si="20"/>
        <v>70</v>
      </c>
      <c r="AH50" s="16">
        <f t="shared" si="21"/>
        <v>0</v>
      </c>
      <c r="AI50" s="16">
        <f t="shared" si="22"/>
        <v>69000</v>
      </c>
    </row>
    <row r="51" spans="1:35" ht="16.5" x14ac:dyDescent="0.2">
      <c r="A51" s="30">
        <v>17</v>
      </c>
      <c r="B51" s="30">
        <v>3</v>
      </c>
      <c r="C51" s="30">
        <v>5</v>
      </c>
      <c r="D51" s="21">
        <v>0.74</v>
      </c>
      <c r="E51" s="23">
        <f t="shared" ref="E51:M51" si="51">(INDEX(F$7:F$22,$B51)*(1-$D51)+INDEX(F$7:F$22,$B51+1)*$D51)*F$4*$B$2</f>
        <v>0.68499999999999994</v>
      </c>
      <c r="F51" s="23">
        <f t="shared" si="51"/>
        <v>0</v>
      </c>
      <c r="G51" s="23">
        <f t="shared" si="51"/>
        <v>0</v>
      </c>
      <c r="H51" s="23">
        <f t="shared" si="51"/>
        <v>0</v>
      </c>
      <c r="I51" s="23">
        <f t="shared" si="51"/>
        <v>0</v>
      </c>
      <c r="J51" s="23">
        <f t="shared" si="51"/>
        <v>0</v>
      </c>
      <c r="K51" s="23">
        <f t="shared" si="51"/>
        <v>0</v>
      </c>
      <c r="L51" s="23">
        <f t="shared" si="51"/>
        <v>0</v>
      </c>
      <c r="M51" s="23">
        <f t="shared" si="51"/>
        <v>0</v>
      </c>
      <c r="N51" s="39">
        <f t="shared" ref="N51:O51" si="52">INT((INDEX(O$7:O$22,$B51)*(1-$D51)+INDEX(O$7:O$22,$B51+1)*$D51)*O$4*$B$2)</f>
        <v>62</v>
      </c>
      <c r="O51" s="39">
        <f t="shared" si="52"/>
        <v>18</v>
      </c>
      <c r="R51" s="30">
        <v>16</v>
      </c>
      <c r="S51" s="30" t="s">
        <v>261</v>
      </c>
      <c r="T51" s="16">
        <f t="shared" si="12"/>
        <v>3</v>
      </c>
      <c r="U51" s="30">
        <v>120</v>
      </c>
      <c r="V51" s="30">
        <v>125</v>
      </c>
      <c r="W51" s="36">
        <v>5</v>
      </c>
      <c r="X51" s="36">
        <v>3</v>
      </c>
      <c r="Y51" s="36">
        <v>1</v>
      </c>
      <c r="Z51" s="16">
        <f t="shared" si="13"/>
        <v>0</v>
      </c>
      <c r="AA51" s="16">
        <f t="shared" si="14"/>
        <v>0</v>
      </c>
      <c r="AB51" s="16">
        <f t="shared" si="15"/>
        <v>0</v>
      </c>
      <c r="AC51" s="16">
        <f t="shared" si="16"/>
        <v>0</v>
      </c>
      <c r="AD51" s="16">
        <f t="shared" si="17"/>
        <v>45</v>
      </c>
      <c r="AE51" s="16">
        <f t="shared" si="18"/>
        <v>0</v>
      </c>
      <c r="AF51" s="16">
        <f t="shared" si="19"/>
        <v>0</v>
      </c>
      <c r="AG51" s="16">
        <f t="shared" si="20"/>
        <v>100</v>
      </c>
      <c r="AH51" s="16">
        <f t="shared" si="21"/>
        <v>25</v>
      </c>
      <c r="AI51" s="16">
        <f t="shared" si="22"/>
        <v>76500</v>
      </c>
    </row>
    <row r="52" spans="1:35" ht="16.5" x14ac:dyDescent="0.2">
      <c r="A52" s="30">
        <v>18</v>
      </c>
      <c r="B52" s="30">
        <v>3</v>
      </c>
      <c r="C52" s="30">
        <v>6</v>
      </c>
      <c r="D52" s="21">
        <v>0.8</v>
      </c>
      <c r="E52" s="23">
        <f t="shared" ref="E52:M52" si="53">(INDEX(F$7:F$22,$B52)*(1-$D52)+INDEX(F$7:F$22,$B52+1)*$D52)*F$4*$B$2</f>
        <v>0.70000000000000007</v>
      </c>
      <c r="F52" s="23">
        <f t="shared" si="53"/>
        <v>0</v>
      </c>
      <c r="G52" s="23">
        <f t="shared" si="53"/>
        <v>0</v>
      </c>
      <c r="H52" s="23">
        <f t="shared" si="53"/>
        <v>0</v>
      </c>
      <c r="I52" s="23">
        <f t="shared" si="53"/>
        <v>0</v>
      </c>
      <c r="J52" s="23">
        <f t="shared" si="53"/>
        <v>0</v>
      </c>
      <c r="K52" s="23">
        <f t="shared" si="53"/>
        <v>0</v>
      </c>
      <c r="L52" s="23">
        <f t="shared" si="53"/>
        <v>0</v>
      </c>
      <c r="M52" s="23">
        <f t="shared" si="53"/>
        <v>0</v>
      </c>
      <c r="N52" s="39">
        <f t="shared" ref="N52:O52" si="54">INT((INDEX(O$7:O$22,$B52)*(1-$D52)+INDEX(O$7:O$22,$B52+1)*$D52)*O$4*$B$2)</f>
        <v>64</v>
      </c>
      <c r="O52" s="39">
        <f t="shared" si="54"/>
        <v>19</v>
      </c>
      <c r="R52" s="30">
        <v>17</v>
      </c>
      <c r="S52" s="30" t="s">
        <v>261</v>
      </c>
      <c r="T52" s="16">
        <f t="shared" si="12"/>
        <v>3</v>
      </c>
      <c r="U52" s="30">
        <v>125</v>
      </c>
      <c r="V52" s="30">
        <v>130</v>
      </c>
      <c r="W52" s="36">
        <v>5</v>
      </c>
      <c r="X52" s="36">
        <v>3</v>
      </c>
      <c r="Y52" s="36">
        <v>1</v>
      </c>
      <c r="Z52" s="16">
        <f t="shared" si="13"/>
        <v>0</v>
      </c>
      <c r="AA52" s="16">
        <f t="shared" si="14"/>
        <v>0</v>
      </c>
      <c r="AB52" s="16">
        <f t="shared" si="15"/>
        <v>0</v>
      </c>
      <c r="AC52" s="16">
        <f t="shared" si="16"/>
        <v>0</v>
      </c>
      <c r="AD52" s="16">
        <f t="shared" si="17"/>
        <v>65</v>
      </c>
      <c r="AE52" s="16">
        <f t="shared" si="18"/>
        <v>0</v>
      </c>
      <c r="AF52" s="16">
        <f t="shared" si="19"/>
        <v>0</v>
      </c>
      <c r="AG52" s="16">
        <f t="shared" si="20"/>
        <v>125</v>
      </c>
      <c r="AH52" s="16">
        <f t="shared" si="21"/>
        <v>35</v>
      </c>
      <c r="AI52" s="16">
        <f t="shared" si="22"/>
        <v>107000</v>
      </c>
    </row>
    <row r="53" spans="1:35" ht="16.5" x14ac:dyDescent="0.2">
      <c r="A53" s="30">
        <v>19</v>
      </c>
      <c r="B53" s="30">
        <v>3</v>
      </c>
      <c r="C53" s="30">
        <v>7</v>
      </c>
      <c r="D53" s="21">
        <v>0.86</v>
      </c>
      <c r="E53" s="23">
        <f t="shared" ref="E53:M53" si="55">(INDEX(F$7:F$22,$B53)*(1-$D53)+INDEX(F$7:F$22,$B53+1)*$D53)*F$4*$B$2</f>
        <v>0.71500000000000008</v>
      </c>
      <c r="F53" s="23">
        <f t="shared" si="55"/>
        <v>0</v>
      </c>
      <c r="G53" s="23">
        <f t="shared" si="55"/>
        <v>0</v>
      </c>
      <c r="H53" s="23">
        <f t="shared" si="55"/>
        <v>0</v>
      </c>
      <c r="I53" s="23">
        <f t="shared" si="55"/>
        <v>0</v>
      </c>
      <c r="J53" s="23">
        <f t="shared" si="55"/>
        <v>0</v>
      </c>
      <c r="K53" s="23">
        <f t="shared" si="55"/>
        <v>0</v>
      </c>
      <c r="L53" s="23">
        <f t="shared" si="55"/>
        <v>0</v>
      </c>
      <c r="M53" s="23">
        <f t="shared" si="55"/>
        <v>0</v>
      </c>
      <c r="N53" s="39">
        <f t="shared" ref="N53:O53" si="56">INT((INDEX(O$7:O$22,$B53)*(1-$D53)+INDEX(O$7:O$22,$B53+1)*$D53)*O$4*$B$2)</f>
        <v>66</v>
      </c>
      <c r="O53" s="39">
        <f t="shared" si="56"/>
        <v>19</v>
      </c>
      <c r="R53" s="30">
        <v>18</v>
      </c>
      <c r="S53" s="30" t="s">
        <v>261</v>
      </c>
      <c r="T53" s="16">
        <f t="shared" si="12"/>
        <v>3</v>
      </c>
      <c r="U53" s="30">
        <v>130</v>
      </c>
      <c r="V53" s="30">
        <v>135</v>
      </c>
      <c r="W53" s="36">
        <v>5</v>
      </c>
      <c r="X53" s="36">
        <v>3</v>
      </c>
      <c r="Y53" s="36">
        <v>1</v>
      </c>
      <c r="Z53" s="16">
        <f t="shared" si="13"/>
        <v>0</v>
      </c>
      <c r="AA53" s="16">
        <f t="shared" si="14"/>
        <v>0</v>
      </c>
      <c r="AB53" s="16">
        <f t="shared" si="15"/>
        <v>0</v>
      </c>
      <c r="AC53" s="16">
        <f t="shared" si="16"/>
        <v>0</v>
      </c>
      <c r="AD53" s="16">
        <f t="shared" si="17"/>
        <v>90</v>
      </c>
      <c r="AE53" s="16">
        <f t="shared" si="18"/>
        <v>0</v>
      </c>
      <c r="AF53" s="16">
        <f t="shared" si="19"/>
        <v>0</v>
      </c>
      <c r="AG53" s="16">
        <f t="shared" si="20"/>
        <v>155</v>
      </c>
      <c r="AH53" s="16">
        <f t="shared" si="21"/>
        <v>50</v>
      </c>
      <c r="AI53" s="16">
        <f t="shared" si="22"/>
        <v>142500</v>
      </c>
    </row>
    <row r="54" spans="1:35" ht="16.5" x14ac:dyDescent="0.2">
      <c r="A54" s="30">
        <v>20</v>
      </c>
      <c r="B54" s="30">
        <v>3</v>
      </c>
      <c r="C54" s="30">
        <v>8</v>
      </c>
      <c r="D54" s="21">
        <v>0.92</v>
      </c>
      <c r="E54" s="23">
        <f t="shared" ref="E54:M54" si="57">(INDEX(F$7:F$22,$B54)*(1-$D54)+INDEX(F$7:F$22,$B54+1)*$D54)*F$4*$B$2</f>
        <v>0.73</v>
      </c>
      <c r="F54" s="23">
        <f t="shared" si="57"/>
        <v>0</v>
      </c>
      <c r="G54" s="23">
        <f t="shared" si="57"/>
        <v>0</v>
      </c>
      <c r="H54" s="23">
        <f t="shared" si="57"/>
        <v>0</v>
      </c>
      <c r="I54" s="23">
        <f t="shared" si="57"/>
        <v>0</v>
      </c>
      <c r="J54" s="23">
        <f t="shared" si="57"/>
        <v>0</v>
      </c>
      <c r="K54" s="23">
        <f t="shared" si="57"/>
        <v>0</v>
      </c>
      <c r="L54" s="23">
        <f t="shared" si="57"/>
        <v>0</v>
      </c>
      <c r="M54" s="23">
        <f t="shared" si="57"/>
        <v>0</v>
      </c>
      <c r="N54" s="39">
        <f t="shared" ref="N54:O54" si="58">INT((INDEX(O$7:O$22,$B54)*(1-$D54)+INDEX(O$7:O$22,$B54+1)*$D54)*O$4*$B$2)</f>
        <v>67</v>
      </c>
      <c r="O54" s="39">
        <f t="shared" si="58"/>
        <v>19</v>
      </c>
      <c r="R54" s="30">
        <v>19</v>
      </c>
      <c r="S54" s="30" t="s">
        <v>261</v>
      </c>
      <c r="T54" s="16">
        <f t="shared" si="12"/>
        <v>3</v>
      </c>
      <c r="U54" s="30">
        <v>135</v>
      </c>
      <c r="V54" s="30">
        <v>140</v>
      </c>
      <c r="W54" s="36">
        <v>5</v>
      </c>
      <c r="X54" s="36">
        <v>3</v>
      </c>
      <c r="Y54" s="36">
        <v>1</v>
      </c>
      <c r="Z54" s="16">
        <f t="shared" si="13"/>
        <v>0</v>
      </c>
      <c r="AA54" s="16">
        <f t="shared" si="14"/>
        <v>0</v>
      </c>
      <c r="AB54" s="16">
        <f t="shared" si="15"/>
        <v>0</v>
      </c>
      <c r="AC54" s="16">
        <f t="shared" si="16"/>
        <v>0</v>
      </c>
      <c r="AD54" s="16">
        <f t="shared" si="17"/>
        <v>110</v>
      </c>
      <c r="AE54" s="16">
        <f t="shared" si="18"/>
        <v>0</v>
      </c>
      <c r="AF54" s="16">
        <f t="shared" si="19"/>
        <v>0</v>
      </c>
      <c r="AG54" s="16">
        <f t="shared" si="20"/>
        <v>180</v>
      </c>
      <c r="AH54" s="16">
        <f t="shared" si="21"/>
        <v>65</v>
      </c>
      <c r="AI54" s="16">
        <f t="shared" si="22"/>
        <v>178500</v>
      </c>
    </row>
    <row r="55" spans="1:35" ht="16.5" x14ac:dyDescent="0.2">
      <c r="A55" s="30">
        <v>21</v>
      </c>
      <c r="B55" s="30">
        <v>3</v>
      </c>
      <c r="C55" s="30">
        <v>9</v>
      </c>
      <c r="D55" s="21">
        <v>1</v>
      </c>
      <c r="E55" s="23">
        <f t="shared" ref="E55:M55" si="59">(INDEX(F$7:F$22,$B55)*(1-$D55)+INDEX(F$7:F$22,$B55+1)*$D55)*F$4*$B$2</f>
        <v>0.75</v>
      </c>
      <c r="F55" s="23">
        <f t="shared" si="59"/>
        <v>0</v>
      </c>
      <c r="G55" s="23">
        <f t="shared" si="59"/>
        <v>0</v>
      </c>
      <c r="H55" s="23">
        <f t="shared" si="59"/>
        <v>0</v>
      </c>
      <c r="I55" s="23">
        <f t="shared" si="59"/>
        <v>0</v>
      </c>
      <c r="J55" s="23">
        <f t="shared" si="59"/>
        <v>0</v>
      </c>
      <c r="K55" s="23">
        <f t="shared" si="59"/>
        <v>0</v>
      </c>
      <c r="L55" s="23">
        <f t="shared" si="59"/>
        <v>0</v>
      </c>
      <c r="M55" s="23">
        <f t="shared" si="59"/>
        <v>0</v>
      </c>
      <c r="N55" s="39">
        <f t="shared" ref="N55:O55" si="60">INT((INDEX(O$7:O$22,$B55)*(1-$D55)+INDEX(O$7:O$22,$B55+1)*$D55)*O$4*$B$2)</f>
        <v>70</v>
      </c>
      <c r="O55" s="39">
        <f t="shared" si="60"/>
        <v>20</v>
      </c>
      <c r="R55" s="30">
        <v>20</v>
      </c>
      <c r="S55" s="30" t="s">
        <v>262</v>
      </c>
      <c r="T55" s="16">
        <f t="shared" si="12"/>
        <v>3</v>
      </c>
      <c r="U55" s="30">
        <v>140</v>
      </c>
      <c r="V55" s="30">
        <v>150</v>
      </c>
      <c r="W55" s="36">
        <v>5</v>
      </c>
      <c r="X55" s="36">
        <v>3</v>
      </c>
      <c r="Y55" s="36">
        <v>1</v>
      </c>
      <c r="Z55" s="16">
        <f t="shared" si="13"/>
        <v>0</v>
      </c>
      <c r="AA55" s="16">
        <f t="shared" si="14"/>
        <v>0</v>
      </c>
      <c r="AB55" s="16">
        <f t="shared" si="15"/>
        <v>0</v>
      </c>
      <c r="AC55" s="16">
        <f t="shared" si="16"/>
        <v>0</v>
      </c>
      <c r="AD55" s="16">
        <f t="shared" si="17"/>
        <v>135</v>
      </c>
      <c r="AE55" s="16">
        <f t="shared" si="18"/>
        <v>0</v>
      </c>
      <c r="AF55" s="16">
        <f t="shared" si="19"/>
        <v>0</v>
      </c>
      <c r="AG55" s="16">
        <f t="shared" si="20"/>
        <v>225</v>
      </c>
      <c r="AH55" s="16">
        <f t="shared" si="21"/>
        <v>75</v>
      </c>
      <c r="AI55" s="16">
        <f t="shared" si="22"/>
        <v>214000</v>
      </c>
    </row>
    <row r="56" spans="1:35" ht="16.5" x14ac:dyDescent="0.2">
      <c r="A56" s="30">
        <v>22</v>
      </c>
      <c r="B56" s="30">
        <v>4</v>
      </c>
      <c r="C56" s="30">
        <v>1</v>
      </c>
      <c r="D56" s="21">
        <v>0.5</v>
      </c>
      <c r="E56" s="23">
        <f t="shared" ref="E56:M56" si="61">(INDEX(F$7:F$22,$B56)*(1-$D56)+INDEX(F$7:F$22,$B56+1)*$D56)*F$4*$B$2</f>
        <v>0.875</v>
      </c>
      <c r="F56" s="23">
        <f t="shared" si="61"/>
        <v>6.25E-2</v>
      </c>
      <c r="G56" s="23">
        <f t="shared" si="61"/>
        <v>0</v>
      </c>
      <c r="H56" s="23">
        <f t="shared" si="61"/>
        <v>0</v>
      </c>
      <c r="I56" s="23">
        <f t="shared" si="61"/>
        <v>0</v>
      </c>
      <c r="J56" s="23">
        <f t="shared" si="61"/>
        <v>6.25E-2</v>
      </c>
      <c r="K56" s="23">
        <f t="shared" si="61"/>
        <v>0</v>
      </c>
      <c r="L56" s="23">
        <f t="shared" si="61"/>
        <v>0</v>
      </c>
      <c r="M56" s="23">
        <f t="shared" si="61"/>
        <v>0</v>
      </c>
      <c r="N56" s="39">
        <f t="shared" ref="N56:O56" si="62">INT((INDEX(O$7:O$22,$B56)*(1-$D56)+INDEX(O$7:O$22,$B56+1)*$D56)*O$4*$B$2)</f>
        <v>87</v>
      </c>
      <c r="O56" s="39">
        <f t="shared" si="62"/>
        <v>22</v>
      </c>
    </row>
    <row r="57" spans="1:35" ht="16.5" x14ac:dyDescent="0.2">
      <c r="A57" s="30">
        <v>23</v>
      </c>
      <c r="B57" s="30">
        <v>4</v>
      </c>
      <c r="C57" s="30">
        <v>2</v>
      </c>
      <c r="D57" s="21">
        <v>0.56000000000000005</v>
      </c>
      <c r="E57" s="23">
        <f t="shared" ref="E57:M57" si="63">(INDEX(F$7:F$22,$B57)*(1-$D57)+INDEX(F$7:F$22,$B57+1)*$D57)*F$4*$B$2</f>
        <v>0.89</v>
      </c>
      <c r="F57" s="23">
        <f t="shared" si="63"/>
        <v>7.0000000000000007E-2</v>
      </c>
      <c r="G57" s="23">
        <f t="shared" si="63"/>
        <v>0</v>
      </c>
      <c r="H57" s="23">
        <f t="shared" si="63"/>
        <v>0</v>
      </c>
      <c r="I57" s="23">
        <f t="shared" si="63"/>
        <v>0</v>
      </c>
      <c r="J57" s="23">
        <f t="shared" si="63"/>
        <v>7.0000000000000007E-2</v>
      </c>
      <c r="K57" s="23">
        <f t="shared" si="63"/>
        <v>0</v>
      </c>
      <c r="L57" s="23">
        <f t="shared" si="63"/>
        <v>0</v>
      </c>
      <c r="M57" s="23">
        <f t="shared" si="63"/>
        <v>0</v>
      </c>
      <c r="N57" s="39">
        <f t="shared" ref="N57:O57" si="64">INT((INDEX(O$7:O$22,$B57)*(1-$D57)+INDEX(O$7:O$22,$B57+1)*$D57)*O$4*$B$2)</f>
        <v>89</v>
      </c>
      <c r="O57" s="39">
        <f t="shared" si="64"/>
        <v>22</v>
      </c>
    </row>
    <row r="58" spans="1:35" ht="16.5" x14ac:dyDescent="0.2">
      <c r="A58" s="30">
        <v>24</v>
      </c>
      <c r="B58" s="30">
        <v>4</v>
      </c>
      <c r="C58" s="30">
        <v>3</v>
      </c>
      <c r="D58" s="21">
        <v>0.62</v>
      </c>
      <c r="E58" s="23">
        <f t="shared" ref="E58:M58" si="65">(INDEX(F$7:F$22,$B58)*(1-$D58)+INDEX(F$7:F$22,$B58+1)*$D58)*F$4*$B$2</f>
        <v>0.90500000000000003</v>
      </c>
      <c r="F58" s="23">
        <f t="shared" si="65"/>
        <v>7.7499999999999999E-2</v>
      </c>
      <c r="G58" s="23">
        <f t="shared" si="65"/>
        <v>0</v>
      </c>
      <c r="H58" s="23">
        <f t="shared" si="65"/>
        <v>0</v>
      </c>
      <c r="I58" s="23">
        <f t="shared" si="65"/>
        <v>0</v>
      </c>
      <c r="J58" s="23">
        <f t="shared" si="65"/>
        <v>7.7499999999999999E-2</v>
      </c>
      <c r="K58" s="23">
        <f t="shared" si="65"/>
        <v>0</v>
      </c>
      <c r="L58" s="23">
        <f t="shared" si="65"/>
        <v>0</v>
      </c>
      <c r="M58" s="23">
        <f t="shared" si="65"/>
        <v>0</v>
      </c>
      <c r="N58" s="39">
        <f t="shared" ref="N58:O58" si="66">INT((INDEX(O$7:O$22,$B58)*(1-$D58)+INDEX(O$7:O$22,$B58+1)*$D58)*O$4*$B$2)</f>
        <v>91</v>
      </c>
      <c r="O58" s="39">
        <f t="shared" si="66"/>
        <v>23</v>
      </c>
    </row>
    <row r="59" spans="1:35" ht="16.5" x14ac:dyDescent="0.2">
      <c r="A59" s="30">
        <v>25</v>
      </c>
      <c r="B59" s="30">
        <v>4</v>
      </c>
      <c r="C59" s="30">
        <v>4</v>
      </c>
      <c r="D59" s="21">
        <v>0.68</v>
      </c>
      <c r="E59" s="23">
        <f t="shared" ref="E59:M59" si="67">(INDEX(F$7:F$22,$B59)*(1-$D59)+INDEX(F$7:F$22,$B59+1)*$D59)*F$4*$B$2</f>
        <v>0.92</v>
      </c>
      <c r="F59" s="23">
        <f t="shared" si="67"/>
        <v>8.5000000000000006E-2</v>
      </c>
      <c r="G59" s="23">
        <f t="shared" si="67"/>
        <v>0</v>
      </c>
      <c r="H59" s="23">
        <f t="shared" si="67"/>
        <v>0</v>
      </c>
      <c r="I59" s="23">
        <f t="shared" si="67"/>
        <v>0</v>
      </c>
      <c r="J59" s="23">
        <f t="shared" si="67"/>
        <v>8.5000000000000006E-2</v>
      </c>
      <c r="K59" s="23">
        <f t="shared" si="67"/>
        <v>0</v>
      </c>
      <c r="L59" s="23">
        <f t="shared" si="67"/>
        <v>0</v>
      </c>
      <c r="M59" s="23">
        <f t="shared" si="67"/>
        <v>0</v>
      </c>
      <c r="N59" s="39">
        <f t="shared" ref="N59:O59" si="68">INT((INDEX(O$7:O$22,$B59)*(1-$D59)+INDEX(O$7:O$22,$B59+1)*$D59)*O$4*$B$2)</f>
        <v>93</v>
      </c>
      <c r="O59" s="39">
        <f t="shared" si="68"/>
        <v>23</v>
      </c>
    </row>
    <row r="60" spans="1:35" ht="16.5" x14ac:dyDescent="0.2">
      <c r="A60" s="30">
        <v>26</v>
      </c>
      <c r="B60" s="30">
        <v>4</v>
      </c>
      <c r="C60" s="30">
        <v>5</v>
      </c>
      <c r="D60" s="21">
        <v>0.74</v>
      </c>
      <c r="E60" s="23">
        <f t="shared" ref="E60:M60" si="69">(INDEX(F$7:F$22,$B60)*(1-$D60)+INDEX(F$7:F$22,$B60+1)*$D60)*F$4*$B$2</f>
        <v>0.93500000000000005</v>
      </c>
      <c r="F60" s="23">
        <f t="shared" si="69"/>
        <v>9.2499999999999999E-2</v>
      </c>
      <c r="G60" s="23">
        <f t="shared" si="69"/>
        <v>0</v>
      </c>
      <c r="H60" s="23">
        <f t="shared" si="69"/>
        <v>0</v>
      </c>
      <c r="I60" s="23">
        <f t="shared" si="69"/>
        <v>0</v>
      </c>
      <c r="J60" s="23">
        <f t="shared" si="69"/>
        <v>9.2499999999999999E-2</v>
      </c>
      <c r="K60" s="23">
        <f t="shared" si="69"/>
        <v>0</v>
      </c>
      <c r="L60" s="23">
        <f t="shared" si="69"/>
        <v>0</v>
      </c>
      <c r="M60" s="23">
        <f t="shared" si="69"/>
        <v>0</v>
      </c>
      <c r="N60" s="39">
        <f t="shared" ref="N60:O60" si="70">INT((INDEX(O$7:O$22,$B60)*(1-$D60)+INDEX(O$7:O$22,$B60+1)*$D60)*O$4*$B$2)</f>
        <v>95</v>
      </c>
      <c r="O60" s="39">
        <f t="shared" si="70"/>
        <v>23</v>
      </c>
    </row>
    <row r="61" spans="1:35" ht="16.5" x14ac:dyDescent="0.2">
      <c r="A61" s="30">
        <v>27</v>
      </c>
      <c r="B61" s="30">
        <v>4</v>
      </c>
      <c r="C61" s="30">
        <v>6</v>
      </c>
      <c r="D61" s="21">
        <v>0.8</v>
      </c>
      <c r="E61" s="23">
        <f t="shared" ref="E61:M61" si="71">(INDEX(F$7:F$22,$B61)*(1-$D61)+INDEX(F$7:F$22,$B61+1)*$D61)*F$4*$B$2</f>
        <v>0.95</v>
      </c>
      <c r="F61" s="23">
        <f t="shared" si="71"/>
        <v>0.1</v>
      </c>
      <c r="G61" s="23">
        <f t="shared" si="71"/>
        <v>0</v>
      </c>
      <c r="H61" s="23">
        <f t="shared" si="71"/>
        <v>0</v>
      </c>
      <c r="I61" s="23">
        <f t="shared" si="71"/>
        <v>0</v>
      </c>
      <c r="J61" s="23">
        <f t="shared" si="71"/>
        <v>0.1</v>
      </c>
      <c r="K61" s="23">
        <f t="shared" si="71"/>
        <v>0</v>
      </c>
      <c r="L61" s="23">
        <f t="shared" si="71"/>
        <v>0</v>
      </c>
      <c r="M61" s="23">
        <f t="shared" si="71"/>
        <v>0</v>
      </c>
      <c r="N61" s="39">
        <f t="shared" ref="N61:O61" si="72">INT((INDEX(O$7:O$22,$B61)*(1-$D61)+INDEX(O$7:O$22,$B61+1)*$D61)*O$4*$B$2)</f>
        <v>97</v>
      </c>
      <c r="O61" s="39">
        <f t="shared" si="72"/>
        <v>24</v>
      </c>
    </row>
    <row r="62" spans="1:35" ht="16.5" x14ac:dyDescent="0.2">
      <c r="A62" s="30">
        <v>28</v>
      </c>
      <c r="B62" s="30">
        <v>4</v>
      </c>
      <c r="C62" s="30">
        <v>7</v>
      </c>
      <c r="D62" s="21">
        <v>0.86</v>
      </c>
      <c r="E62" s="23">
        <f t="shared" ref="E62:M62" si="73">(INDEX(F$7:F$22,$B62)*(1-$D62)+INDEX(F$7:F$22,$B62+1)*$D62)*F$4*$B$2</f>
        <v>0.96499999999999997</v>
      </c>
      <c r="F62" s="23">
        <f t="shared" si="73"/>
        <v>0.1075</v>
      </c>
      <c r="G62" s="23">
        <f t="shared" si="73"/>
        <v>0</v>
      </c>
      <c r="H62" s="23">
        <f t="shared" si="73"/>
        <v>0</v>
      </c>
      <c r="I62" s="23">
        <f t="shared" si="73"/>
        <v>0</v>
      </c>
      <c r="J62" s="23">
        <f t="shared" si="73"/>
        <v>0.1075</v>
      </c>
      <c r="K62" s="23">
        <f t="shared" si="73"/>
        <v>0</v>
      </c>
      <c r="L62" s="23">
        <f t="shared" si="73"/>
        <v>0</v>
      </c>
      <c r="M62" s="23">
        <f t="shared" si="73"/>
        <v>0</v>
      </c>
      <c r="N62" s="39">
        <f t="shared" ref="N62:O62" si="74">INT((INDEX(O$7:O$22,$B62)*(1-$D62)+INDEX(O$7:O$22,$B62+1)*$D62)*O$4*$B$2)</f>
        <v>99</v>
      </c>
      <c r="O62" s="39">
        <f t="shared" si="74"/>
        <v>24</v>
      </c>
    </row>
    <row r="63" spans="1:35" ht="16.5" x14ac:dyDescent="0.2">
      <c r="A63" s="30">
        <v>29</v>
      </c>
      <c r="B63" s="30">
        <v>4</v>
      </c>
      <c r="C63" s="30">
        <v>8</v>
      </c>
      <c r="D63" s="21">
        <v>0.92</v>
      </c>
      <c r="E63" s="23">
        <f t="shared" ref="E63:M63" si="75">(INDEX(F$7:F$22,$B63)*(1-$D63)+INDEX(F$7:F$22,$B63+1)*$D63)*F$4*$B$2</f>
        <v>0.98</v>
      </c>
      <c r="F63" s="23">
        <f t="shared" si="75"/>
        <v>0.115</v>
      </c>
      <c r="G63" s="23">
        <f t="shared" si="75"/>
        <v>0</v>
      </c>
      <c r="H63" s="23">
        <f t="shared" si="75"/>
        <v>0</v>
      </c>
      <c r="I63" s="23">
        <f t="shared" si="75"/>
        <v>0</v>
      </c>
      <c r="J63" s="23">
        <f t="shared" si="75"/>
        <v>0.115</v>
      </c>
      <c r="K63" s="23">
        <f t="shared" si="75"/>
        <v>0</v>
      </c>
      <c r="L63" s="23">
        <f t="shared" si="75"/>
        <v>0</v>
      </c>
      <c r="M63" s="23">
        <f t="shared" si="75"/>
        <v>0</v>
      </c>
      <c r="N63" s="39">
        <f t="shared" ref="N63:O63" si="76">INT((INDEX(O$7:O$22,$B63)*(1-$D63)+INDEX(O$7:O$22,$B63+1)*$D63)*O$4*$B$2)</f>
        <v>101</v>
      </c>
      <c r="O63" s="39">
        <f t="shared" si="76"/>
        <v>24</v>
      </c>
    </row>
    <row r="64" spans="1:35" ht="16.5" x14ac:dyDescent="0.2">
      <c r="A64" s="30">
        <v>30</v>
      </c>
      <c r="B64" s="30">
        <v>4</v>
      </c>
      <c r="C64" s="30">
        <v>9</v>
      </c>
      <c r="D64" s="21">
        <v>1</v>
      </c>
      <c r="E64" s="23">
        <f t="shared" ref="E64:M64" si="77">(INDEX(F$7:F$22,$B64)*(1-$D64)+INDEX(F$7:F$22,$B64+1)*$D64)*F$4*$B$2</f>
        <v>1</v>
      </c>
      <c r="F64" s="23">
        <f t="shared" si="77"/>
        <v>0.125</v>
      </c>
      <c r="G64" s="23">
        <f t="shared" si="77"/>
        <v>0</v>
      </c>
      <c r="H64" s="23">
        <f t="shared" si="77"/>
        <v>0</v>
      </c>
      <c r="I64" s="23">
        <f t="shared" si="77"/>
        <v>0</v>
      </c>
      <c r="J64" s="23">
        <f t="shared" si="77"/>
        <v>0.125</v>
      </c>
      <c r="K64" s="23">
        <f t="shared" si="77"/>
        <v>0</v>
      </c>
      <c r="L64" s="23">
        <f t="shared" si="77"/>
        <v>0</v>
      </c>
      <c r="M64" s="23">
        <f t="shared" si="77"/>
        <v>0</v>
      </c>
      <c r="N64" s="39">
        <f t="shared" ref="N64:O64" si="78">INT((INDEX(O$7:O$22,$B64)*(1-$D64)+INDEX(O$7:O$22,$B64+1)*$D64)*O$4*$B$2)</f>
        <v>104</v>
      </c>
      <c r="O64" s="39">
        <f t="shared" si="78"/>
        <v>25</v>
      </c>
    </row>
    <row r="65" spans="1:15" ht="16.5" x14ac:dyDescent="0.2">
      <c r="A65" s="30">
        <v>31</v>
      </c>
      <c r="B65" s="30">
        <v>5</v>
      </c>
      <c r="C65" s="30">
        <v>1</v>
      </c>
      <c r="D65" s="21">
        <v>0.3</v>
      </c>
      <c r="E65" s="23">
        <f t="shared" ref="E65:M65" si="79">(INDEX(F$7:F$22,$B65)*(1-$D65)+INDEX(F$7:F$22,$B65+1)*$D65)*F$4*$B$2</f>
        <v>0.92499999999999993</v>
      </c>
      <c r="F65" s="23">
        <f t="shared" si="79"/>
        <v>0.16249999999999998</v>
      </c>
      <c r="G65" s="23">
        <f t="shared" si="79"/>
        <v>0</v>
      </c>
      <c r="H65" s="23">
        <f t="shared" si="79"/>
        <v>0</v>
      </c>
      <c r="I65" s="23">
        <f t="shared" si="79"/>
        <v>0</v>
      </c>
      <c r="J65" s="23">
        <f t="shared" si="79"/>
        <v>0.14749999999999999</v>
      </c>
      <c r="K65" s="23">
        <f t="shared" si="79"/>
        <v>0</v>
      </c>
      <c r="L65" s="23">
        <f t="shared" si="79"/>
        <v>0</v>
      </c>
      <c r="M65" s="23">
        <f t="shared" si="79"/>
        <v>0</v>
      </c>
      <c r="N65" s="39">
        <f t="shared" ref="N65:O65" si="80">INT((INDEX(O$7:O$22,$B65)*(1-$D65)+INDEX(O$7:O$22,$B65+1)*$D65)*O$4*$B$2)</f>
        <v>116</v>
      </c>
      <c r="O65" s="39">
        <f t="shared" si="80"/>
        <v>27</v>
      </c>
    </row>
    <row r="66" spans="1:15" ht="16.5" x14ac:dyDescent="0.2">
      <c r="A66" s="30">
        <v>32</v>
      </c>
      <c r="B66" s="30">
        <v>5</v>
      </c>
      <c r="C66" s="30">
        <v>2</v>
      </c>
      <c r="D66" s="21">
        <v>0.35</v>
      </c>
      <c r="E66" s="23">
        <f t="shared" ref="E66:M66" si="81">(INDEX(F$7:F$22,$B66)*(1-$D66)+INDEX(F$7:F$22,$B66+1)*$D66)*F$4*$B$2</f>
        <v>0.91249999999999998</v>
      </c>
      <c r="F66" s="23">
        <f t="shared" si="81"/>
        <v>0.16875000000000001</v>
      </c>
      <c r="G66" s="23">
        <f t="shared" si="81"/>
        <v>0</v>
      </c>
      <c r="H66" s="23">
        <f t="shared" si="81"/>
        <v>0</v>
      </c>
      <c r="I66" s="23">
        <f t="shared" si="81"/>
        <v>0</v>
      </c>
      <c r="J66" s="23">
        <f t="shared" si="81"/>
        <v>0.15125</v>
      </c>
      <c r="K66" s="23">
        <f t="shared" si="81"/>
        <v>0</v>
      </c>
      <c r="L66" s="23">
        <f t="shared" si="81"/>
        <v>0</v>
      </c>
      <c r="M66" s="23">
        <f t="shared" si="81"/>
        <v>0</v>
      </c>
      <c r="N66" s="39">
        <f t="shared" ref="N66:O66" si="82">INT((INDEX(O$7:O$22,$B66)*(1-$D66)+INDEX(O$7:O$22,$B66+1)*$D66)*O$4*$B$2)</f>
        <v>118</v>
      </c>
      <c r="O66" s="39">
        <f t="shared" si="82"/>
        <v>27</v>
      </c>
    </row>
    <row r="67" spans="1:15" ht="16.5" x14ac:dyDescent="0.2">
      <c r="A67" s="30">
        <v>33</v>
      </c>
      <c r="B67" s="30">
        <v>5</v>
      </c>
      <c r="C67" s="30">
        <v>3</v>
      </c>
      <c r="D67" s="21">
        <v>0.4</v>
      </c>
      <c r="E67" s="23">
        <f t="shared" ref="E67:M67" si="83">(INDEX(F$7:F$22,$B67)*(1-$D67)+INDEX(F$7:F$22,$B67+1)*$D67)*F$4*$B$2</f>
        <v>0.9</v>
      </c>
      <c r="F67" s="23">
        <f t="shared" si="83"/>
        <v>0.17499999999999999</v>
      </c>
      <c r="G67" s="23">
        <f t="shared" si="83"/>
        <v>0</v>
      </c>
      <c r="H67" s="23">
        <f t="shared" si="83"/>
        <v>0</v>
      </c>
      <c r="I67" s="23">
        <f t="shared" si="83"/>
        <v>0</v>
      </c>
      <c r="J67" s="23">
        <f t="shared" si="83"/>
        <v>0.15500000000000003</v>
      </c>
      <c r="K67" s="23">
        <f t="shared" si="83"/>
        <v>0</v>
      </c>
      <c r="L67" s="23">
        <f t="shared" si="83"/>
        <v>0</v>
      </c>
      <c r="M67" s="23">
        <f t="shared" si="83"/>
        <v>0</v>
      </c>
      <c r="N67" s="39">
        <f t="shared" ref="N67:O67" si="84">INT((INDEX(O$7:O$22,$B67)*(1-$D67)+INDEX(O$7:O$22,$B67+1)*$D67)*O$4*$B$2)</f>
        <v>120</v>
      </c>
      <c r="O67" s="39">
        <f t="shared" si="84"/>
        <v>27</v>
      </c>
    </row>
    <row r="68" spans="1:15" ht="16.5" x14ac:dyDescent="0.2">
      <c r="A68" s="30">
        <v>34</v>
      </c>
      <c r="B68" s="30">
        <v>5</v>
      </c>
      <c r="C68" s="30">
        <v>4</v>
      </c>
      <c r="D68" s="21">
        <v>0.45</v>
      </c>
      <c r="E68" s="23">
        <f t="shared" ref="E68:M68" si="85">(INDEX(F$7:F$22,$B68)*(1-$D68)+INDEX(F$7:F$22,$B68+1)*$D68)*F$4*$B$2</f>
        <v>0.88750000000000007</v>
      </c>
      <c r="F68" s="23">
        <f t="shared" si="85"/>
        <v>0.18125000000000002</v>
      </c>
      <c r="G68" s="23">
        <f t="shared" si="85"/>
        <v>0</v>
      </c>
      <c r="H68" s="23">
        <f t="shared" si="85"/>
        <v>0</v>
      </c>
      <c r="I68" s="23">
        <f t="shared" si="85"/>
        <v>0</v>
      </c>
      <c r="J68" s="23">
        <f t="shared" si="85"/>
        <v>0.15875</v>
      </c>
      <c r="K68" s="23">
        <f t="shared" si="85"/>
        <v>0</v>
      </c>
      <c r="L68" s="23">
        <f t="shared" si="85"/>
        <v>0</v>
      </c>
      <c r="M68" s="23">
        <f t="shared" si="85"/>
        <v>0</v>
      </c>
      <c r="N68" s="39">
        <f t="shared" ref="N68:O68" si="86">INT((INDEX(O$7:O$22,$B68)*(1-$D68)+INDEX(O$7:O$22,$B68+1)*$D68)*O$4*$B$2)</f>
        <v>122</v>
      </c>
      <c r="O68" s="39">
        <f t="shared" si="86"/>
        <v>28</v>
      </c>
    </row>
    <row r="69" spans="1:15" ht="16.5" x14ac:dyDescent="0.2">
      <c r="A69" s="30">
        <v>35</v>
      </c>
      <c r="B69" s="30">
        <v>5</v>
      </c>
      <c r="C69" s="30">
        <v>5</v>
      </c>
      <c r="D69" s="21">
        <v>0.5</v>
      </c>
      <c r="E69" s="23">
        <f t="shared" ref="E69:M69" si="87">(INDEX(F$7:F$22,$B69)*(1-$D69)+INDEX(F$7:F$22,$B69+1)*$D69)*F$4*$B$2</f>
        <v>0.875</v>
      </c>
      <c r="F69" s="23">
        <f t="shared" si="87"/>
        <v>0.1875</v>
      </c>
      <c r="G69" s="23">
        <f t="shared" si="87"/>
        <v>0</v>
      </c>
      <c r="H69" s="23">
        <f t="shared" si="87"/>
        <v>0</v>
      </c>
      <c r="I69" s="23">
        <f t="shared" si="87"/>
        <v>0</v>
      </c>
      <c r="J69" s="23">
        <f t="shared" si="87"/>
        <v>0.16250000000000001</v>
      </c>
      <c r="K69" s="23">
        <f t="shared" si="87"/>
        <v>0</v>
      </c>
      <c r="L69" s="23">
        <f t="shared" si="87"/>
        <v>0</v>
      </c>
      <c r="M69" s="23">
        <f t="shared" si="87"/>
        <v>0</v>
      </c>
      <c r="N69" s="39">
        <f t="shared" ref="N69:O69" si="88">INT((INDEX(O$7:O$22,$B69)*(1-$D69)+INDEX(O$7:O$22,$B69+1)*$D69)*O$4*$B$2)</f>
        <v>124</v>
      </c>
      <c r="O69" s="39">
        <f t="shared" si="88"/>
        <v>28</v>
      </c>
    </row>
    <row r="70" spans="1:15" ht="16.5" x14ac:dyDescent="0.2">
      <c r="A70" s="30">
        <v>36</v>
      </c>
      <c r="B70" s="30">
        <v>5</v>
      </c>
      <c r="C70" s="30">
        <v>6</v>
      </c>
      <c r="D70" s="21">
        <v>0.55000000000000004</v>
      </c>
      <c r="E70" s="23">
        <f t="shared" ref="E70:M70" si="89">(INDEX(F$7:F$22,$B70)*(1-$D70)+INDEX(F$7:F$22,$B70+1)*$D70)*F$4*$B$2</f>
        <v>0.86250000000000004</v>
      </c>
      <c r="F70" s="23">
        <f t="shared" si="89"/>
        <v>0.19375000000000001</v>
      </c>
      <c r="G70" s="23">
        <f t="shared" si="89"/>
        <v>0</v>
      </c>
      <c r="H70" s="23">
        <f t="shared" si="89"/>
        <v>0</v>
      </c>
      <c r="I70" s="23">
        <f t="shared" si="89"/>
        <v>0</v>
      </c>
      <c r="J70" s="23">
        <f t="shared" si="89"/>
        <v>0.16625000000000001</v>
      </c>
      <c r="K70" s="23">
        <f t="shared" si="89"/>
        <v>0</v>
      </c>
      <c r="L70" s="23">
        <f t="shared" si="89"/>
        <v>0</v>
      </c>
      <c r="M70" s="23">
        <f t="shared" si="89"/>
        <v>0</v>
      </c>
      <c r="N70" s="39">
        <f t="shared" ref="N70:O70" si="90">INT((INDEX(O$7:O$22,$B70)*(1-$D70)+INDEX(O$7:O$22,$B70+1)*$D70)*O$4*$B$2)</f>
        <v>126</v>
      </c>
      <c r="O70" s="39">
        <f t="shared" si="90"/>
        <v>28</v>
      </c>
    </row>
    <row r="71" spans="1:15" ht="16.5" x14ac:dyDescent="0.2">
      <c r="A71" s="30">
        <v>37</v>
      </c>
      <c r="B71" s="30">
        <v>5</v>
      </c>
      <c r="C71" s="30">
        <v>7</v>
      </c>
      <c r="D71" s="21">
        <v>0.6</v>
      </c>
      <c r="E71" s="23">
        <f t="shared" ref="E71:M71" si="91">(INDEX(F$7:F$22,$B71)*(1-$D71)+INDEX(F$7:F$22,$B71+1)*$D71)*F$4*$B$2</f>
        <v>0.85</v>
      </c>
      <c r="F71" s="23">
        <f t="shared" si="91"/>
        <v>0.2</v>
      </c>
      <c r="G71" s="23">
        <f t="shared" si="91"/>
        <v>0</v>
      </c>
      <c r="H71" s="23">
        <f t="shared" si="91"/>
        <v>0</v>
      </c>
      <c r="I71" s="23">
        <f t="shared" si="91"/>
        <v>0</v>
      </c>
      <c r="J71" s="23">
        <f t="shared" si="91"/>
        <v>0.16999999999999998</v>
      </c>
      <c r="K71" s="23">
        <f t="shared" si="91"/>
        <v>0</v>
      </c>
      <c r="L71" s="23">
        <f t="shared" si="91"/>
        <v>0</v>
      </c>
      <c r="M71" s="23">
        <f t="shared" si="91"/>
        <v>0</v>
      </c>
      <c r="N71" s="39">
        <f t="shared" ref="N71:O71" si="92">INT((INDEX(O$7:O$22,$B71)*(1-$D71)+INDEX(O$7:O$22,$B71+1)*$D71)*O$4*$B$2)</f>
        <v>128</v>
      </c>
      <c r="O71" s="39">
        <f t="shared" si="92"/>
        <v>29</v>
      </c>
    </row>
    <row r="72" spans="1:15" ht="16.5" x14ac:dyDescent="0.2">
      <c r="A72" s="30">
        <v>38</v>
      </c>
      <c r="B72" s="30">
        <v>5</v>
      </c>
      <c r="C72" s="30">
        <v>8</v>
      </c>
      <c r="D72" s="21">
        <v>0.65</v>
      </c>
      <c r="E72" s="23">
        <f t="shared" ref="E72:M72" si="93">(INDEX(F$7:F$22,$B72)*(1-$D72)+INDEX(F$7:F$22,$B72+1)*$D72)*F$4*$B$2</f>
        <v>0.83750000000000002</v>
      </c>
      <c r="F72" s="23">
        <f t="shared" si="93"/>
        <v>0.20624999999999999</v>
      </c>
      <c r="G72" s="23">
        <f t="shared" si="93"/>
        <v>0</v>
      </c>
      <c r="H72" s="23">
        <f t="shared" si="93"/>
        <v>0</v>
      </c>
      <c r="I72" s="23">
        <f t="shared" si="93"/>
        <v>0</v>
      </c>
      <c r="J72" s="23">
        <f t="shared" si="93"/>
        <v>0.17375000000000002</v>
      </c>
      <c r="K72" s="23">
        <f t="shared" si="93"/>
        <v>0</v>
      </c>
      <c r="L72" s="23">
        <f t="shared" si="93"/>
        <v>0</v>
      </c>
      <c r="M72" s="23">
        <f t="shared" si="93"/>
        <v>0</v>
      </c>
      <c r="N72" s="39">
        <f t="shared" ref="N72:O72" si="94">INT((INDEX(O$7:O$22,$B72)*(1-$D72)+INDEX(O$7:O$22,$B72+1)*$D72)*O$4*$B$2)</f>
        <v>130</v>
      </c>
      <c r="O72" s="39">
        <f t="shared" si="94"/>
        <v>29</v>
      </c>
    </row>
    <row r="73" spans="1:15" ht="16.5" x14ac:dyDescent="0.2">
      <c r="A73" s="30">
        <v>39</v>
      </c>
      <c r="B73" s="30">
        <v>5</v>
      </c>
      <c r="C73" s="30">
        <v>9</v>
      </c>
      <c r="D73" s="21">
        <v>0.7</v>
      </c>
      <c r="E73" s="23">
        <f t="shared" ref="E73:M73" si="95">(INDEX(F$7:F$22,$B73)*(1-$D73)+INDEX(F$7:F$22,$B73+1)*$D73)*F$4*$B$2</f>
        <v>0.82499999999999996</v>
      </c>
      <c r="F73" s="23">
        <f t="shared" si="95"/>
        <v>0.21249999999999999</v>
      </c>
      <c r="G73" s="23">
        <f t="shared" si="95"/>
        <v>0</v>
      </c>
      <c r="H73" s="23">
        <f t="shared" si="95"/>
        <v>0</v>
      </c>
      <c r="I73" s="23">
        <f t="shared" si="95"/>
        <v>0</v>
      </c>
      <c r="J73" s="23">
        <f t="shared" si="95"/>
        <v>0.17749999999999999</v>
      </c>
      <c r="K73" s="23">
        <f t="shared" si="95"/>
        <v>0</v>
      </c>
      <c r="L73" s="23">
        <f t="shared" si="95"/>
        <v>0</v>
      </c>
      <c r="M73" s="23">
        <f t="shared" si="95"/>
        <v>0</v>
      </c>
      <c r="N73" s="39">
        <f t="shared" ref="N73:O73" si="96">INT((INDEX(O$7:O$22,$B73)*(1-$D73)+INDEX(O$7:O$22,$B73+1)*$D73)*O$4*$B$2)</f>
        <v>132</v>
      </c>
      <c r="O73" s="39">
        <f t="shared" si="96"/>
        <v>29</v>
      </c>
    </row>
    <row r="74" spans="1:15" ht="16.5" x14ac:dyDescent="0.2">
      <c r="A74" s="30">
        <v>40</v>
      </c>
      <c r="B74" s="30">
        <v>5</v>
      </c>
      <c r="C74" s="30">
        <v>10</v>
      </c>
      <c r="D74" s="21">
        <v>0.75</v>
      </c>
      <c r="E74" s="23">
        <f t="shared" ref="E74:M74" si="97">(INDEX(F$7:F$22,$B74)*(1-$D74)+INDEX(F$7:F$22,$B74+1)*$D74)*F$4*$B$2</f>
        <v>0.8125</v>
      </c>
      <c r="F74" s="23">
        <f t="shared" si="97"/>
        <v>0.21875</v>
      </c>
      <c r="G74" s="23">
        <f t="shared" si="97"/>
        <v>0</v>
      </c>
      <c r="H74" s="23">
        <f t="shared" si="97"/>
        <v>0</v>
      </c>
      <c r="I74" s="23">
        <f t="shared" si="97"/>
        <v>0</v>
      </c>
      <c r="J74" s="23">
        <f t="shared" si="97"/>
        <v>0.18125000000000002</v>
      </c>
      <c r="K74" s="23">
        <f t="shared" si="97"/>
        <v>0</v>
      </c>
      <c r="L74" s="23">
        <f t="shared" si="97"/>
        <v>0</v>
      </c>
      <c r="M74" s="23">
        <f t="shared" si="97"/>
        <v>0</v>
      </c>
      <c r="N74" s="39">
        <f t="shared" ref="N74:O74" si="98">INT((INDEX(O$7:O$22,$B74)*(1-$D74)+INDEX(O$7:O$22,$B74+1)*$D74)*O$4*$B$2)</f>
        <v>134</v>
      </c>
      <c r="O74" s="39">
        <f t="shared" si="98"/>
        <v>30</v>
      </c>
    </row>
    <row r="75" spans="1:15" ht="16.5" x14ac:dyDescent="0.2">
      <c r="A75" s="30">
        <v>41</v>
      </c>
      <c r="B75" s="30">
        <v>5</v>
      </c>
      <c r="C75" s="30">
        <v>11</v>
      </c>
      <c r="D75" s="21">
        <v>0.8</v>
      </c>
      <c r="E75" s="23">
        <f t="shared" ref="E75:M75" si="99">(INDEX(F$7:F$22,$B75)*(1-$D75)+INDEX(F$7:F$22,$B75+1)*$D75)*F$4*$B$2</f>
        <v>0.8</v>
      </c>
      <c r="F75" s="23">
        <f t="shared" si="99"/>
        <v>0.22500000000000001</v>
      </c>
      <c r="G75" s="23">
        <f t="shared" si="99"/>
        <v>0</v>
      </c>
      <c r="H75" s="23">
        <f t="shared" si="99"/>
        <v>0</v>
      </c>
      <c r="I75" s="23">
        <f t="shared" si="99"/>
        <v>0</v>
      </c>
      <c r="J75" s="23">
        <f t="shared" si="99"/>
        <v>0.18500000000000003</v>
      </c>
      <c r="K75" s="23">
        <f t="shared" si="99"/>
        <v>0</v>
      </c>
      <c r="L75" s="23">
        <f t="shared" si="99"/>
        <v>0</v>
      </c>
      <c r="M75" s="23">
        <f t="shared" si="99"/>
        <v>0</v>
      </c>
      <c r="N75" s="39">
        <f t="shared" ref="N75:O75" si="100">INT((INDEX(O$7:O$22,$B75)*(1-$D75)+INDEX(O$7:O$22,$B75+1)*$D75)*O$4*$B$2)</f>
        <v>136</v>
      </c>
      <c r="O75" s="39">
        <f t="shared" si="100"/>
        <v>30</v>
      </c>
    </row>
    <row r="76" spans="1:15" ht="16.5" x14ac:dyDescent="0.2">
      <c r="A76" s="30">
        <v>42</v>
      </c>
      <c r="B76" s="30">
        <v>5</v>
      </c>
      <c r="C76" s="30">
        <v>12</v>
      </c>
      <c r="D76" s="21">
        <v>0.85</v>
      </c>
      <c r="E76" s="23">
        <f t="shared" ref="E76:M76" si="101">(INDEX(F$7:F$22,$B76)*(1-$D76)+INDEX(F$7:F$22,$B76+1)*$D76)*F$4*$B$2</f>
        <v>0.78749999999999998</v>
      </c>
      <c r="F76" s="23">
        <f t="shared" si="101"/>
        <v>0.23125000000000001</v>
      </c>
      <c r="G76" s="23">
        <f t="shared" si="101"/>
        <v>0</v>
      </c>
      <c r="H76" s="23">
        <f t="shared" si="101"/>
        <v>0</v>
      </c>
      <c r="I76" s="23">
        <f t="shared" si="101"/>
        <v>0</v>
      </c>
      <c r="J76" s="23">
        <f t="shared" si="101"/>
        <v>0.18875000000000003</v>
      </c>
      <c r="K76" s="23">
        <f t="shared" si="101"/>
        <v>0</v>
      </c>
      <c r="L76" s="23">
        <f t="shared" si="101"/>
        <v>0</v>
      </c>
      <c r="M76" s="23">
        <f t="shared" si="101"/>
        <v>0</v>
      </c>
      <c r="N76" s="39">
        <f t="shared" ref="N76:O76" si="102">INT((INDEX(O$7:O$22,$B76)*(1-$D76)+INDEX(O$7:O$22,$B76+1)*$D76)*O$4*$B$2)</f>
        <v>138</v>
      </c>
      <c r="O76" s="39">
        <f t="shared" si="102"/>
        <v>30</v>
      </c>
    </row>
    <row r="77" spans="1:15" ht="16.5" x14ac:dyDescent="0.2">
      <c r="A77" s="30">
        <v>43</v>
      </c>
      <c r="B77" s="30">
        <v>5</v>
      </c>
      <c r="C77" s="30">
        <v>13</v>
      </c>
      <c r="D77" s="21">
        <v>0.9</v>
      </c>
      <c r="E77" s="23">
        <f t="shared" ref="E77:M77" si="103">(INDEX(F$7:F$22,$B77)*(1-$D77)+INDEX(F$7:F$22,$B77+1)*$D77)*F$4*$B$2</f>
        <v>0.77500000000000002</v>
      </c>
      <c r="F77" s="23">
        <f t="shared" si="103"/>
        <v>0.23749999999999999</v>
      </c>
      <c r="G77" s="23">
        <f t="shared" si="103"/>
        <v>0</v>
      </c>
      <c r="H77" s="23">
        <f t="shared" si="103"/>
        <v>0</v>
      </c>
      <c r="I77" s="23">
        <f t="shared" si="103"/>
        <v>0</v>
      </c>
      <c r="J77" s="23">
        <f t="shared" si="103"/>
        <v>0.1925</v>
      </c>
      <c r="K77" s="23">
        <f t="shared" si="103"/>
        <v>0</v>
      </c>
      <c r="L77" s="23">
        <f t="shared" si="103"/>
        <v>0</v>
      </c>
      <c r="M77" s="23">
        <f t="shared" si="103"/>
        <v>0</v>
      </c>
      <c r="N77" s="39">
        <f t="shared" ref="N77:O77" si="104">INT((INDEX(O$7:O$22,$B77)*(1-$D77)+INDEX(O$7:O$22,$B77+1)*$D77)*O$4*$B$2)</f>
        <v>140</v>
      </c>
      <c r="O77" s="39">
        <f t="shared" si="104"/>
        <v>31</v>
      </c>
    </row>
    <row r="78" spans="1:15" ht="16.5" x14ac:dyDescent="0.2">
      <c r="A78" s="30">
        <v>44</v>
      </c>
      <c r="B78" s="30">
        <v>5</v>
      </c>
      <c r="C78" s="30">
        <v>14</v>
      </c>
      <c r="D78" s="21">
        <v>0.95</v>
      </c>
      <c r="E78" s="23">
        <f t="shared" ref="E78:M78" si="105">(INDEX(F$7:F$22,$B78)*(1-$D78)+INDEX(F$7:F$22,$B78+1)*$D78)*F$4*$B$2</f>
        <v>0.76249999999999996</v>
      </c>
      <c r="F78" s="23">
        <f t="shared" si="105"/>
        <v>0.24374999999999999</v>
      </c>
      <c r="G78" s="23">
        <f t="shared" si="105"/>
        <v>0</v>
      </c>
      <c r="H78" s="23">
        <f t="shared" si="105"/>
        <v>0</v>
      </c>
      <c r="I78" s="23">
        <f t="shared" si="105"/>
        <v>0</v>
      </c>
      <c r="J78" s="23">
        <f t="shared" si="105"/>
        <v>0.19625000000000001</v>
      </c>
      <c r="K78" s="23">
        <f t="shared" si="105"/>
        <v>0</v>
      </c>
      <c r="L78" s="23">
        <f t="shared" si="105"/>
        <v>0</v>
      </c>
      <c r="M78" s="23">
        <f t="shared" si="105"/>
        <v>0</v>
      </c>
      <c r="N78" s="39">
        <f t="shared" ref="N78:O78" si="106">INT((INDEX(O$7:O$22,$B78)*(1-$D78)+INDEX(O$7:O$22,$B78+1)*$D78)*O$4*$B$2)</f>
        <v>142</v>
      </c>
      <c r="O78" s="39">
        <f t="shared" si="106"/>
        <v>31</v>
      </c>
    </row>
    <row r="79" spans="1:15" ht="16.5" x14ac:dyDescent="0.2">
      <c r="A79" s="30">
        <v>45</v>
      </c>
      <c r="B79" s="30">
        <v>5</v>
      </c>
      <c r="C79" s="30">
        <v>15</v>
      </c>
      <c r="D79" s="21">
        <v>1</v>
      </c>
      <c r="E79" s="23">
        <f t="shared" ref="E79:M79" si="107">(INDEX(F$7:F$22,$B79)*(1-$D79)+INDEX(F$7:F$22,$B79+1)*$D79)*F$4*$B$2</f>
        <v>0.75</v>
      </c>
      <c r="F79" s="23">
        <f t="shared" si="107"/>
        <v>0.25</v>
      </c>
      <c r="G79" s="23">
        <f t="shared" si="107"/>
        <v>0</v>
      </c>
      <c r="H79" s="23">
        <f t="shared" si="107"/>
        <v>0</v>
      </c>
      <c r="I79" s="23">
        <f t="shared" si="107"/>
        <v>0</v>
      </c>
      <c r="J79" s="23">
        <f t="shared" si="107"/>
        <v>0.2</v>
      </c>
      <c r="K79" s="23">
        <f t="shared" si="107"/>
        <v>0</v>
      </c>
      <c r="L79" s="23">
        <f t="shared" si="107"/>
        <v>0</v>
      </c>
      <c r="M79" s="23">
        <f t="shared" si="107"/>
        <v>0</v>
      </c>
      <c r="N79" s="39">
        <f t="shared" ref="N79:O79" si="108">INT((INDEX(O$7:O$22,$B79)*(1-$D79)+INDEX(O$7:O$22,$B79+1)*$D79)*O$4*$B$2)</f>
        <v>144</v>
      </c>
      <c r="O79" s="39">
        <f t="shared" si="108"/>
        <v>32</v>
      </c>
    </row>
    <row r="80" spans="1:15" ht="16.5" x14ac:dyDescent="0.2">
      <c r="A80" s="30">
        <v>46</v>
      </c>
      <c r="B80" s="30">
        <v>6</v>
      </c>
      <c r="C80" s="30">
        <v>1</v>
      </c>
      <c r="D80" s="21">
        <v>0.3</v>
      </c>
      <c r="E80" s="23">
        <f t="shared" ref="E80:M80" si="109">(INDEX(F$7:F$22,$B80)*(1-$D80)+INDEX(F$7:F$22,$B80+1)*$D80)*F$4*$B$2</f>
        <v>0.67499999999999993</v>
      </c>
      <c r="F80" s="23">
        <f t="shared" si="109"/>
        <v>0.28749999999999998</v>
      </c>
      <c r="G80" s="23">
        <f t="shared" si="109"/>
        <v>0</v>
      </c>
      <c r="H80" s="23">
        <f t="shared" si="109"/>
        <v>0</v>
      </c>
      <c r="I80" s="23">
        <f t="shared" si="109"/>
        <v>0</v>
      </c>
      <c r="J80" s="23">
        <f t="shared" si="109"/>
        <v>0.22249999999999998</v>
      </c>
      <c r="K80" s="23">
        <f t="shared" si="109"/>
        <v>0</v>
      </c>
      <c r="L80" s="23">
        <f t="shared" si="109"/>
        <v>0</v>
      </c>
      <c r="M80" s="23">
        <f t="shared" si="109"/>
        <v>0</v>
      </c>
      <c r="N80" s="39">
        <f t="shared" ref="N80:O80" si="110">INT((INDEX(O$7:O$22,$B80)*(1-$D80)+INDEX(O$7:O$22,$B80+1)*$D80)*O$4*$B$2)</f>
        <v>160</v>
      </c>
      <c r="O80" s="39">
        <f t="shared" si="110"/>
        <v>34</v>
      </c>
    </row>
    <row r="81" spans="1:15" ht="16.5" x14ac:dyDescent="0.2">
      <c r="A81" s="30">
        <v>47</v>
      </c>
      <c r="B81" s="30">
        <v>6</v>
      </c>
      <c r="C81" s="30">
        <v>2</v>
      </c>
      <c r="D81" s="21">
        <v>0.35</v>
      </c>
      <c r="E81" s="23">
        <f t="shared" ref="E81:M81" si="111">(INDEX(F$7:F$22,$B81)*(1-$D81)+INDEX(F$7:F$22,$B81+1)*$D81)*F$4*$B$2</f>
        <v>0.66250000000000009</v>
      </c>
      <c r="F81" s="23">
        <f t="shared" si="111"/>
        <v>0.29374999999999996</v>
      </c>
      <c r="G81" s="23">
        <f t="shared" si="111"/>
        <v>0</v>
      </c>
      <c r="H81" s="23">
        <f t="shared" si="111"/>
        <v>0</v>
      </c>
      <c r="I81" s="23">
        <f t="shared" si="111"/>
        <v>0</v>
      </c>
      <c r="J81" s="23">
        <f t="shared" si="111"/>
        <v>0.22625000000000001</v>
      </c>
      <c r="K81" s="23">
        <f t="shared" si="111"/>
        <v>0</v>
      </c>
      <c r="L81" s="23">
        <f t="shared" si="111"/>
        <v>0</v>
      </c>
      <c r="M81" s="23">
        <f t="shared" si="111"/>
        <v>0</v>
      </c>
      <c r="N81" s="39">
        <f t="shared" ref="N81:O81" si="112">INT((INDEX(O$7:O$22,$B81)*(1-$D81)+INDEX(O$7:O$22,$B81+1)*$D81)*O$4*$B$2)</f>
        <v>163</v>
      </c>
      <c r="O81" s="39">
        <f t="shared" si="112"/>
        <v>34</v>
      </c>
    </row>
    <row r="82" spans="1:15" ht="16.5" x14ac:dyDescent="0.2">
      <c r="A82" s="30">
        <v>48</v>
      </c>
      <c r="B82" s="30">
        <v>6</v>
      </c>
      <c r="C82" s="30">
        <v>3</v>
      </c>
      <c r="D82" s="21">
        <v>0.4</v>
      </c>
      <c r="E82" s="23">
        <f t="shared" ref="E82:M82" si="113">(INDEX(F$7:F$22,$B82)*(1-$D82)+INDEX(F$7:F$22,$B82+1)*$D82)*F$4*$B$2</f>
        <v>0.64999999999999991</v>
      </c>
      <c r="F82" s="23">
        <f t="shared" si="113"/>
        <v>0.30000000000000004</v>
      </c>
      <c r="G82" s="23">
        <f t="shared" si="113"/>
        <v>0</v>
      </c>
      <c r="H82" s="23">
        <f t="shared" si="113"/>
        <v>0</v>
      </c>
      <c r="I82" s="23">
        <f t="shared" si="113"/>
        <v>0</v>
      </c>
      <c r="J82" s="23">
        <f t="shared" si="113"/>
        <v>0.23</v>
      </c>
      <c r="K82" s="23">
        <f t="shared" si="113"/>
        <v>0</v>
      </c>
      <c r="L82" s="23">
        <f t="shared" si="113"/>
        <v>0</v>
      </c>
      <c r="M82" s="23">
        <f t="shared" si="113"/>
        <v>0</v>
      </c>
      <c r="N82" s="39">
        <f t="shared" ref="N82:O82" si="114">INT((INDEX(O$7:O$22,$B82)*(1-$D82)+INDEX(O$7:O$22,$B82+1)*$D82)*O$4*$B$2)</f>
        <v>166</v>
      </c>
      <c r="O82" s="39">
        <f t="shared" si="114"/>
        <v>35</v>
      </c>
    </row>
    <row r="83" spans="1:15" ht="16.5" x14ac:dyDescent="0.2">
      <c r="A83" s="30">
        <v>49</v>
      </c>
      <c r="B83" s="30">
        <v>6</v>
      </c>
      <c r="C83" s="30">
        <v>4</v>
      </c>
      <c r="D83" s="21">
        <v>0.45</v>
      </c>
      <c r="E83" s="23">
        <f t="shared" ref="E83:M83" si="115">(INDEX(F$7:F$22,$B83)*(1-$D83)+INDEX(F$7:F$22,$B83+1)*$D83)*F$4*$B$2</f>
        <v>0.63750000000000007</v>
      </c>
      <c r="F83" s="23">
        <f t="shared" si="115"/>
        <v>0.30625000000000002</v>
      </c>
      <c r="G83" s="23">
        <f t="shared" si="115"/>
        <v>0</v>
      </c>
      <c r="H83" s="23">
        <f t="shared" si="115"/>
        <v>0</v>
      </c>
      <c r="I83" s="23">
        <f t="shared" si="115"/>
        <v>0</v>
      </c>
      <c r="J83" s="23">
        <f t="shared" si="115"/>
        <v>0.23375000000000001</v>
      </c>
      <c r="K83" s="23">
        <f t="shared" si="115"/>
        <v>0</v>
      </c>
      <c r="L83" s="23">
        <f t="shared" si="115"/>
        <v>0</v>
      </c>
      <c r="M83" s="23">
        <f t="shared" si="115"/>
        <v>0</v>
      </c>
      <c r="N83" s="39">
        <f t="shared" ref="N83:O83" si="116">INT((INDEX(O$7:O$22,$B83)*(1-$D83)+INDEX(O$7:O$22,$B83+1)*$D83)*O$4*$B$2)</f>
        <v>169</v>
      </c>
      <c r="O83" s="39">
        <f t="shared" si="116"/>
        <v>35</v>
      </c>
    </row>
    <row r="84" spans="1:15" ht="16.5" x14ac:dyDescent="0.2">
      <c r="A84" s="30">
        <v>50</v>
      </c>
      <c r="B84" s="30">
        <v>6</v>
      </c>
      <c r="C84" s="30">
        <v>5</v>
      </c>
      <c r="D84" s="21">
        <v>0.5</v>
      </c>
      <c r="E84" s="23">
        <f t="shared" ref="E84:M84" si="117">(INDEX(F$7:F$22,$B84)*(1-$D84)+INDEX(F$7:F$22,$B84+1)*$D84)*F$4*$B$2</f>
        <v>0.625</v>
      </c>
      <c r="F84" s="23">
        <f t="shared" si="117"/>
        <v>0.3125</v>
      </c>
      <c r="G84" s="23">
        <f t="shared" si="117"/>
        <v>0</v>
      </c>
      <c r="H84" s="23">
        <f t="shared" si="117"/>
        <v>0</v>
      </c>
      <c r="I84" s="23">
        <f t="shared" si="117"/>
        <v>0</v>
      </c>
      <c r="J84" s="23">
        <f t="shared" si="117"/>
        <v>0.23750000000000002</v>
      </c>
      <c r="K84" s="23">
        <f t="shared" si="117"/>
        <v>0</v>
      </c>
      <c r="L84" s="23">
        <f t="shared" si="117"/>
        <v>0</v>
      </c>
      <c r="M84" s="23">
        <f t="shared" si="117"/>
        <v>0</v>
      </c>
      <c r="N84" s="39">
        <f t="shared" ref="N84:O84" si="118">INT((INDEX(O$7:O$22,$B84)*(1-$D84)+INDEX(O$7:O$22,$B84+1)*$D84)*O$4*$B$2)</f>
        <v>172</v>
      </c>
      <c r="O84" s="39">
        <f t="shared" si="118"/>
        <v>36</v>
      </c>
    </row>
    <row r="85" spans="1:15" ht="16.5" x14ac:dyDescent="0.2">
      <c r="A85" s="30">
        <v>51</v>
      </c>
      <c r="B85" s="30">
        <v>6</v>
      </c>
      <c r="C85" s="30">
        <v>6</v>
      </c>
      <c r="D85" s="21">
        <v>0.55000000000000004</v>
      </c>
      <c r="E85" s="23">
        <f t="shared" ref="E85:M85" si="119">(INDEX(F$7:F$22,$B85)*(1-$D85)+INDEX(F$7:F$22,$B85+1)*$D85)*F$4*$B$2</f>
        <v>0.61250000000000004</v>
      </c>
      <c r="F85" s="23">
        <f t="shared" si="119"/>
        <v>0.31874999999999998</v>
      </c>
      <c r="G85" s="23">
        <f t="shared" si="119"/>
        <v>0</v>
      </c>
      <c r="H85" s="23">
        <f t="shared" si="119"/>
        <v>0</v>
      </c>
      <c r="I85" s="23">
        <f t="shared" si="119"/>
        <v>0</v>
      </c>
      <c r="J85" s="23">
        <f t="shared" si="119"/>
        <v>0.24125000000000002</v>
      </c>
      <c r="K85" s="23">
        <f t="shared" si="119"/>
        <v>0</v>
      </c>
      <c r="L85" s="23">
        <f t="shared" si="119"/>
        <v>0</v>
      </c>
      <c r="M85" s="23">
        <f t="shared" si="119"/>
        <v>0</v>
      </c>
      <c r="N85" s="39">
        <f t="shared" ref="N85:O85" si="120">INT((INDEX(O$7:O$22,$B85)*(1-$D85)+INDEX(O$7:O$22,$B85+1)*$D85)*O$4*$B$2)</f>
        <v>174</v>
      </c>
      <c r="O85" s="39">
        <f t="shared" si="120"/>
        <v>36</v>
      </c>
    </row>
    <row r="86" spans="1:15" ht="16.5" x14ac:dyDescent="0.2">
      <c r="A86" s="30">
        <v>52</v>
      </c>
      <c r="B86" s="30">
        <v>6</v>
      </c>
      <c r="C86" s="30">
        <v>7</v>
      </c>
      <c r="D86" s="21">
        <v>0.6</v>
      </c>
      <c r="E86" s="23">
        <f t="shared" ref="E86:M86" si="121">(INDEX(F$7:F$22,$B86)*(1-$D86)+INDEX(F$7:F$22,$B86+1)*$D86)*F$4*$B$2</f>
        <v>0.60000000000000009</v>
      </c>
      <c r="F86" s="23">
        <f t="shared" si="121"/>
        <v>0.32499999999999996</v>
      </c>
      <c r="G86" s="23">
        <f t="shared" si="121"/>
        <v>0</v>
      </c>
      <c r="H86" s="23">
        <f t="shared" si="121"/>
        <v>0</v>
      </c>
      <c r="I86" s="23">
        <f t="shared" si="121"/>
        <v>0</v>
      </c>
      <c r="J86" s="23">
        <f t="shared" si="121"/>
        <v>0.24500000000000002</v>
      </c>
      <c r="K86" s="23">
        <f t="shared" si="121"/>
        <v>0</v>
      </c>
      <c r="L86" s="23">
        <f t="shared" si="121"/>
        <v>0</v>
      </c>
      <c r="M86" s="23">
        <f t="shared" si="121"/>
        <v>0</v>
      </c>
      <c r="N86" s="39">
        <f t="shared" ref="N86:O86" si="122">INT((INDEX(O$7:O$22,$B86)*(1-$D86)+INDEX(O$7:O$22,$B86+1)*$D86)*O$4*$B$2)</f>
        <v>177</v>
      </c>
      <c r="O86" s="39">
        <f t="shared" si="122"/>
        <v>36</v>
      </c>
    </row>
    <row r="87" spans="1:15" ht="16.5" x14ac:dyDescent="0.2">
      <c r="A87" s="30">
        <v>53</v>
      </c>
      <c r="B87" s="30">
        <v>6</v>
      </c>
      <c r="C87" s="30">
        <v>8</v>
      </c>
      <c r="D87" s="21">
        <v>0.65</v>
      </c>
      <c r="E87" s="23">
        <f t="shared" ref="E87:M87" si="123">(INDEX(F$7:F$22,$B87)*(1-$D87)+INDEX(F$7:F$22,$B87+1)*$D87)*F$4*$B$2</f>
        <v>0.58749999999999991</v>
      </c>
      <c r="F87" s="23">
        <f t="shared" si="123"/>
        <v>0.33125000000000004</v>
      </c>
      <c r="G87" s="23">
        <f t="shared" si="123"/>
        <v>0</v>
      </c>
      <c r="H87" s="23">
        <f t="shared" si="123"/>
        <v>0</v>
      </c>
      <c r="I87" s="23">
        <f t="shared" si="123"/>
        <v>0</v>
      </c>
      <c r="J87" s="23">
        <f t="shared" si="123"/>
        <v>0.24875000000000003</v>
      </c>
      <c r="K87" s="23">
        <f t="shared" si="123"/>
        <v>0</v>
      </c>
      <c r="L87" s="23">
        <f t="shared" si="123"/>
        <v>0</v>
      </c>
      <c r="M87" s="23">
        <f t="shared" si="123"/>
        <v>0</v>
      </c>
      <c r="N87" s="39">
        <f t="shared" ref="N87:O87" si="124">INT((INDEX(O$7:O$22,$B87)*(1-$D87)+INDEX(O$7:O$22,$B87+1)*$D87)*O$4*$B$2)</f>
        <v>180</v>
      </c>
      <c r="O87" s="39">
        <f t="shared" si="124"/>
        <v>37</v>
      </c>
    </row>
    <row r="88" spans="1:15" ht="16.5" x14ac:dyDescent="0.2">
      <c r="A88" s="30">
        <v>54</v>
      </c>
      <c r="B88" s="30">
        <v>6</v>
      </c>
      <c r="C88" s="30">
        <v>9</v>
      </c>
      <c r="D88" s="21">
        <v>0.7</v>
      </c>
      <c r="E88" s="23">
        <f t="shared" ref="E88:M88" si="125">(INDEX(F$7:F$22,$B88)*(1-$D88)+INDEX(F$7:F$22,$B88+1)*$D88)*F$4*$B$2</f>
        <v>0.57499999999999996</v>
      </c>
      <c r="F88" s="23">
        <f t="shared" si="125"/>
        <v>0.33749999999999997</v>
      </c>
      <c r="G88" s="23">
        <f t="shared" si="125"/>
        <v>0</v>
      </c>
      <c r="H88" s="23">
        <f t="shared" si="125"/>
        <v>0</v>
      </c>
      <c r="I88" s="23">
        <f t="shared" si="125"/>
        <v>0</v>
      </c>
      <c r="J88" s="23">
        <f t="shared" si="125"/>
        <v>0.2525</v>
      </c>
      <c r="K88" s="23">
        <f t="shared" si="125"/>
        <v>0</v>
      </c>
      <c r="L88" s="23">
        <f t="shared" si="125"/>
        <v>0</v>
      </c>
      <c r="M88" s="23">
        <f t="shared" si="125"/>
        <v>0</v>
      </c>
      <c r="N88" s="39">
        <f t="shared" ref="N88:O88" si="126">INT((INDEX(O$7:O$22,$B88)*(1-$D88)+INDEX(O$7:O$22,$B88+1)*$D88)*O$4*$B$2)</f>
        <v>183</v>
      </c>
      <c r="O88" s="39">
        <f t="shared" si="126"/>
        <v>37</v>
      </c>
    </row>
    <row r="89" spans="1:15" ht="16.5" x14ac:dyDescent="0.2">
      <c r="A89" s="30">
        <v>55</v>
      </c>
      <c r="B89" s="30">
        <v>6</v>
      </c>
      <c r="C89" s="30">
        <v>10</v>
      </c>
      <c r="D89" s="21">
        <v>0.75</v>
      </c>
      <c r="E89" s="23">
        <f t="shared" ref="E89:M89" si="127">(INDEX(F$7:F$22,$B89)*(1-$D89)+INDEX(F$7:F$22,$B89+1)*$D89)*F$4*$B$2</f>
        <v>0.5625</v>
      </c>
      <c r="F89" s="23">
        <f t="shared" si="127"/>
        <v>0.34375</v>
      </c>
      <c r="G89" s="23">
        <f t="shared" si="127"/>
        <v>0</v>
      </c>
      <c r="H89" s="23">
        <f t="shared" si="127"/>
        <v>0</v>
      </c>
      <c r="I89" s="23">
        <f t="shared" si="127"/>
        <v>0</v>
      </c>
      <c r="J89" s="23">
        <f t="shared" si="127"/>
        <v>0.25625000000000003</v>
      </c>
      <c r="K89" s="23">
        <f t="shared" si="127"/>
        <v>0</v>
      </c>
      <c r="L89" s="23">
        <f t="shared" si="127"/>
        <v>0</v>
      </c>
      <c r="M89" s="23">
        <f t="shared" si="127"/>
        <v>0</v>
      </c>
      <c r="N89" s="39">
        <f t="shared" ref="N89:O89" si="128">INT((INDEX(O$7:O$22,$B89)*(1-$D89)+INDEX(O$7:O$22,$B89+1)*$D89)*O$4*$B$2)</f>
        <v>186</v>
      </c>
      <c r="O89" s="39">
        <f t="shared" si="128"/>
        <v>38</v>
      </c>
    </row>
    <row r="90" spans="1:15" ht="16.5" x14ac:dyDescent="0.2">
      <c r="A90" s="30">
        <v>56</v>
      </c>
      <c r="B90" s="30">
        <v>6</v>
      </c>
      <c r="C90" s="30">
        <v>11</v>
      </c>
      <c r="D90" s="21">
        <v>0.8</v>
      </c>
      <c r="E90" s="23">
        <f t="shared" ref="E90:M90" si="129">(INDEX(F$7:F$22,$B90)*(1-$D90)+INDEX(F$7:F$22,$B90+1)*$D90)*F$4*$B$2</f>
        <v>0.55000000000000004</v>
      </c>
      <c r="F90" s="23">
        <f t="shared" si="129"/>
        <v>0.35000000000000003</v>
      </c>
      <c r="G90" s="23">
        <f t="shared" si="129"/>
        <v>0</v>
      </c>
      <c r="H90" s="23">
        <f t="shared" si="129"/>
        <v>0</v>
      </c>
      <c r="I90" s="23">
        <f t="shared" si="129"/>
        <v>0</v>
      </c>
      <c r="J90" s="23">
        <f t="shared" si="129"/>
        <v>0.26</v>
      </c>
      <c r="K90" s="23">
        <f t="shared" si="129"/>
        <v>0</v>
      </c>
      <c r="L90" s="23">
        <f t="shared" si="129"/>
        <v>0</v>
      </c>
      <c r="M90" s="23">
        <f t="shared" si="129"/>
        <v>0</v>
      </c>
      <c r="N90" s="39">
        <f t="shared" ref="N90:O90" si="130">INT((INDEX(O$7:O$22,$B90)*(1-$D90)+INDEX(O$7:O$22,$B90+1)*$D90)*O$4*$B$2)</f>
        <v>188</v>
      </c>
      <c r="O90" s="39">
        <f t="shared" si="130"/>
        <v>38</v>
      </c>
    </row>
    <row r="91" spans="1:15" ht="16.5" x14ac:dyDescent="0.2">
      <c r="A91" s="30">
        <v>57</v>
      </c>
      <c r="B91" s="30">
        <v>6</v>
      </c>
      <c r="C91" s="30">
        <v>12</v>
      </c>
      <c r="D91" s="21">
        <v>0.85</v>
      </c>
      <c r="E91" s="23">
        <f t="shared" ref="E91:M91" si="131">(INDEX(F$7:F$22,$B91)*(1-$D91)+INDEX(F$7:F$22,$B91+1)*$D91)*F$4*$B$2</f>
        <v>0.53749999999999998</v>
      </c>
      <c r="F91" s="23">
        <f t="shared" si="131"/>
        <v>0.35624999999999996</v>
      </c>
      <c r="G91" s="23">
        <f t="shared" si="131"/>
        <v>0</v>
      </c>
      <c r="H91" s="23">
        <f t="shared" si="131"/>
        <v>0</v>
      </c>
      <c r="I91" s="23">
        <f t="shared" si="131"/>
        <v>0</v>
      </c>
      <c r="J91" s="23">
        <f t="shared" si="131"/>
        <v>0.26375000000000004</v>
      </c>
      <c r="K91" s="23">
        <f t="shared" si="131"/>
        <v>0</v>
      </c>
      <c r="L91" s="23">
        <f t="shared" si="131"/>
        <v>0</v>
      </c>
      <c r="M91" s="23">
        <f t="shared" si="131"/>
        <v>0</v>
      </c>
      <c r="N91" s="39">
        <f t="shared" ref="N91:O91" si="132">INT((INDEX(O$7:O$22,$B91)*(1-$D91)+INDEX(O$7:O$22,$B91+1)*$D91)*O$4*$B$2)</f>
        <v>191</v>
      </c>
      <c r="O91" s="39">
        <f t="shared" si="132"/>
        <v>38</v>
      </c>
    </row>
    <row r="92" spans="1:15" ht="16.5" x14ac:dyDescent="0.2">
      <c r="A92" s="30">
        <v>58</v>
      </c>
      <c r="B92" s="30">
        <v>6</v>
      </c>
      <c r="C92" s="30">
        <v>13</v>
      </c>
      <c r="D92" s="21">
        <v>0.9</v>
      </c>
      <c r="E92" s="23">
        <f t="shared" ref="E92:M92" si="133">(INDEX(F$7:F$22,$B92)*(1-$D92)+INDEX(F$7:F$22,$B92+1)*$D92)*F$4*$B$2</f>
        <v>0.52500000000000002</v>
      </c>
      <c r="F92" s="23">
        <f t="shared" si="133"/>
        <v>0.36250000000000004</v>
      </c>
      <c r="G92" s="23">
        <f t="shared" si="133"/>
        <v>0</v>
      </c>
      <c r="H92" s="23">
        <f t="shared" si="133"/>
        <v>0</v>
      </c>
      <c r="I92" s="23">
        <f t="shared" si="133"/>
        <v>0</v>
      </c>
      <c r="J92" s="23">
        <f t="shared" si="133"/>
        <v>0.26750000000000002</v>
      </c>
      <c r="K92" s="23">
        <f t="shared" si="133"/>
        <v>0</v>
      </c>
      <c r="L92" s="23">
        <f t="shared" si="133"/>
        <v>0</v>
      </c>
      <c r="M92" s="23">
        <f t="shared" si="133"/>
        <v>0</v>
      </c>
      <c r="N92" s="39">
        <f t="shared" ref="N92:O92" si="134">INT((INDEX(O$7:O$22,$B92)*(1-$D92)+INDEX(O$7:O$22,$B92+1)*$D92)*O$4*$B$2)</f>
        <v>194</v>
      </c>
      <c r="O92" s="39">
        <f t="shared" si="134"/>
        <v>39</v>
      </c>
    </row>
    <row r="93" spans="1:15" ht="16.5" x14ac:dyDescent="0.2">
      <c r="A93" s="30">
        <v>59</v>
      </c>
      <c r="B93" s="30">
        <v>6</v>
      </c>
      <c r="C93" s="30">
        <v>14</v>
      </c>
      <c r="D93" s="21">
        <v>0.95</v>
      </c>
      <c r="E93" s="23">
        <f t="shared" ref="E93:M93" si="135">(INDEX(F$7:F$22,$B93)*(1-$D93)+INDEX(F$7:F$22,$B93+1)*$D93)*F$4*$B$2</f>
        <v>0.51249999999999996</v>
      </c>
      <c r="F93" s="23">
        <f t="shared" si="135"/>
        <v>0.36874999999999997</v>
      </c>
      <c r="G93" s="23">
        <f t="shared" si="135"/>
        <v>0</v>
      </c>
      <c r="H93" s="23">
        <f t="shared" si="135"/>
        <v>0</v>
      </c>
      <c r="I93" s="23">
        <f t="shared" si="135"/>
        <v>0</v>
      </c>
      <c r="J93" s="23">
        <f t="shared" si="135"/>
        <v>0.27124999999999999</v>
      </c>
      <c r="K93" s="23">
        <f t="shared" si="135"/>
        <v>0</v>
      </c>
      <c r="L93" s="23">
        <f t="shared" si="135"/>
        <v>0</v>
      </c>
      <c r="M93" s="23">
        <f t="shared" si="135"/>
        <v>0</v>
      </c>
      <c r="N93" s="39">
        <f t="shared" ref="N93:O93" si="136">INT((INDEX(O$7:O$22,$B93)*(1-$D93)+INDEX(O$7:O$22,$B93+1)*$D93)*O$4*$B$2)</f>
        <v>197</v>
      </c>
      <c r="O93" s="39">
        <f t="shared" si="136"/>
        <v>39</v>
      </c>
    </row>
    <row r="94" spans="1:15" ht="16.5" x14ac:dyDescent="0.2">
      <c r="A94" s="30">
        <v>60</v>
      </c>
      <c r="B94" s="30">
        <v>6</v>
      </c>
      <c r="C94" s="30">
        <v>15</v>
      </c>
      <c r="D94" s="21">
        <v>1</v>
      </c>
      <c r="E94" s="23">
        <f t="shared" ref="E94:M94" si="137">(INDEX(F$7:F$22,$B94)*(1-$D94)+INDEX(F$7:F$22,$B94+1)*$D94)*F$4*$B$2</f>
        <v>0.5</v>
      </c>
      <c r="F94" s="23">
        <f t="shared" si="137"/>
        <v>0.375</v>
      </c>
      <c r="G94" s="23">
        <f t="shared" si="137"/>
        <v>0</v>
      </c>
      <c r="H94" s="23">
        <f t="shared" si="137"/>
        <v>0</v>
      </c>
      <c r="I94" s="23">
        <f t="shared" si="137"/>
        <v>0</v>
      </c>
      <c r="J94" s="23">
        <f t="shared" si="137"/>
        <v>0.27500000000000002</v>
      </c>
      <c r="K94" s="23">
        <f t="shared" si="137"/>
        <v>0</v>
      </c>
      <c r="L94" s="23">
        <f t="shared" si="137"/>
        <v>0</v>
      </c>
      <c r="M94" s="23">
        <f t="shared" si="137"/>
        <v>0</v>
      </c>
      <c r="N94" s="39">
        <f t="shared" ref="N94:O94" si="138">INT((INDEX(O$7:O$22,$B94)*(1-$D94)+INDEX(O$7:O$22,$B94+1)*$D94)*O$4*$B$2)</f>
        <v>200</v>
      </c>
      <c r="O94" s="39">
        <f t="shared" si="138"/>
        <v>40</v>
      </c>
    </row>
    <row r="95" spans="1:15" ht="16.5" x14ac:dyDescent="0.2">
      <c r="A95" s="30">
        <v>61</v>
      </c>
      <c r="B95" s="30">
        <v>7</v>
      </c>
      <c r="C95" s="30">
        <v>1</v>
      </c>
      <c r="D95" s="21">
        <v>0.3</v>
      </c>
      <c r="E95" s="23">
        <f t="shared" ref="E95:M95" si="139">(INDEX(F$7:F$22,$B95)*(1-$D95)+INDEX(F$7:F$22,$B95+1)*$D95)*F$4*$B$2</f>
        <v>0.35</v>
      </c>
      <c r="F95" s="23">
        <f t="shared" si="139"/>
        <v>0.41249999999999998</v>
      </c>
      <c r="G95" s="23">
        <f t="shared" si="139"/>
        <v>1.4999999999999999E-2</v>
      </c>
      <c r="H95" s="23">
        <f t="shared" si="139"/>
        <v>0</v>
      </c>
      <c r="I95" s="23">
        <f t="shared" si="139"/>
        <v>0</v>
      </c>
      <c r="J95" s="23">
        <f t="shared" si="139"/>
        <v>0.29749999999999999</v>
      </c>
      <c r="K95" s="23">
        <f t="shared" si="139"/>
        <v>0</v>
      </c>
      <c r="L95" s="23">
        <f t="shared" si="139"/>
        <v>0</v>
      </c>
      <c r="M95" s="23">
        <f t="shared" si="139"/>
        <v>0</v>
      </c>
      <c r="N95" s="39">
        <f t="shared" ref="N95:O95" si="140">INT((INDEX(O$7:O$22,$B95)*(1-$D95)+INDEX(O$7:O$22,$B95+1)*$D95)*O$4*$B$2)</f>
        <v>222</v>
      </c>
      <c r="O95" s="39">
        <f t="shared" si="140"/>
        <v>43</v>
      </c>
    </row>
    <row r="96" spans="1:15" ht="16.5" x14ac:dyDescent="0.2">
      <c r="A96" s="30">
        <v>62</v>
      </c>
      <c r="B96" s="30">
        <v>7</v>
      </c>
      <c r="C96" s="30">
        <v>2</v>
      </c>
      <c r="D96" s="21">
        <v>0.35</v>
      </c>
      <c r="E96" s="23">
        <f t="shared" ref="E96:M96" si="141">(INDEX(F$7:F$22,$B96)*(1-$D96)+INDEX(F$7:F$22,$B96+1)*$D96)*F$4*$B$2</f>
        <v>0.32500000000000001</v>
      </c>
      <c r="F96" s="23">
        <f t="shared" si="141"/>
        <v>0.41875000000000001</v>
      </c>
      <c r="G96" s="23">
        <f t="shared" si="141"/>
        <v>1.7499999999999998E-2</v>
      </c>
      <c r="H96" s="23">
        <f t="shared" si="141"/>
        <v>0</v>
      </c>
      <c r="I96" s="23">
        <f t="shared" si="141"/>
        <v>0</v>
      </c>
      <c r="J96" s="23">
        <f t="shared" si="141"/>
        <v>0.30125000000000002</v>
      </c>
      <c r="K96" s="23">
        <f t="shared" si="141"/>
        <v>0</v>
      </c>
      <c r="L96" s="23">
        <f t="shared" si="141"/>
        <v>0</v>
      </c>
      <c r="M96" s="23">
        <f t="shared" si="141"/>
        <v>0</v>
      </c>
      <c r="N96" s="39">
        <f t="shared" ref="N96:O96" si="142">INT((INDEX(O$7:O$22,$B96)*(1-$D96)+INDEX(O$7:O$22,$B96+1)*$D96)*O$4*$B$2)</f>
        <v>226</v>
      </c>
      <c r="O96" s="39">
        <f t="shared" si="142"/>
        <v>43</v>
      </c>
    </row>
    <row r="97" spans="1:15" ht="16.5" x14ac:dyDescent="0.2">
      <c r="A97" s="30">
        <v>63</v>
      </c>
      <c r="B97" s="30">
        <v>7</v>
      </c>
      <c r="C97" s="30">
        <v>3</v>
      </c>
      <c r="D97" s="21">
        <v>0.4</v>
      </c>
      <c r="E97" s="23">
        <f t="shared" ref="E97:M97" si="143">(INDEX(F$7:F$22,$B97)*(1-$D97)+INDEX(F$7:F$22,$B97+1)*$D97)*F$4*$B$2</f>
        <v>0.3</v>
      </c>
      <c r="F97" s="23">
        <f t="shared" si="143"/>
        <v>0.42499999999999999</v>
      </c>
      <c r="G97" s="23">
        <f t="shared" si="143"/>
        <v>2.0000000000000004E-2</v>
      </c>
      <c r="H97" s="23">
        <f t="shared" si="143"/>
        <v>0</v>
      </c>
      <c r="I97" s="23">
        <f t="shared" si="143"/>
        <v>0</v>
      </c>
      <c r="J97" s="23">
        <f t="shared" si="143"/>
        <v>0.30499999999999999</v>
      </c>
      <c r="K97" s="23">
        <f t="shared" si="143"/>
        <v>0</v>
      </c>
      <c r="L97" s="23">
        <f t="shared" si="143"/>
        <v>0</v>
      </c>
      <c r="M97" s="23">
        <f t="shared" si="143"/>
        <v>0</v>
      </c>
      <c r="N97" s="39">
        <f t="shared" ref="N97:O97" si="144">INT((INDEX(O$7:O$22,$B97)*(1-$D97)+INDEX(O$7:O$22,$B97+1)*$D97)*O$4*$B$2)</f>
        <v>230</v>
      </c>
      <c r="O97" s="39">
        <f t="shared" si="144"/>
        <v>44</v>
      </c>
    </row>
    <row r="98" spans="1:15" ht="16.5" x14ac:dyDescent="0.2">
      <c r="A98" s="30">
        <v>64</v>
      </c>
      <c r="B98" s="30">
        <v>7</v>
      </c>
      <c r="C98" s="30">
        <v>4</v>
      </c>
      <c r="D98" s="21">
        <v>0.45</v>
      </c>
      <c r="E98" s="23">
        <f t="shared" ref="E98:M98" si="145">(INDEX(F$7:F$22,$B98)*(1-$D98)+INDEX(F$7:F$22,$B98+1)*$D98)*F$4*$B$2</f>
        <v>0.27500000000000002</v>
      </c>
      <c r="F98" s="23">
        <f t="shared" si="145"/>
        <v>0.43125000000000002</v>
      </c>
      <c r="G98" s="23">
        <f t="shared" si="145"/>
        <v>2.2500000000000003E-2</v>
      </c>
      <c r="H98" s="23">
        <f t="shared" si="145"/>
        <v>0</v>
      </c>
      <c r="I98" s="23">
        <f t="shared" si="145"/>
        <v>0</v>
      </c>
      <c r="J98" s="23">
        <f t="shared" si="145"/>
        <v>0.30875000000000002</v>
      </c>
      <c r="K98" s="23">
        <f t="shared" si="145"/>
        <v>0</v>
      </c>
      <c r="L98" s="23">
        <f t="shared" si="145"/>
        <v>0</v>
      </c>
      <c r="M98" s="23">
        <f t="shared" si="145"/>
        <v>0</v>
      </c>
      <c r="N98" s="39">
        <f t="shared" ref="N98:O98" si="146">INT((INDEX(O$7:O$22,$B98)*(1-$D98)+INDEX(O$7:O$22,$B98+1)*$D98)*O$4*$B$2)</f>
        <v>233</v>
      </c>
      <c r="O98" s="39">
        <f t="shared" si="146"/>
        <v>44</v>
      </c>
    </row>
    <row r="99" spans="1:15" ht="16.5" x14ac:dyDescent="0.2">
      <c r="A99" s="30">
        <v>65</v>
      </c>
      <c r="B99" s="30">
        <v>7</v>
      </c>
      <c r="C99" s="30">
        <v>5</v>
      </c>
      <c r="D99" s="21">
        <v>0.5</v>
      </c>
      <c r="E99" s="23">
        <f t="shared" ref="E99:M99" si="147">(INDEX(F$7:F$22,$B99)*(1-$D99)+INDEX(F$7:F$22,$B99+1)*$D99)*F$4*$B$2</f>
        <v>0.25</v>
      </c>
      <c r="F99" s="23">
        <f t="shared" si="147"/>
        <v>0.4375</v>
      </c>
      <c r="G99" s="23">
        <f t="shared" si="147"/>
        <v>2.5000000000000001E-2</v>
      </c>
      <c r="H99" s="23">
        <f t="shared" si="147"/>
        <v>0</v>
      </c>
      <c r="I99" s="23">
        <f t="shared" si="147"/>
        <v>0</v>
      </c>
      <c r="J99" s="23">
        <f t="shared" si="147"/>
        <v>0.3125</v>
      </c>
      <c r="K99" s="23">
        <f t="shared" si="147"/>
        <v>0</v>
      </c>
      <c r="L99" s="23">
        <f t="shared" si="147"/>
        <v>0</v>
      </c>
      <c r="M99" s="23">
        <f t="shared" si="147"/>
        <v>0</v>
      </c>
      <c r="N99" s="39">
        <f t="shared" ref="N99:O99" si="148">INT((INDEX(O$7:O$22,$B99)*(1-$D99)+INDEX(O$7:O$22,$B99+1)*$D99)*O$4*$B$2)</f>
        <v>237</v>
      </c>
      <c r="O99" s="39">
        <f t="shared" si="148"/>
        <v>45</v>
      </c>
    </row>
    <row r="100" spans="1:15" ht="16.5" x14ac:dyDescent="0.2">
      <c r="A100" s="30">
        <v>66</v>
      </c>
      <c r="B100" s="30">
        <v>7</v>
      </c>
      <c r="C100" s="30">
        <v>6</v>
      </c>
      <c r="D100" s="21">
        <v>0.55000000000000004</v>
      </c>
      <c r="E100" s="23">
        <f t="shared" ref="E100:M100" si="149">(INDEX(F$7:F$22,$B100)*(1-$D100)+INDEX(F$7:F$22,$B100+1)*$D100)*F$4*$B$2</f>
        <v>0.22499999999999998</v>
      </c>
      <c r="F100" s="23">
        <f t="shared" si="149"/>
        <v>0.44374999999999998</v>
      </c>
      <c r="G100" s="23">
        <f t="shared" si="149"/>
        <v>2.7500000000000004E-2</v>
      </c>
      <c r="H100" s="23">
        <f t="shared" si="149"/>
        <v>0</v>
      </c>
      <c r="I100" s="23">
        <f t="shared" si="149"/>
        <v>0</v>
      </c>
      <c r="J100" s="23">
        <f t="shared" si="149"/>
        <v>0.31625000000000003</v>
      </c>
      <c r="K100" s="23">
        <f t="shared" si="149"/>
        <v>0</v>
      </c>
      <c r="L100" s="23">
        <f t="shared" si="149"/>
        <v>0</v>
      </c>
      <c r="M100" s="23">
        <f t="shared" si="149"/>
        <v>0</v>
      </c>
      <c r="N100" s="39">
        <f t="shared" ref="N100:O100" si="150">INT((INDEX(O$7:O$22,$B100)*(1-$D100)+INDEX(O$7:O$22,$B100+1)*$D100)*O$4*$B$2)</f>
        <v>241</v>
      </c>
      <c r="O100" s="39">
        <f t="shared" si="150"/>
        <v>45</v>
      </c>
    </row>
    <row r="101" spans="1:15" ht="16.5" x14ac:dyDescent="0.2">
      <c r="A101" s="30">
        <v>67</v>
      </c>
      <c r="B101" s="30">
        <v>7</v>
      </c>
      <c r="C101" s="30">
        <v>7</v>
      </c>
      <c r="D101" s="21">
        <v>0.6</v>
      </c>
      <c r="E101" s="23">
        <f t="shared" ref="E101:M101" si="151">(INDEX(F$7:F$22,$B101)*(1-$D101)+INDEX(F$7:F$22,$B101+1)*$D101)*F$4*$B$2</f>
        <v>0.2</v>
      </c>
      <c r="F101" s="23">
        <f t="shared" si="151"/>
        <v>0.45</v>
      </c>
      <c r="G101" s="23">
        <f t="shared" si="151"/>
        <v>0.03</v>
      </c>
      <c r="H101" s="23">
        <f t="shared" si="151"/>
        <v>0</v>
      </c>
      <c r="I101" s="23">
        <f t="shared" si="151"/>
        <v>0</v>
      </c>
      <c r="J101" s="23">
        <f t="shared" si="151"/>
        <v>0.32</v>
      </c>
      <c r="K101" s="23">
        <f t="shared" si="151"/>
        <v>0</v>
      </c>
      <c r="L101" s="23">
        <f t="shared" si="151"/>
        <v>0</v>
      </c>
      <c r="M101" s="23">
        <f t="shared" si="151"/>
        <v>0</v>
      </c>
      <c r="N101" s="39">
        <f t="shared" ref="N101:O101" si="152">INT((INDEX(O$7:O$22,$B101)*(1-$D101)+INDEX(O$7:O$22,$B101+1)*$D101)*O$4*$B$2)</f>
        <v>245</v>
      </c>
      <c r="O101" s="39">
        <f t="shared" si="152"/>
        <v>46</v>
      </c>
    </row>
    <row r="102" spans="1:15" ht="16.5" x14ac:dyDescent="0.2">
      <c r="A102" s="30">
        <v>68</v>
      </c>
      <c r="B102" s="30">
        <v>7</v>
      </c>
      <c r="C102" s="30">
        <v>8</v>
      </c>
      <c r="D102" s="21">
        <v>0.65</v>
      </c>
      <c r="E102" s="23">
        <f t="shared" ref="E102:M102" si="153">(INDEX(F$7:F$22,$B102)*(1-$D102)+INDEX(F$7:F$22,$B102+1)*$D102)*F$4*$B$2</f>
        <v>0.17499999999999999</v>
      </c>
      <c r="F102" s="23">
        <f t="shared" si="153"/>
        <v>0.45624999999999999</v>
      </c>
      <c r="G102" s="23">
        <f t="shared" si="153"/>
        <v>3.2500000000000001E-2</v>
      </c>
      <c r="H102" s="23">
        <f t="shared" si="153"/>
        <v>0</v>
      </c>
      <c r="I102" s="23">
        <f t="shared" si="153"/>
        <v>0</v>
      </c>
      <c r="J102" s="23">
        <f t="shared" si="153"/>
        <v>0.32374999999999998</v>
      </c>
      <c r="K102" s="23">
        <f t="shared" si="153"/>
        <v>0</v>
      </c>
      <c r="L102" s="23">
        <f t="shared" si="153"/>
        <v>0</v>
      </c>
      <c r="M102" s="23">
        <f t="shared" si="153"/>
        <v>0</v>
      </c>
      <c r="N102" s="39">
        <f t="shared" ref="N102:O102" si="154">INT((INDEX(O$7:O$22,$B102)*(1-$D102)+INDEX(O$7:O$22,$B102+1)*$D102)*O$4*$B$2)</f>
        <v>248</v>
      </c>
      <c r="O102" s="39">
        <f t="shared" si="154"/>
        <v>46</v>
      </c>
    </row>
    <row r="103" spans="1:15" ht="16.5" x14ac:dyDescent="0.2">
      <c r="A103" s="30">
        <v>69</v>
      </c>
      <c r="B103" s="30">
        <v>7</v>
      </c>
      <c r="C103" s="30">
        <v>9</v>
      </c>
      <c r="D103" s="21">
        <v>0.7</v>
      </c>
      <c r="E103" s="23">
        <f t="shared" ref="E103:M103" si="155">(INDEX(F$7:F$22,$B103)*(1-$D103)+INDEX(F$7:F$22,$B103+1)*$D103)*F$4*$B$2</f>
        <v>0.15000000000000002</v>
      </c>
      <c r="F103" s="23">
        <f t="shared" si="155"/>
        <v>0.46250000000000002</v>
      </c>
      <c r="G103" s="23">
        <f t="shared" si="155"/>
        <v>3.4999999999999996E-2</v>
      </c>
      <c r="H103" s="23">
        <f t="shared" si="155"/>
        <v>0</v>
      </c>
      <c r="I103" s="23">
        <f t="shared" si="155"/>
        <v>0</v>
      </c>
      <c r="J103" s="23">
        <f t="shared" si="155"/>
        <v>0.32750000000000001</v>
      </c>
      <c r="K103" s="23">
        <f t="shared" si="155"/>
        <v>0</v>
      </c>
      <c r="L103" s="23">
        <f t="shared" si="155"/>
        <v>0</v>
      </c>
      <c r="M103" s="23">
        <f t="shared" si="155"/>
        <v>0</v>
      </c>
      <c r="N103" s="39">
        <f t="shared" ref="N103:O103" si="156">INT((INDEX(O$7:O$22,$B103)*(1-$D103)+INDEX(O$7:O$22,$B103+1)*$D103)*O$4*$B$2)</f>
        <v>252</v>
      </c>
      <c r="O103" s="39">
        <f t="shared" si="156"/>
        <v>47</v>
      </c>
    </row>
    <row r="104" spans="1:15" ht="16.5" x14ac:dyDescent="0.2">
      <c r="A104" s="30">
        <v>70</v>
      </c>
      <c r="B104" s="30">
        <v>7</v>
      </c>
      <c r="C104" s="30">
        <v>10</v>
      </c>
      <c r="D104" s="21">
        <v>0.75</v>
      </c>
      <c r="E104" s="23">
        <f t="shared" ref="E104:M104" si="157">(INDEX(F$7:F$22,$B104)*(1-$D104)+INDEX(F$7:F$22,$B104+1)*$D104)*F$4*$B$2</f>
        <v>0.125</v>
      </c>
      <c r="F104" s="23">
        <f t="shared" si="157"/>
        <v>0.46875</v>
      </c>
      <c r="G104" s="23">
        <f t="shared" si="157"/>
        <v>3.7500000000000006E-2</v>
      </c>
      <c r="H104" s="23">
        <f t="shared" si="157"/>
        <v>0</v>
      </c>
      <c r="I104" s="23">
        <f t="shared" si="157"/>
        <v>0</v>
      </c>
      <c r="J104" s="23">
        <f t="shared" si="157"/>
        <v>0.33124999999999993</v>
      </c>
      <c r="K104" s="23">
        <f t="shared" si="157"/>
        <v>0</v>
      </c>
      <c r="L104" s="23">
        <f t="shared" si="157"/>
        <v>0</v>
      </c>
      <c r="M104" s="23">
        <f t="shared" si="157"/>
        <v>0</v>
      </c>
      <c r="N104" s="39">
        <f t="shared" ref="N104:O104" si="158">INT((INDEX(O$7:O$22,$B104)*(1-$D104)+INDEX(O$7:O$22,$B104+1)*$D104)*O$4*$B$2)</f>
        <v>256</v>
      </c>
      <c r="O104" s="39">
        <f t="shared" si="158"/>
        <v>47</v>
      </c>
    </row>
    <row r="105" spans="1:15" ht="16.5" x14ac:dyDescent="0.2">
      <c r="A105" s="30">
        <v>71</v>
      </c>
      <c r="B105" s="30">
        <v>7</v>
      </c>
      <c r="C105" s="30">
        <v>11</v>
      </c>
      <c r="D105" s="21">
        <v>0.8</v>
      </c>
      <c r="E105" s="23">
        <f t="shared" ref="E105:M105" si="159">(INDEX(F$7:F$22,$B105)*(1-$D105)+INDEX(F$7:F$22,$B105+1)*$D105)*F$4*$B$2</f>
        <v>9.9999999999999978E-2</v>
      </c>
      <c r="F105" s="23">
        <f t="shared" si="159"/>
        <v>0.47499999999999998</v>
      </c>
      <c r="G105" s="23">
        <f t="shared" si="159"/>
        <v>4.0000000000000008E-2</v>
      </c>
      <c r="H105" s="23">
        <f t="shared" si="159"/>
        <v>0</v>
      </c>
      <c r="I105" s="23">
        <f t="shared" si="159"/>
        <v>0</v>
      </c>
      <c r="J105" s="23">
        <f t="shared" si="159"/>
        <v>0.33499999999999996</v>
      </c>
      <c r="K105" s="23">
        <f t="shared" si="159"/>
        <v>0</v>
      </c>
      <c r="L105" s="23">
        <f t="shared" si="159"/>
        <v>0</v>
      </c>
      <c r="M105" s="23">
        <f t="shared" si="159"/>
        <v>0</v>
      </c>
      <c r="N105" s="39">
        <f t="shared" ref="N105:O105" si="160">INT((INDEX(O$7:O$22,$B105)*(1-$D105)+INDEX(O$7:O$22,$B105+1)*$D105)*O$4*$B$2)</f>
        <v>260</v>
      </c>
      <c r="O105" s="39">
        <f t="shared" si="160"/>
        <v>48</v>
      </c>
    </row>
    <row r="106" spans="1:15" ht="16.5" x14ac:dyDescent="0.2">
      <c r="A106" s="30">
        <v>72</v>
      </c>
      <c r="B106" s="30">
        <v>7</v>
      </c>
      <c r="C106" s="30">
        <v>12</v>
      </c>
      <c r="D106" s="21">
        <v>0.85</v>
      </c>
      <c r="E106" s="23">
        <f t="shared" ref="E106:M106" si="161">(INDEX(F$7:F$22,$B106)*(1-$D106)+INDEX(F$7:F$22,$B106+1)*$D106)*F$4*$B$2</f>
        <v>7.5000000000000011E-2</v>
      </c>
      <c r="F106" s="23">
        <f t="shared" si="161"/>
        <v>0.48125000000000001</v>
      </c>
      <c r="G106" s="23">
        <f t="shared" si="161"/>
        <v>4.2500000000000003E-2</v>
      </c>
      <c r="H106" s="23">
        <f t="shared" si="161"/>
        <v>0</v>
      </c>
      <c r="I106" s="23">
        <f t="shared" si="161"/>
        <v>0</v>
      </c>
      <c r="J106" s="23">
        <f t="shared" si="161"/>
        <v>0.33875</v>
      </c>
      <c r="K106" s="23">
        <f t="shared" si="161"/>
        <v>0</v>
      </c>
      <c r="L106" s="23">
        <f t="shared" si="161"/>
        <v>0</v>
      </c>
      <c r="M106" s="23">
        <f t="shared" si="161"/>
        <v>0</v>
      </c>
      <c r="N106" s="39">
        <f t="shared" ref="N106:O106" si="162">INT((INDEX(O$7:O$22,$B106)*(1-$D106)+INDEX(O$7:O$22,$B106+1)*$D106)*O$4*$B$2)</f>
        <v>263</v>
      </c>
      <c r="O106" s="39">
        <f t="shared" si="162"/>
        <v>48</v>
      </c>
    </row>
    <row r="107" spans="1:15" ht="16.5" x14ac:dyDescent="0.2">
      <c r="A107" s="30">
        <v>73</v>
      </c>
      <c r="B107" s="30">
        <v>7</v>
      </c>
      <c r="C107" s="30">
        <v>13</v>
      </c>
      <c r="D107" s="21">
        <v>0.9</v>
      </c>
      <c r="E107" s="23">
        <f t="shared" ref="E107:M107" si="163">(INDEX(F$7:F$22,$B107)*(1-$D107)+INDEX(F$7:F$22,$B107+1)*$D107)*F$4*$B$2</f>
        <v>4.9999999999999989E-2</v>
      </c>
      <c r="F107" s="23">
        <f t="shared" si="163"/>
        <v>0.48749999999999999</v>
      </c>
      <c r="G107" s="23">
        <f t="shared" si="163"/>
        <v>4.5000000000000005E-2</v>
      </c>
      <c r="H107" s="23">
        <f t="shared" si="163"/>
        <v>0</v>
      </c>
      <c r="I107" s="23">
        <f t="shared" si="163"/>
        <v>0</v>
      </c>
      <c r="J107" s="23">
        <f t="shared" si="163"/>
        <v>0.34250000000000003</v>
      </c>
      <c r="K107" s="23">
        <f t="shared" si="163"/>
        <v>0</v>
      </c>
      <c r="L107" s="23">
        <f t="shared" si="163"/>
        <v>0</v>
      </c>
      <c r="M107" s="23">
        <f t="shared" si="163"/>
        <v>0</v>
      </c>
      <c r="N107" s="39">
        <f t="shared" ref="N107:O107" si="164">INT((INDEX(O$7:O$22,$B107)*(1-$D107)+INDEX(O$7:O$22,$B107+1)*$D107)*O$4*$B$2)</f>
        <v>267</v>
      </c>
      <c r="O107" s="39">
        <f t="shared" si="164"/>
        <v>49</v>
      </c>
    </row>
    <row r="108" spans="1:15" ht="16.5" x14ac:dyDescent="0.2">
      <c r="A108" s="30">
        <v>74</v>
      </c>
      <c r="B108" s="30">
        <v>7</v>
      </c>
      <c r="C108" s="30">
        <v>14</v>
      </c>
      <c r="D108" s="21">
        <v>0.95</v>
      </c>
      <c r="E108" s="23">
        <f t="shared" ref="E108:M108" si="165">(INDEX(F$7:F$22,$B108)*(1-$D108)+INDEX(F$7:F$22,$B108+1)*$D108)*F$4*$B$2</f>
        <v>2.5000000000000022E-2</v>
      </c>
      <c r="F108" s="23">
        <f t="shared" si="165"/>
        <v>0.49375000000000002</v>
      </c>
      <c r="G108" s="23">
        <f t="shared" si="165"/>
        <v>4.7500000000000001E-2</v>
      </c>
      <c r="H108" s="23">
        <f t="shared" si="165"/>
        <v>0</v>
      </c>
      <c r="I108" s="23">
        <f t="shared" si="165"/>
        <v>0</v>
      </c>
      <c r="J108" s="23">
        <f t="shared" si="165"/>
        <v>0.34625</v>
      </c>
      <c r="K108" s="23">
        <f t="shared" si="165"/>
        <v>0</v>
      </c>
      <c r="L108" s="23">
        <f t="shared" si="165"/>
        <v>0</v>
      </c>
      <c r="M108" s="23">
        <f t="shared" si="165"/>
        <v>0</v>
      </c>
      <c r="N108" s="39">
        <f t="shared" ref="N108:O108" si="166">INT((INDEX(O$7:O$22,$B108)*(1-$D108)+INDEX(O$7:O$22,$B108+1)*$D108)*O$4*$B$2)</f>
        <v>271</v>
      </c>
      <c r="O108" s="39">
        <f t="shared" si="166"/>
        <v>49</v>
      </c>
    </row>
    <row r="109" spans="1:15" ht="16.5" x14ac:dyDescent="0.2">
      <c r="A109" s="30">
        <v>75</v>
      </c>
      <c r="B109" s="30">
        <v>7</v>
      </c>
      <c r="C109" s="30">
        <v>15</v>
      </c>
      <c r="D109" s="21">
        <v>1</v>
      </c>
      <c r="E109" s="23">
        <f t="shared" ref="E109:M109" si="167">(INDEX(F$7:F$22,$B109)*(1-$D109)+INDEX(F$7:F$22,$B109+1)*$D109)*F$4*$B$2</f>
        <v>0</v>
      </c>
      <c r="F109" s="23">
        <f t="shared" si="167"/>
        <v>0.5</v>
      </c>
      <c r="G109" s="23">
        <f t="shared" si="167"/>
        <v>0.05</v>
      </c>
      <c r="H109" s="23">
        <f t="shared" si="167"/>
        <v>0</v>
      </c>
      <c r="I109" s="23">
        <f t="shared" si="167"/>
        <v>0</v>
      </c>
      <c r="J109" s="23">
        <f t="shared" si="167"/>
        <v>0.35</v>
      </c>
      <c r="K109" s="23">
        <f t="shared" si="167"/>
        <v>0</v>
      </c>
      <c r="L109" s="23">
        <f t="shared" si="167"/>
        <v>0</v>
      </c>
      <c r="M109" s="23">
        <f t="shared" si="167"/>
        <v>0</v>
      </c>
      <c r="N109" s="39">
        <f t="shared" ref="N109:O109" si="168">INT((INDEX(O$7:O$22,$B109)*(1-$D109)+INDEX(O$7:O$22,$B109+1)*$D109)*O$4*$B$2)</f>
        <v>275</v>
      </c>
      <c r="O109" s="39">
        <f t="shared" si="168"/>
        <v>50</v>
      </c>
    </row>
    <row r="110" spans="1:15" ht="16.5" x14ac:dyDescent="0.2">
      <c r="A110" s="30">
        <v>76</v>
      </c>
      <c r="B110" s="30">
        <v>8</v>
      </c>
      <c r="C110" s="30">
        <v>1</v>
      </c>
      <c r="D110" s="21">
        <v>0.3</v>
      </c>
      <c r="E110" s="23">
        <f t="shared" ref="E110:M110" si="169">(INDEX(F$7:F$22,$B110)*(1-$D110)+INDEX(F$7:F$22,$B110+1)*$D110)*F$4*$B$2</f>
        <v>0</v>
      </c>
      <c r="F110" s="23">
        <f t="shared" si="169"/>
        <v>0.46249999999999997</v>
      </c>
      <c r="G110" s="23">
        <f t="shared" si="169"/>
        <v>6.4999999999999988E-2</v>
      </c>
      <c r="H110" s="23">
        <f t="shared" si="169"/>
        <v>0</v>
      </c>
      <c r="I110" s="23">
        <f t="shared" si="169"/>
        <v>0</v>
      </c>
      <c r="J110" s="23">
        <f t="shared" si="169"/>
        <v>0.37249999999999994</v>
      </c>
      <c r="K110" s="23">
        <f t="shared" si="169"/>
        <v>0</v>
      </c>
      <c r="L110" s="23">
        <f t="shared" si="169"/>
        <v>0</v>
      </c>
      <c r="M110" s="23">
        <f t="shared" si="169"/>
        <v>0</v>
      </c>
      <c r="N110" s="39">
        <f t="shared" ref="N110:O110" si="170">INT((INDEX(O$7:O$22,$B110)*(1-$D110)+INDEX(O$7:O$22,$B110+1)*$D110)*O$4*$B$2)</f>
        <v>300</v>
      </c>
      <c r="O110" s="39">
        <f t="shared" si="170"/>
        <v>53</v>
      </c>
    </row>
    <row r="111" spans="1:15" ht="16.5" x14ac:dyDescent="0.2">
      <c r="A111" s="30">
        <v>77</v>
      </c>
      <c r="B111" s="30">
        <v>8</v>
      </c>
      <c r="C111" s="30">
        <v>2</v>
      </c>
      <c r="D111" s="21">
        <v>0.35</v>
      </c>
      <c r="E111" s="23">
        <f t="shared" ref="E111:M111" si="171">(INDEX(F$7:F$22,$B111)*(1-$D111)+INDEX(F$7:F$22,$B111+1)*$D111)*F$4*$B$2</f>
        <v>0</v>
      </c>
      <c r="F111" s="23">
        <f t="shared" si="171"/>
        <v>0.45624999999999999</v>
      </c>
      <c r="G111" s="23">
        <f t="shared" si="171"/>
        <v>6.7500000000000004E-2</v>
      </c>
      <c r="H111" s="23">
        <f t="shared" si="171"/>
        <v>0</v>
      </c>
      <c r="I111" s="23">
        <f t="shared" si="171"/>
        <v>0</v>
      </c>
      <c r="J111" s="23">
        <f t="shared" si="171"/>
        <v>0.37624999999999997</v>
      </c>
      <c r="K111" s="23">
        <f t="shared" si="171"/>
        <v>0</v>
      </c>
      <c r="L111" s="23">
        <f t="shared" si="171"/>
        <v>0</v>
      </c>
      <c r="M111" s="23">
        <f t="shared" si="171"/>
        <v>0</v>
      </c>
      <c r="N111" s="39">
        <f t="shared" ref="N111:O111" si="172">INT((INDEX(O$7:O$22,$B111)*(1-$D111)+INDEX(O$7:O$22,$B111+1)*$D111)*O$4*$B$2)</f>
        <v>304</v>
      </c>
      <c r="O111" s="39">
        <f t="shared" si="172"/>
        <v>53</v>
      </c>
    </row>
    <row r="112" spans="1:15" ht="16.5" x14ac:dyDescent="0.2">
      <c r="A112" s="30">
        <v>78</v>
      </c>
      <c r="B112" s="30">
        <v>8</v>
      </c>
      <c r="C112" s="30">
        <v>3</v>
      </c>
      <c r="D112" s="21">
        <v>0.4</v>
      </c>
      <c r="E112" s="23">
        <f t="shared" ref="E112:M112" si="173">(INDEX(F$7:F$22,$B112)*(1-$D112)+INDEX(F$7:F$22,$B112+1)*$D112)*F$4*$B$2</f>
        <v>0</v>
      </c>
      <c r="F112" s="23">
        <f t="shared" si="173"/>
        <v>0.45</v>
      </c>
      <c r="G112" s="23">
        <f t="shared" si="173"/>
        <v>6.9999999999999993E-2</v>
      </c>
      <c r="H112" s="23">
        <f t="shared" si="173"/>
        <v>0</v>
      </c>
      <c r="I112" s="23">
        <f t="shared" si="173"/>
        <v>0</v>
      </c>
      <c r="J112" s="23">
        <f t="shared" si="173"/>
        <v>0.38</v>
      </c>
      <c r="K112" s="23">
        <f t="shared" si="173"/>
        <v>0</v>
      </c>
      <c r="L112" s="23">
        <f t="shared" si="173"/>
        <v>0</v>
      </c>
      <c r="M112" s="23">
        <f t="shared" si="173"/>
        <v>0</v>
      </c>
      <c r="N112" s="39">
        <f t="shared" ref="N112:O112" si="174">INT((INDEX(O$7:O$22,$B112)*(1-$D112)+INDEX(O$7:O$22,$B112+1)*$D112)*O$4*$B$2)</f>
        <v>309</v>
      </c>
      <c r="O112" s="39">
        <f t="shared" si="174"/>
        <v>54</v>
      </c>
    </row>
    <row r="113" spans="1:15" ht="16.5" x14ac:dyDescent="0.2">
      <c r="A113" s="30">
        <v>79</v>
      </c>
      <c r="B113" s="30">
        <v>8</v>
      </c>
      <c r="C113" s="30">
        <v>4</v>
      </c>
      <c r="D113" s="21">
        <v>0.45</v>
      </c>
      <c r="E113" s="23">
        <f t="shared" ref="E113:M113" si="175">(INDEX(F$7:F$22,$B113)*(1-$D113)+INDEX(F$7:F$22,$B113+1)*$D113)*F$4*$B$2</f>
        <v>0</v>
      </c>
      <c r="F113" s="23">
        <f t="shared" si="175"/>
        <v>0.44375000000000003</v>
      </c>
      <c r="G113" s="23">
        <f t="shared" si="175"/>
        <v>7.2500000000000009E-2</v>
      </c>
      <c r="H113" s="23">
        <f t="shared" si="175"/>
        <v>0</v>
      </c>
      <c r="I113" s="23">
        <f t="shared" si="175"/>
        <v>0</v>
      </c>
      <c r="J113" s="23">
        <f t="shared" si="175"/>
        <v>0.38375000000000004</v>
      </c>
      <c r="K113" s="23">
        <f t="shared" si="175"/>
        <v>0</v>
      </c>
      <c r="L113" s="23">
        <f t="shared" si="175"/>
        <v>0</v>
      </c>
      <c r="M113" s="23">
        <f t="shared" si="175"/>
        <v>0</v>
      </c>
      <c r="N113" s="39">
        <f t="shared" ref="N113:O113" si="176">INT((INDEX(O$7:O$22,$B113)*(1-$D113)+INDEX(O$7:O$22,$B113+1)*$D113)*O$4*$B$2)</f>
        <v>313</v>
      </c>
      <c r="O113" s="39">
        <f t="shared" si="176"/>
        <v>54</v>
      </c>
    </row>
    <row r="114" spans="1:15" ht="16.5" x14ac:dyDescent="0.2">
      <c r="A114" s="30">
        <v>80</v>
      </c>
      <c r="B114" s="30">
        <v>8</v>
      </c>
      <c r="C114" s="30">
        <v>5</v>
      </c>
      <c r="D114" s="21">
        <v>0.5</v>
      </c>
      <c r="E114" s="23">
        <f t="shared" ref="E114:M114" si="177">(INDEX(F$7:F$22,$B114)*(1-$D114)+INDEX(F$7:F$22,$B114+1)*$D114)*F$4*$B$2</f>
        <v>0</v>
      </c>
      <c r="F114" s="23">
        <f t="shared" si="177"/>
        <v>0.4375</v>
      </c>
      <c r="G114" s="23">
        <f t="shared" si="177"/>
        <v>7.5000000000000011E-2</v>
      </c>
      <c r="H114" s="23">
        <f t="shared" si="177"/>
        <v>0</v>
      </c>
      <c r="I114" s="23">
        <f t="shared" si="177"/>
        <v>0</v>
      </c>
      <c r="J114" s="23">
        <f t="shared" si="177"/>
        <v>0.38749999999999996</v>
      </c>
      <c r="K114" s="23">
        <f t="shared" si="177"/>
        <v>0</v>
      </c>
      <c r="L114" s="23">
        <f t="shared" si="177"/>
        <v>0</v>
      </c>
      <c r="M114" s="23">
        <f t="shared" si="177"/>
        <v>0</v>
      </c>
      <c r="N114" s="39">
        <f t="shared" ref="N114:O114" si="178">INT((INDEX(O$7:O$22,$B114)*(1-$D114)+INDEX(O$7:O$22,$B114+1)*$D114)*O$4*$B$2)</f>
        <v>317</v>
      </c>
      <c r="O114" s="39">
        <f t="shared" si="178"/>
        <v>55</v>
      </c>
    </row>
    <row r="115" spans="1:15" ht="16.5" x14ac:dyDescent="0.2">
      <c r="A115" s="30">
        <v>81</v>
      </c>
      <c r="B115" s="30">
        <v>8</v>
      </c>
      <c r="C115" s="30">
        <v>6</v>
      </c>
      <c r="D115" s="21">
        <v>0.55000000000000004</v>
      </c>
      <c r="E115" s="23">
        <f t="shared" ref="E115:M115" si="179">(INDEX(F$7:F$22,$B115)*(1-$D115)+INDEX(F$7:F$22,$B115+1)*$D115)*F$4*$B$2</f>
        <v>0</v>
      </c>
      <c r="F115" s="23">
        <f t="shared" si="179"/>
        <v>0.43125000000000002</v>
      </c>
      <c r="G115" s="23">
        <f t="shared" si="179"/>
        <v>7.7500000000000013E-2</v>
      </c>
      <c r="H115" s="23">
        <f t="shared" si="179"/>
        <v>0</v>
      </c>
      <c r="I115" s="23">
        <f t="shared" si="179"/>
        <v>0</v>
      </c>
      <c r="J115" s="23">
        <f t="shared" si="179"/>
        <v>0.39124999999999999</v>
      </c>
      <c r="K115" s="23">
        <f t="shared" si="179"/>
        <v>0</v>
      </c>
      <c r="L115" s="23">
        <f t="shared" si="179"/>
        <v>0</v>
      </c>
      <c r="M115" s="23">
        <f t="shared" si="179"/>
        <v>0</v>
      </c>
      <c r="N115" s="39">
        <f t="shared" ref="N115:O115" si="180">INT((INDEX(O$7:O$22,$B115)*(1-$D115)+INDEX(O$7:O$22,$B115+1)*$D115)*O$4*$B$2)</f>
        <v>321</v>
      </c>
      <c r="O115" s="39">
        <f t="shared" si="180"/>
        <v>55</v>
      </c>
    </row>
    <row r="116" spans="1:15" ht="16.5" x14ac:dyDescent="0.2">
      <c r="A116" s="30">
        <v>82</v>
      </c>
      <c r="B116" s="30">
        <v>8</v>
      </c>
      <c r="C116" s="30">
        <v>7</v>
      </c>
      <c r="D116" s="21">
        <v>0.6</v>
      </c>
      <c r="E116" s="23">
        <f t="shared" ref="E116:M116" si="181">(INDEX(F$7:F$22,$B116)*(1-$D116)+INDEX(F$7:F$22,$B116+1)*$D116)*F$4*$B$2</f>
        <v>0</v>
      </c>
      <c r="F116" s="23">
        <f t="shared" si="181"/>
        <v>0.42499999999999999</v>
      </c>
      <c r="G116" s="23">
        <f t="shared" si="181"/>
        <v>8.0000000000000016E-2</v>
      </c>
      <c r="H116" s="23">
        <f t="shared" si="181"/>
        <v>0</v>
      </c>
      <c r="I116" s="23">
        <f t="shared" si="181"/>
        <v>0</v>
      </c>
      <c r="J116" s="23">
        <f t="shared" si="181"/>
        <v>0.39500000000000002</v>
      </c>
      <c r="K116" s="23">
        <f t="shared" si="181"/>
        <v>0</v>
      </c>
      <c r="L116" s="23">
        <f t="shared" si="181"/>
        <v>0</v>
      </c>
      <c r="M116" s="23">
        <f t="shared" si="181"/>
        <v>0</v>
      </c>
      <c r="N116" s="39">
        <f t="shared" ref="N116:O116" si="182">INT((INDEX(O$7:O$22,$B116)*(1-$D116)+INDEX(O$7:O$22,$B116+1)*$D116)*O$4*$B$2)</f>
        <v>326</v>
      </c>
      <c r="O116" s="39">
        <f t="shared" si="182"/>
        <v>56</v>
      </c>
    </row>
    <row r="117" spans="1:15" ht="16.5" x14ac:dyDescent="0.2">
      <c r="A117" s="30">
        <v>83</v>
      </c>
      <c r="B117" s="30">
        <v>8</v>
      </c>
      <c r="C117" s="30">
        <v>8</v>
      </c>
      <c r="D117" s="21">
        <v>0.65</v>
      </c>
      <c r="E117" s="23">
        <f t="shared" ref="E117:M117" si="183">(INDEX(F$7:F$22,$B117)*(1-$D117)+INDEX(F$7:F$22,$B117+1)*$D117)*F$4*$B$2</f>
        <v>0</v>
      </c>
      <c r="F117" s="23">
        <f t="shared" si="183"/>
        <v>0.41875000000000001</v>
      </c>
      <c r="G117" s="23">
        <f t="shared" si="183"/>
        <v>8.2500000000000004E-2</v>
      </c>
      <c r="H117" s="23">
        <f t="shared" si="183"/>
        <v>0</v>
      </c>
      <c r="I117" s="23">
        <f t="shared" si="183"/>
        <v>0</v>
      </c>
      <c r="J117" s="23">
        <f t="shared" si="183"/>
        <v>0.39874999999999999</v>
      </c>
      <c r="K117" s="23">
        <f t="shared" si="183"/>
        <v>0</v>
      </c>
      <c r="L117" s="23">
        <f t="shared" si="183"/>
        <v>0</v>
      </c>
      <c r="M117" s="23">
        <f t="shared" si="183"/>
        <v>0</v>
      </c>
      <c r="N117" s="39">
        <f t="shared" ref="N117:O117" si="184">INT((INDEX(O$7:O$22,$B117)*(1-$D117)+INDEX(O$7:O$22,$B117+1)*$D117)*O$4*$B$2)</f>
        <v>330</v>
      </c>
      <c r="O117" s="39">
        <f t="shared" si="184"/>
        <v>56</v>
      </c>
    </row>
    <row r="118" spans="1:15" ht="16.5" x14ac:dyDescent="0.2">
      <c r="A118" s="30">
        <v>84</v>
      </c>
      <c r="B118" s="30">
        <v>8</v>
      </c>
      <c r="C118" s="30">
        <v>9</v>
      </c>
      <c r="D118" s="21">
        <v>0.7</v>
      </c>
      <c r="E118" s="23">
        <f t="shared" ref="E118:M118" si="185">(INDEX(F$7:F$22,$B118)*(1-$D118)+INDEX(F$7:F$22,$B118+1)*$D118)*F$4*$B$2</f>
        <v>0</v>
      </c>
      <c r="F118" s="23">
        <f t="shared" si="185"/>
        <v>0.41249999999999998</v>
      </c>
      <c r="G118" s="23">
        <f t="shared" si="185"/>
        <v>8.5000000000000006E-2</v>
      </c>
      <c r="H118" s="23">
        <f t="shared" si="185"/>
        <v>0</v>
      </c>
      <c r="I118" s="23">
        <f t="shared" si="185"/>
        <v>0</v>
      </c>
      <c r="J118" s="23">
        <f t="shared" si="185"/>
        <v>0.40249999999999997</v>
      </c>
      <c r="K118" s="23">
        <f t="shared" si="185"/>
        <v>0</v>
      </c>
      <c r="L118" s="23">
        <f t="shared" si="185"/>
        <v>0</v>
      </c>
      <c r="M118" s="23">
        <f t="shared" si="185"/>
        <v>0</v>
      </c>
      <c r="N118" s="39">
        <f t="shared" ref="N118:O118" si="186">INT((INDEX(O$7:O$22,$B118)*(1-$D118)+INDEX(O$7:O$22,$B118+1)*$D118)*O$4*$B$2)</f>
        <v>334</v>
      </c>
      <c r="O118" s="39">
        <f t="shared" si="186"/>
        <v>57</v>
      </c>
    </row>
    <row r="119" spans="1:15" ht="16.5" x14ac:dyDescent="0.2">
      <c r="A119" s="30">
        <v>85</v>
      </c>
      <c r="B119" s="30">
        <v>8</v>
      </c>
      <c r="C119" s="30">
        <v>10</v>
      </c>
      <c r="D119" s="21">
        <v>0.75</v>
      </c>
      <c r="E119" s="23">
        <f t="shared" ref="E119:M119" si="187">(INDEX(F$7:F$22,$B119)*(1-$D119)+INDEX(F$7:F$22,$B119+1)*$D119)*F$4*$B$2</f>
        <v>0</v>
      </c>
      <c r="F119" s="23">
        <f t="shared" si="187"/>
        <v>0.40625</v>
      </c>
      <c r="G119" s="23">
        <f t="shared" si="187"/>
        <v>8.7500000000000008E-2</v>
      </c>
      <c r="H119" s="23">
        <f t="shared" si="187"/>
        <v>0</v>
      </c>
      <c r="I119" s="23">
        <f t="shared" si="187"/>
        <v>0</v>
      </c>
      <c r="J119" s="23">
        <f t="shared" si="187"/>
        <v>0.40625</v>
      </c>
      <c r="K119" s="23">
        <f t="shared" si="187"/>
        <v>0</v>
      </c>
      <c r="L119" s="23">
        <f t="shared" si="187"/>
        <v>0</v>
      </c>
      <c r="M119" s="23">
        <f t="shared" si="187"/>
        <v>0</v>
      </c>
      <c r="N119" s="39">
        <f t="shared" ref="N119:O119" si="188">INT((INDEX(O$7:O$22,$B119)*(1-$D119)+INDEX(O$7:O$22,$B119+1)*$D119)*O$4*$B$2)</f>
        <v>338</v>
      </c>
      <c r="O119" s="39">
        <f t="shared" si="188"/>
        <v>57</v>
      </c>
    </row>
    <row r="120" spans="1:15" ht="16.5" x14ac:dyDescent="0.2">
      <c r="A120" s="30">
        <v>86</v>
      </c>
      <c r="B120" s="30">
        <v>8</v>
      </c>
      <c r="C120" s="30">
        <v>11</v>
      </c>
      <c r="D120" s="21">
        <v>0.8</v>
      </c>
      <c r="E120" s="23">
        <f t="shared" ref="E120:M120" si="189">(INDEX(F$7:F$22,$B120)*(1-$D120)+INDEX(F$7:F$22,$B120+1)*$D120)*F$4*$B$2</f>
        <v>0</v>
      </c>
      <c r="F120" s="23">
        <f t="shared" si="189"/>
        <v>0.4</v>
      </c>
      <c r="G120" s="23">
        <f t="shared" si="189"/>
        <v>9.0000000000000011E-2</v>
      </c>
      <c r="H120" s="23">
        <f t="shared" si="189"/>
        <v>0</v>
      </c>
      <c r="I120" s="23">
        <f t="shared" si="189"/>
        <v>0</v>
      </c>
      <c r="J120" s="23">
        <f t="shared" si="189"/>
        <v>0.41000000000000003</v>
      </c>
      <c r="K120" s="23">
        <f t="shared" si="189"/>
        <v>0</v>
      </c>
      <c r="L120" s="23">
        <f t="shared" si="189"/>
        <v>0</v>
      </c>
      <c r="M120" s="23">
        <f t="shared" si="189"/>
        <v>0</v>
      </c>
      <c r="N120" s="39">
        <f t="shared" ref="N120:O120" si="190">INT((INDEX(O$7:O$22,$B120)*(1-$D120)+INDEX(O$7:O$22,$B120+1)*$D120)*O$4*$B$2)</f>
        <v>343</v>
      </c>
      <c r="O120" s="39">
        <f t="shared" si="190"/>
        <v>58</v>
      </c>
    </row>
    <row r="121" spans="1:15" ht="16.5" x14ac:dyDescent="0.2">
      <c r="A121" s="30">
        <v>87</v>
      </c>
      <c r="B121" s="30">
        <v>8</v>
      </c>
      <c r="C121" s="30">
        <v>12</v>
      </c>
      <c r="D121" s="21">
        <v>0.85</v>
      </c>
      <c r="E121" s="23">
        <f t="shared" ref="E121:M121" si="191">(INDEX(F$7:F$22,$B121)*(1-$D121)+INDEX(F$7:F$22,$B121+1)*$D121)*F$4*$B$2</f>
        <v>0</v>
      </c>
      <c r="F121" s="23">
        <f t="shared" si="191"/>
        <v>0.39374999999999999</v>
      </c>
      <c r="G121" s="23">
        <f t="shared" si="191"/>
        <v>9.2500000000000013E-2</v>
      </c>
      <c r="H121" s="23">
        <f t="shared" si="191"/>
        <v>0</v>
      </c>
      <c r="I121" s="23">
        <f t="shared" si="191"/>
        <v>0</v>
      </c>
      <c r="J121" s="23">
        <f t="shared" si="191"/>
        <v>0.41374999999999995</v>
      </c>
      <c r="K121" s="23">
        <f t="shared" si="191"/>
        <v>0</v>
      </c>
      <c r="L121" s="23">
        <f t="shared" si="191"/>
        <v>0</v>
      </c>
      <c r="M121" s="23">
        <f t="shared" si="191"/>
        <v>0</v>
      </c>
      <c r="N121" s="39">
        <f t="shared" ref="N121:O121" si="192">INT((INDEX(O$7:O$22,$B121)*(1-$D121)+INDEX(O$7:O$22,$B121+1)*$D121)*O$4*$B$2)</f>
        <v>347</v>
      </c>
      <c r="O121" s="39">
        <f t="shared" si="192"/>
        <v>58</v>
      </c>
    </row>
    <row r="122" spans="1:15" ht="16.5" x14ac:dyDescent="0.2">
      <c r="A122" s="30">
        <v>88</v>
      </c>
      <c r="B122" s="30">
        <v>8</v>
      </c>
      <c r="C122" s="30">
        <v>13</v>
      </c>
      <c r="D122" s="21">
        <v>0.9</v>
      </c>
      <c r="E122" s="23">
        <f t="shared" ref="E122:M122" si="193">(INDEX(F$7:F$22,$B122)*(1-$D122)+INDEX(F$7:F$22,$B122+1)*$D122)*F$4*$B$2</f>
        <v>0</v>
      </c>
      <c r="F122" s="23">
        <f t="shared" si="193"/>
        <v>0.38750000000000001</v>
      </c>
      <c r="G122" s="23">
        <f t="shared" si="193"/>
        <v>9.5000000000000001E-2</v>
      </c>
      <c r="H122" s="23">
        <f t="shared" si="193"/>
        <v>0</v>
      </c>
      <c r="I122" s="23">
        <f t="shared" si="193"/>
        <v>0</v>
      </c>
      <c r="J122" s="23">
        <f t="shared" si="193"/>
        <v>0.41749999999999998</v>
      </c>
      <c r="K122" s="23">
        <f t="shared" si="193"/>
        <v>0</v>
      </c>
      <c r="L122" s="23">
        <f t="shared" si="193"/>
        <v>0</v>
      </c>
      <c r="M122" s="23">
        <f t="shared" si="193"/>
        <v>0</v>
      </c>
      <c r="N122" s="39">
        <f t="shared" ref="N122:O122" si="194">INT((INDEX(O$7:O$22,$B122)*(1-$D122)+INDEX(O$7:O$22,$B122+1)*$D122)*O$4*$B$2)</f>
        <v>351</v>
      </c>
      <c r="O122" s="39">
        <f t="shared" si="194"/>
        <v>59</v>
      </c>
    </row>
    <row r="123" spans="1:15" ht="16.5" x14ac:dyDescent="0.2">
      <c r="A123" s="30">
        <v>89</v>
      </c>
      <c r="B123" s="30">
        <v>8</v>
      </c>
      <c r="C123" s="30">
        <v>14</v>
      </c>
      <c r="D123" s="21">
        <v>0.95</v>
      </c>
      <c r="E123" s="23">
        <f t="shared" ref="E123:M123" si="195">(INDEX(F$7:F$22,$B123)*(1-$D123)+INDEX(F$7:F$22,$B123+1)*$D123)*F$4*$B$2</f>
        <v>0</v>
      </c>
      <c r="F123" s="23">
        <f t="shared" si="195"/>
        <v>0.38124999999999998</v>
      </c>
      <c r="G123" s="23">
        <f t="shared" si="195"/>
        <v>9.7500000000000003E-2</v>
      </c>
      <c r="H123" s="23">
        <f t="shared" si="195"/>
        <v>0</v>
      </c>
      <c r="I123" s="23">
        <f t="shared" si="195"/>
        <v>0</v>
      </c>
      <c r="J123" s="23">
        <f t="shared" si="195"/>
        <v>0.42125000000000001</v>
      </c>
      <c r="K123" s="23">
        <f t="shared" si="195"/>
        <v>0</v>
      </c>
      <c r="L123" s="23">
        <f t="shared" si="195"/>
        <v>0</v>
      </c>
      <c r="M123" s="23">
        <f t="shared" si="195"/>
        <v>0</v>
      </c>
      <c r="N123" s="39">
        <f t="shared" ref="N123:O123" si="196">INT((INDEX(O$7:O$22,$B123)*(1-$D123)+INDEX(O$7:O$22,$B123+1)*$D123)*O$4*$B$2)</f>
        <v>355</v>
      </c>
      <c r="O123" s="39">
        <f t="shared" si="196"/>
        <v>59</v>
      </c>
    </row>
    <row r="124" spans="1:15" ht="16.5" x14ac:dyDescent="0.2">
      <c r="A124" s="30">
        <v>90</v>
      </c>
      <c r="B124" s="30">
        <v>8</v>
      </c>
      <c r="C124" s="30">
        <v>15</v>
      </c>
      <c r="D124" s="21">
        <v>1</v>
      </c>
      <c r="E124" s="23">
        <f t="shared" ref="E124:M124" si="197">(INDEX(F$7:F$22,$B124)*(1-$D124)+INDEX(F$7:F$22,$B124+1)*$D124)*F$4*$B$2</f>
        <v>0</v>
      </c>
      <c r="F124" s="23">
        <f t="shared" si="197"/>
        <v>0.375</v>
      </c>
      <c r="G124" s="23">
        <f t="shared" si="197"/>
        <v>0.1</v>
      </c>
      <c r="H124" s="23">
        <f t="shared" si="197"/>
        <v>0</v>
      </c>
      <c r="I124" s="23">
        <f t="shared" si="197"/>
        <v>0</v>
      </c>
      <c r="J124" s="23">
        <f t="shared" si="197"/>
        <v>0.42499999999999999</v>
      </c>
      <c r="K124" s="23">
        <f t="shared" si="197"/>
        <v>0</v>
      </c>
      <c r="L124" s="23">
        <f t="shared" si="197"/>
        <v>0</v>
      </c>
      <c r="M124" s="23">
        <f t="shared" si="197"/>
        <v>0</v>
      </c>
      <c r="N124" s="39">
        <f t="shared" ref="N124:O124" si="198">INT((INDEX(O$7:O$22,$B124)*(1-$D124)+INDEX(O$7:O$22,$B124+1)*$D124)*O$4*$B$2)</f>
        <v>360</v>
      </c>
      <c r="O124" s="39">
        <f t="shared" si="198"/>
        <v>60</v>
      </c>
    </row>
    <row r="125" spans="1:15" ht="16.5" x14ac:dyDescent="0.2">
      <c r="A125" s="30">
        <v>91</v>
      </c>
      <c r="B125" s="30">
        <v>9</v>
      </c>
      <c r="C125" s="30">
        <v>1</v>
      </c>
      <c r="D125" s="21">
        <v>0.3</v>
      </c>
      <c r="E125" s="23">
        <f t="shared" ref="E125:M125" si="199">(INDEX(F$7:F$22,$B125)*(1-$D125)+INDEX(F$7:F$22,$B125+1)*$D125)*F$4*$B$2</f>
        <v>0</v>
      </c>
      <c r="F125" s="23">
        <f t="shared" si="199"/>
        <v>0.33749999999999997</v>
      </c>
      <c r="G125" s="23">
        <f t="shared" si="199"/>
        <v>0.11499999999999999</v>
      </c>
      <c r="H125" s="23">
        <f t="shared" si="199"/>
        <v>0</v>
      </c>
      <c r="I125" s="23">
        <f t="shared" si="199"/>
        <v>0</v>
      </c>
      <c r="J125" s="23">
        <f t="shared" si="199"/>
        <v>0.44750000000000001</v>
      </c>
      <c r="K125" s="23">
        <f t="shared" si="199"/>
        <v>1.4999999999999999E-2</v>
      </c>
      <c r="L125" s="23">
        <f t="shared" si="199"/>
        <v>0</v>
      </c>
      <c r="M125" s="23">
        <f t="shared" si="199"/>
        <v>0</v>
      </c>
      <c r="N125" s="39">
        <f t="shared" ref="N125:O125" si="200">INT((INDEX(O$7:O$22,$B125)*(1-$D125)+INDEX(O$7:O$22,$B125+1)*$D125)*O$4*$B$2)</f>
        <v>392</v>
      </c>
      <c r="O125" s="39">
        <f t="shared" si="200"/>
        <v>63</v>
      </c>
    </row>
    <row r="126" spans="1:15" ht="16.5" x14ac:dyDescent="0.2">
      <c r="A126" s="30">
        <v>92</v>
      </c>
      <c r="B126" s="30">
        <v>9</v>
      </c>
      <c r="C126" s="30">
        <v>2</v>
      </c>
      <c r="D126" s="21">
        <v>0.35</v>
      </c>
      <c r="E126" s="23">
        <f t="shared" ref="E126:M126" si="201">(INDEX(F$7:F$22,$B126)*(1-$D126)+INDEX(F$7:F$22,$B126+1)*$D126)*F$4*$B$2</f>
        <v>0</v>
      </c>
      <c r="F126" s="23">
        <f t="shared" si="201"/>
        <v>0.33125000000000004</v>
      </c>
      <c r="G126" s="23">
        <f t="shared" si="201"/>
        <v>0.11749999999999999</v>
      </c>
      <c r="H126" s="23">
        <f t="shared" si="201"/>
        <v>0</v>
      </c>
      <c r="I126" s="23">
        <f t="shared" si="201"/>
        <v>0</v>
      </c>
      <c r="J126" s="23">
        <f t="shared" si="201"/>
        <v>0.45124999999999998</v>
      </c>
      <c r="K126" s="23">
        <f t="shared" si="201"/>
        <v>1.7499999999999998E-2</v>
      </c>
      <c r="L126" s="23">
        <f t="shared" si="201"/>
        <v>0</v>
      </c>
      <c r="M126" s="23">
        <f t="shared" si="201"/>
        <v>0</v>
      </c>
      <c r="N126" s="39">
        <f t="shared" ref="N126:O126" si="202">INT((INDEX(O$7:O$22,$B126)*(1-$D126)+INDEX(O$7:O$22,$B126+1)*$D126)*O$4*$B$2)</f>
        <v>397</v>
      </c>
      <c r="O126" s="39">
        <f t="shared" si="202"/>
        <v>64</v>
      </c>
    </row>
    <row r="127" spans="1:15" ht="16.5" x14ac:dyDescent="0.2">
      <c r="A127" s="30">
        <v>93</v>
      </c>
      <c r="B127" s="30">
        <v>9</v>
      </c>
      <c r="C127" s="30">
        <v>3</v>
      </c>
      <c r="D127" s="21">
        <v>0.4</v>
      </c>
      <c r="E127" s="23">
        <f t="shared" ref="E127:M127" si="203">(INDEX(F$7:F$22,$B127)*(1-$D127)+INDEX(F$7:F$22,$B127+1)*$D127)*F$4*$B$2</f>
        <v>0</v>
      </c>
      <c r="F127" s="23">
        <f t="shared" si="203"/>
        <v>0.32499999999999996</v>
      </c>
      <c r="G127" s="23">
        <f t="shared" si="203"/>
        <v>0.12000000000000002</v>
      </c>
      <c r="H127" s="23">
        <f t="shared" si="203"/>
        <v>0</v>
      </c>
      <c r="I127" s="23">
        <f t="shared" si="203"/>
        <v>0</v>
      </c>
      <c r="J127" s="23">
        <f t="shared" si="203"/>
        <v>0.45500000000000002</v>
      </c>
      <c r="K127" s="23">
        <f t="shared" si="203"/>
        <v>2.0000000000000004E-2</v>
      </c>
      <c r="L127" s="23">
        <f t="shared" si="203"/>
        <v>0</v>
      </c>
      <c r="M127" s="23">
        <f t="shared" si="203"/>
        <v>0</v>
      </c>
      <c r="N127" s="39">
        <f t="shared" ref="N127:O127" si="204">INT((INDEX(O$7:O$22,$B127)*(1-$D127)+INDEX(O$7:O$22,$B127+1)*$D127)*O$4*$B$2)</f>
        <v>403</v>
      </c>
      <c r="O127" s="39">
        <f t="shared" si="204"/>
        <v>64</v>
      </c>
    </row>
    <row r="128" spans="1:15" ht="16.5" x14ac:dyDescent="0.2">
      <c r="A128" s="30">
        <v>94</v>
      </c>
      <c r="B128" s="30">
        <v>9</v>
      </c>
      <c r="C128" s="30">
        <v>4</v>
      </c>
      <c r="D128" s="21">
        <v>0.45</v>
      </c>
      <c r="E128" s="23">
        <f t="shared" ref="E128:M128" si="205">(INDEX(F$7:F$22,$B128)*(1-$D128)+INDEX(F$7:F$22,$B128+1)*$D128)*F$4*$B$2</f>
        <v>0</v>
      </c>
      <c r="F128" s="23">
        <f t="shared" si="205"/>
        <v>0.31875000000000003</v>
      </c>
      <c r="G128" s="23">
        <f t="shared" si="205"/>
        <v>0.12250000000000001</v>
      </c>
      <c r="H128" s="23">
        <f t="shared" si="205"/>
        <v>0</v>
      </c>
      <c r="I128" s="23">
        <f t="shared" si="205"/>
        <v>0</v>
      </c>
      <c r="J128" s="23">
        <f t="shared" si="205"/>
        <v>0.45874999999999999</v>
      </c>
      <c r="K128" s="23">
        <f t="shared" si="205"/>
        <v>2.2500000000000003E-2</v>
      </c>
      <c r="L128" s="23">
        <f t="shared" si="205"/>
        <v>0</v>
      </c>
      <c r="M128" s="23">
        <f t="shared" si="205"/>
        <v>0</v>
      </c>
      <c r="N128" s="39">
        <f t="shared" ref="N128:O128" si="206">INT((INDEX(O$7:O$22,$B128)*(1-$D128)+INDEX(O$7:O$22,$B128+1)*$D128)*O$4*$B$2)</f>
        <v>408</v>
      </c>
      <c r="O128" s="39">
        <f t="shared" si="206"/>
        <v>65</v>
      </c>
    </row>
    <row r="129" spans="1:15" ht="16.5" x14ac:dyDescent="0.2">
      <c r="A129" s="30">
        <v>95</v>
      </c>
      <c r="B129" s="30">
        <v>9</v>
      </c>
      <c r="C129" s="30">
        <v>5</v>
      </c>
      <c r="D129" s="21">
        <v>0.5</v>
      </c>
      <c r="E129" s="23">
        <f t="shared" ref="E129:M129" si="207">(INDEX(F$7:F$22,$B129)*(1-$D129)+INDEX(F$7:F$22,$B129+1)*$D129)*F$4*$B$2</f>
        <v>0</v>
      </c>
      <c r="F129" s="23">
        <f t="shared" si="207"/>
        <v>0.3125</v>
      </c>
      <c r="G129" s="23">
        <f t="shared" si="207"/>
        <v>0.125</v>
      </c>
      <c r="H129" s="23">
        <f t="shared" si="207"/>
        <v>0</v>
      </c>
      <c r="I129" s="23">
        <f t="shared" si="207"/>
        <v>0</v>
      </c>
      <c r="J129" s="23">
        <f t="shared" si="207"/>
        <v>0.46250000000000002</v>
      </c>
      <c r="K129" s="23">
        <f t="shared" si="207"/>
        <v>2.5000000000000001E-2</v>
      </c>
      <c r="L129" s="23">
        <f t="shared" si="207"/>
        <v>0</v>
      </c>
      <c r="M129" s="23">
        <f t="shared" si="207"/>
        <v>0</v>
      </c>
      <c r="N129" s="39">
        <f t="shared" ref="N129:O129" si="208">INT((INDEX(O$7:O$22,$B129)*(1-$D129)+INDEX(O$7:O$22,$B129+1)*$D129)*O$4*$B$2)</f>
        <v>414</v>
      </c>
      <c r="O129" s="39">
        <f t="shared" si="208"/>
        <v>66</v>
      </c>
    </row>
    <row r="130" spans="1:15" ht="16.5" x14ac:dyDescent="0.2">
      <c r="A130" s="30">
        <v>96</v>
      </c>
      <c r="B130" s="30">
        <v>9</v>
      </c>
      <c r="C130" s="30">
        <v>6</v>
      </c>
      <c r="D130" s="21">
        <v>0.55000000000000004</v>
      </c>
      <c r="E130" s="23">
        <f t="shared" ref="E130:M130" si="209">(INDEX(F$7:F$22,$B130)*(1-$D130)+INDEX(F$7:F$22,$B130+1)*$D130)*F$4*$B$2</f>
        <v>0</v>
      </c>
      <c r="F130" s="23">
        <f t="shared" si="209"/>
        <v>0.30625000000000002</v>
      </c>
      <c r="G130" s="23">
        <f t="shared" si="209"/>
        <v>0.1275</v>
      </c>
      <c r="H130" s="23">
        <f t="shared" si="209"/>
        <v>0</v>
      </c>
      <c r="I130" s="23">
        <f t="shared" si="209"/>
        <v>0</v>
      </c>
      <c r="J130" s="23">
        <f t="shared" si="209"/>
        <v>0.46625</v>
      </c>
      <c r="K130" s="23">
        <f t="shared" si="209"/>
        <v>2.7500000000000004E-2</v>
      </c>
      <c r="L130" s="23">
        <f t="shared" si="209"/>
        <v>0</v>
      </c>
      <c r="M130" s="23">
        <f t="shared" si="209"/>
        <v>0</v>
      </c>
      <c r="N130" s="39">
        <f t="shared" ref="N130:O130" si="210">INT((INDEX(O$7:O$22,$B130)*(1-$D130)+INDEX(O$7:O$22,$B130+1)*$D130)*O$4*$B$2)</f>
        <v>419</v>
      </c>
      <c r="O130" s="39">
        <f t="shared" si="210"/>
        <v>66</v>
      </c>
    </row>
    <row r="131" spans="1:15" ht="16.5" x14ac:dyDescent="0.2">
      <c r="A131" s="30">
        <v>97</v>
      </c>
      <c r="B131" s="30">
        <v>9</v>
      </c>
      <c r="C131" s="30">
        <v>7</v>
      </c>
      <c r="D131" s="21">
        <v>0.6</v>
      </c>
      <c r="E131" s="23">
        <f t="shared" ref="E131:M131" si="211">(INDEX(F$7:F$22,$B131)*(1-$D131)+INDEX(F$7:F$22,$B131+1)*$D131)*F$4*$B$2</f>
        <v>0</v>
      </c>
      <c r="F131" s="23">
        <f t="shared" si="211"/>
        <v>0.30000000000000004</v>
      </c>
      <c r="G131" s="23">
        <f t="shared" si="211"/>
        <v>0.12999999999999998</v>
      </c>
      <c r="H131" s="23">
        <f t="shared" si="211"/>
        <v>0</v>
      </c>
      <c r="I131" s="23">
        <f t="shared" si="211"/>
        <v>0</v>
      </c>
      <c r="J131" s="23">
        <f t="shared" si="211"/>
        <v>0.47</v>
      </c>
      <c r="K131" s="23">
        <f t="shared" si="211"/>
        <v>0.03</v>
      </c>
      <c r="L131" s="23">
        <f t="shared" si="211"/>
        <v>0</v>
      </c>
      <c r="M131" s="23">
        <f t="shared" si="211"/>
        <v>0</v>
      </c>
      <c r="N131" s="39">
        <f t="shared" ref="N131:O131" si="212">INT((INDEX(O$7:O$22,$B131)*(1-$D131)+INDEX(O$7:O$22,$B131+1)*$D131)*O$4*$B$2)</f>
        <v>424</v>
      </c>
      <c r="O131" s="39">
        <f t="shared" si="212"/>
        <v>67</v>
      </c>
    </row>
    <row r="132" spans="1:15" ht="16.5" x14ac:dyDescent="0.2">
      <c r="A132" s="30">
        <v>98</v>
      </c>
      <c r="B132" s="30">
        <v>9</v>
      </c>
      <c r="C132" s="30">
        <v>8</v>
      </c>
      <c r="D132" s="21">
        <v>0.65</v>
      </c>
      <c r="E132" s="23">
        <f t="shared" ref="E132:M132" si="213">(INDEX(F$7:F$22,$B132)*(1-$D132)+INDEX(F$7:F$22,$B132+1)*$D132)*F$4*$B$2</f>
        <v>0</v>
      </c>
      <c r="F132" s="23">
        <f t="shared" si="213"/>
        <v>0.29374999999999996</v>
      </c>
      <c r="G132" s="23">
        <f t="shared" si="213"/>
        <v>0.13250000000000003</v>
      </c>
      <c r="H132" s="23">
        <f t="shared" si="213"/>
        <v>0</v>
      </c>
      <c r="I132" s="23">
        <f t="shared" si="213"/>
        <v>0</v>
      </c>
      <c r="J132" s="23">
        <f t="shared" si="213"/>
        <v>0.47375</v>
      </c>
      <c r="K132" s="23">
        <f t="shared" si="213"/>
        <v>3.2500000000000001E-2</v>
      </c>
      <c r="L132" s="23">
        <f t="shared" si="213"/>
        <v>0</v>
      </c>
      <c r="M132" s="23">
        <f t="shared" si="213"/>
        <v>0</v>
      </c>
      <c r="N132" s="39">
        <f t="shared" ref="N132:O132" si="214">INT((INDEX(O$7:O$22,$B132)*(1-$D132)+INDEX(O$7:O$22,$B132+1)*$D132)*O$4*$B$2)</f>
        <v>430</v>
      </c>
      <c r="O132" s="39">
        <f t="shared" si="214"/>
        <v>67</v>
      </c>
    </row>
    <row r="133" spans="1:15" ht="16.5" x14ac:dyDescent="0.2">
      <c r="A133" s="30">
        <v>99</v>
      </c>
      <c r="B133" s="30">
        <v>9</v>
      </c>
      <c r="C133" s="30">
        <v>9</v>
      </c>
      <c r="D133" s="21">
        <v>0.7</v>
      </c>
      <c r="E133" s="23">
        <f t="shared" ref="E133:M133" si="215">(INDEX(F$7:F$22,$B133)*(1-$D133)+INDEX(F$7:F$22,$B133+1)*$D133)*F$4*$B$2</f>
        <v>0</v>
      </c>
      <c r="F133" s="23">
        <f t="shared" si="215"/>
        <v>0.28749999999999998</v>
      </c>
      <c r="G133" s="23">
        <f t="shared" si="215"/>
        <v>0.13499999999999998</v>
      </c>
      <c r="H133" s="23">
        <f t="shared" si="215"/>
        <v>0</v>
      </c>
      <c r="I133" s="23">
        <f t="shared" si="215"/>
        <v>0</v>
      </c>
      <c r="J133" s="23">
        <f t="shared" si="215"/>
        <v>0.47749999999999998</v>
      </c>
      <c r="K133" s="23">
        <f t="shared" si="215"/>
        <v>3.4999999999999996E-2</v>
      </c>
      <c r="L133" s="23">
        <f t="shared" si="215"/>
        <v>0</v>
      </c>
      <c r="M133" s="23">
        <f t="shared" si="215"/>
        <v>0</v>
      </c>
      <c r="N133" s="39">
        <f t="shared" ref="N133:O133" si="216">INT((INDEX(O$7:O$22,$B133)*(1-$D133)+INDEX(O$7:O$22,$B133+1)*$D133)*O$4*$B$2)</f>
        <v>435</v>
      </c>
      <c r="O133" s="39">
        <f t="shared" si="216"/>
        <v>68</v>
      </c>
    </row>
    <row r="134" spans="1:15" ht="16.5" x14ac:dyDescent="0.2">
      <c r="A134" s="30">
        <v>100</v>
      </c>
      <c r="B134" s="30">
        <v>9</v>
      </c>
      <c r="C134" s="30">
        <v>10</v>
      </c>
      <c r="D134" s="21">
        <v>0.75</v>
      </c>
      <c r="E134" s="23">
        <f t="shared" ref="E134:M134" si="217">(INDEX(F$7:F$22,$B134)*(1-$D134)+INDEX(F$7:F$22,$B134+1)*$D134)*F$4*$B$2</f>
        <v>0</v>
      </c>
      <c r="F134" s="23">
        <f t="shared" si="217"/>
        <v>0.28125</v>
      </c>
      <c r="G134" s="23">
        <f t="shared" si="217"/>
        <v>0.13750000000000001</v>
      </c>
      <c r="H134" s="23">
        <f t="shared" si="217"/>
        <v>0</v>
      </c>
      <c r="I134" s="23">
        <f t="shared" si="217"/>
        <v>0</v>
      </c>
      <c r="J134" s="23">
        <f t="shared" si="217"/>
        <v>0.48125000000000001</v>
      </c>
      <c r="K134" s="23">
        <f t="shared" si="217"/>
        <v>3.7500000000000006E-2</v>
      </c>
      <c r="L134" s="23">
        <f t="shared" si="217"/>
        <v>0</v>
      </c>
      <c r="M134" s="23">
        <f t="shared" si="217"/>
        <v>0</v>
      </c>
      <c r="N134" s="39">
        <f t="shared" ref="N134:O134" si="218">INT((INDEX(O$7:O$22,$B134)*(1-$D134)+INDEX(O$7:O$22,$B134+1)*$D134)*O$4*$B$2)</f>
        <v>441</v>
      </c>
      <c r="O134" s="39">
        <f t="shared" si="218"/>
        <v>69</v>
      </c>
    </row>
    <row r="135" spans="1:15" ht="16.5" x14ac:dyDescent="0.2">
      <c r="A135" s="30">
        <v>101</v>
      </c>
      <c r="B135" s="30">
        <v>9</v>
      </c>
      <c r="C135" s="30">
        <v>11</v>
      </c>
      <c r="D135" s="21">
        <v>0.8</v>
      </c>
      <c r="E135" s="23">
        <f t="shared" ref="E135:M135" si="219">(INDEX(F$7:F$22,$B135)*(1-$D135)+INDEX(F$7:F$22,$B135+1)*$D135)*F$4*$B$2</f>
        <v>0</v>
      </c>
      <c r="F135" s="23">
        <f t="shared" si="219"/>
        <v>0.27500000000000002</v>
      </c>
      <c r="G135" s="23">
        <f t="shared" si="219"/>
        <v>0.14000000000000001</v>
      </c>
      <c r="H135" s="23">
        <f t="shared" si="219"/>
        <v>0</v>
      </c>
      <c r="I135" s="23">
        <f t="shared" si="219"/>
        <v>0</v>
      </c>
      <c r="J135" s="23">
        <f t="shared" si="219"/>
        <v>0.48499999999999999</v>
      </c>
      <c r="K135" s="23">
        <f t="shared" si="219"/>
        <v>4.0000000000000008E-2</v>
      </c>
      <c r="L135" s="23">
        <f t="shared" si="219"/>
        <v>0</v>
      </c>
      <c r="M135" s="23">
        <f t="shared" si="219"/>
        <v>0</v>
      </c>
      <c r="N135" s="39">
        <f t="shared" ref="N135:O135" si="220">INT((INDEX(O$7:O$22,$B135)*(1-$D135)+INDEX(O$7:O$22,$B135+1)*$D135)*O$4*$B$2)</f>
        <v>446</v>
      </c>
      <c r="O135" s="39">
        <f t="shared" si="220"/>
        <v>69</v>
      </c>
    </row>
    <row r="136" spans="1:15" ht="16.5" x14ac:dyDescent="0.2">
      <c r="A136" s="30">
        <v>102</v>
      </c>
      <c r="B136" s="30">
        <v>9</v>
      </c>
      <c r="C136" s="30">
        <v>12</v>
      </c>
      <c r="D136" s="21">
        <v>0.85</v>
      </c>
      <c r="E136" s="23">
        <f t="shared" ref="E136:M136" si="221">(INDEX(F$7:F$22,$B136)*(1-$D136)+INDEX(F$7:F$22,$B136+1)*$D136)*F$4*$B$2</f>
        <v>0</v>
      </c>
      <c r="F136" s="23">
        <f t="shared" si="221"/>
        <v>0.26874999999999999</v>
      </c>
      <c r="G136" s="23">
        <f t="shared" si="221"/>
        <v>0.14249999999999999</v>
      </c>
      <c r="H136" s="23">
        <f t="shared" si="221"/>
        <v>0</v>
      </c>
      <c r="I136" s="23">
        <f t="shared" si="221"/>
        <v>0</v>
      </c>
      <c r="J136" s="23">
        <f t="shared" si="221"/>
        <v>0.48875000000000002</v>
      </c>
      <c r="K136" s="23">
        <f t="shared" si="221"/>
        <v>4.2500000000000003E-2</v>
      </c>
      <c r="L136" s="23">
        <f t="shared" si="221"/>
        <v>0</v>
      </c>
      <c r="M136" s="23">
        <f t="shared" si="221"/>
        <v>0</v>
      </c>
      <c r="N136" s="39">
        <f t="shared" ref="N136:O136" si="222">INT((INDEX(O$7:O$22,$B136)*(1-$D136)+INDEX(O$7:O$22,$B136+1)*$D136)*O$4*$B$2)</f>
        <v>451</v>
      </c>
      <c r="O136" s="39">
        <f t="shared" si="222"/>
        <v>70</v>
      </c>
    </row>
    <row r="137" spans="1:15" ht="16.5" x14ac:dyDescent="0.2">
      <c r="A137" s="30">
        <v>103</v>
      </c>
      <c r="B137" s="30">
        <v>9</v>
      </c>
      <c r="C137" s="30">
        <v>13</v>
      </c>
      <c r="D137" s="21">
        <v>0.9</v>
      </c>
      <c r="E137" s="23">
        <f t="shared" ref="E137:M137" si="223">(INDEX(F$7:F$22,$B137)*(1-$D137)+INDEX(F$7:F$22,$B137+1)*$D137)*F$4*$B$2</f>
        <v>0</v>
      </c>
      <c r="F137" s="23">
        <f t="shared" si="223"/>
        <v>0.26250000000000001</v>
      </c>
      <c r="G137" s="23">
        <f t="shared" si="223"/>
        <v>0.14500000000000002</v>
      </c>
      <c r="H137" s="23">
        <f t="shared" si="223"/>
        <v>0</v>
      </c>
      <c r="I137" s="23">
        <f t="shared" si="223"/>
        <v>0</v>
      </c>
      <c r="J137" s="23">
        <f t="shared" si="223"/>
        <v>0.49249999999999999</v>
      </c>
      <c r="K137" s="23">
        <f t="shared" si="223"/>
        <v>4.5000000000000005E-2</v>
      </c>
      <c r="L137" s="23">
        <f t="shared" si="223"/>
        <v>0</v>
      </c>
      <c r="M137" s="23">
        <f t="shared" si="223"/>
        <v>0</v>
      </c>
      <c r="N137" s="39">
        <f t="shared" ref="N137:O137" si="224">INT((INDEX(O$7:O$22,$B137)*(1-$D137)+INDEX(O$7:O$22,$B137+1)*$D137)*O$4*$B$2)</f>
        <v>457</v>
      </c>
      <c r="O137" s="39">
        <f t="shared" si="224"/>
        <v>70</v>
      </c>
    </row>
    <row r="138" spans="1:15" ht="16.5" x14ac:dyDescent="0.2">
      <c r="A138" s="30">
        <v>104</v>
      </c>
      <c r="B138" s="30">
        <v>9</v>
      </c>
      <c r="C138" s="30">
        <v>14</v>
      </c>
      <c r="D138" s="21">
        <v>0.95</v>
      </c>
      <c r="E138" s="23">
        <f t="shared" ref="E138:M138" si="225">(INDEX(F$7:F$22,$B138)*(1-$D138)+INDEX(F$7:F$22,$B138+1)*$D138)*F$4*$B$2</f>
        <v>0</v>
      </c>
      <c r="F138" s="23">
        <f t="shared" si="225"/>
        <v>0.25624999999999998</v>
      </c>
      <c r="G138" s="23">
        <f t="shared" si="225"/>
        <v>0.14749999999999999</v>
      </c>
      <c r="H138" s="23">
        <f t="shared" si="225"/>
        <v>0</v>
      </c>
      <c r="I138" s="23">
        <f t="shared" si="225"/>
        <v>0</v>
      </c>
      <c r="J138" s="23">
        <f t="shared" si="225"/>
        <v>0.49624999999999997</v>
      </c>
      <c r="K138" s="23">
        <f t="shared" si="225"/>
        <v>4.7500000000000001E-2</v>
      </c>
      <c r="L138" s="23">
        <f t="shared" si="225"/>
        <v>0</v>
      </c>
      <c r="M138" s="23">
        <f t="shared" si="225"/>
        <v>0</v>
      </c>
      <c r="N138" s="39">
        <f t="shared" ref="N138:O138" si="226">INT((INDEX(O$7:O$22,$B138)*(1-$D138)+INDEX(O$7:O$22,$B138+1)*$D138)*O$4*$B$2)</f>
        <v>462</v>
      </c>
      <c r="O138" s="39">
        <f t="shared" si="226"/>
        <v>71</v>
      </c>
    </row>
    <row r="139" spans="1:15" ht="16.5" x14ac:dyDescent="0.2">
      <c r="A139" s="30">
        <v>105</v>
      </c>
      <c r="B139" s="30">
        <v>9</v>
      </c>
      <c r="C139" s="30">
        <v>15</v>
      </c>
      <c r="D139" s="21">
        <v>1</v>
      </c>
      <c r="E139" s="23">
        <f t="shared" ref="E139:M139" si="227">(INDEX(F$7:F$22,$B139)*(1-$D139)+INDEX(F$7:F$22,$B139+1)*$D139)*F$4*$B$2</f>
        <v>0</v>
      </c>
      <c r="F139" s="23">
        <f t="shared" si="227"/>
        <v>0.25</v>
      </c>
      <c r="G139" s="23">
        <f t="shared" si="227"/>
        <v>0.15000000000000002</v>
      </c>
      <c r="H139" s="23">
        <f t="shared" si="227"/>
        <v>0</v>
      </c>
      <c r="I139" s="23">
        <f t="shared" si="227"/>
        <v>0</v>
      </c>
      <c r="J139" s="23">
        <f t="shared" si="227"/>
        <v>0.5</v>
      </c>
      <c r="K139" s="23">
        <f t="shared" si="227"/>
        <v>0.05</v>
      </c>
      <c r="L139" s="23">
        <f t="shared" si="227"/>
        <v>0</v>
      </c>
      <c r="M139" s="23">
        <f t="shared" si="227"/>
        <v>0</v>
      </c>
      <c r="N139" s="39">
        <f t="shared" ref="N139:O139" si="228">INT((INDEX(O$7:O$22,$B139)*(1-$D139)+INDEX(O$7:O$22,$B139+1)*$D139)*O$4*$B$2)</f>
        <v>468</v>
      </c>
      <c r="O139" s="39">
        <f t="shared" si="228"/>
        <v>72</v>
      </c>
    </row>
    <row r="140" spans="1:15" ht="16.5" x14ac:dyDescent="0.2">
      <c r="A140" s="30">
        <v>106</v>
      </c>
      <c r="B140" s="30">
        <v>10</v>
      </c>
      <c r="C140" s="30">
        <v>1</v>
      </c>
      <c r="D140" s="21">
        <v>0.3</v>
      </c>
      <c r="E140" s="23">
        <f t="shared" ref="E140:M140" si="229">(INDEX(F$7:F$22,$B140)*(1-$D140)+INDEX(F$7:F$22,$B140+1)*$D140)*F$4*$B$2</f>
        <v>0</v>
      </c>
      <c r="F140" s="23">
        <f t="shared" si="229"/>
        <v>0.17499999999999999</v>
      </c>
      <c r="G140" s="23">
        <f t="shared" si="229"/>
        <v>0.16500000000000001</v>
      </c>
      <c r="H140" s="23">
        <f t="shared" si="229"/>
        <v>7.4999999999999997E-3</v>
      </c>
      <c r="I140" s="23">
        <f t="shared" si="229"/>
        <v>0</v>
      </c>
      <c r="J140" s="23">
        <f t="shared" si="229"/>
        <v>0.46249999999999997</v>
      </c>
      <c r="K140" s="23">
        <f t="shared" si="229"/>
        <v>6.4999999999999988E-2</v>
      </c>
      <c r="L140" s="23">
        <f t="shared" si="229"/>
        <v>0</v>
      </c>
      <c r="M140" s="23">
        <f t="shared" si="229"/>
        <v>0</v>
      </c>
      <c r="N140" s="39">
        <f t="shared" ref="N140:O140" si="230">INT((INDEX(O$7:O$22,$B140)*(1-$D140)+INDEX(O$7:O$22,$B140+1)*$D140)*O$4*$B$2)</f>
        <v>512</v>
      </c>
      <c r="O140" s="39">
        <f t="shared" si="230"/>
        <v>77</v>
      </c>
    </row>
    <row r="141" spans="1:15" ht="16.5" x14ac:dyDescent="0.2">
      <c r="A141" s="30">
        <v>107</v>
      </c>
      <c r="B141" s="30">
        <v>10</v>
      </c>
      <c r="C141" s="30">
        <v>2</v>
      </c>
      <c r="D141" s="21">
        <v>0.35</v>
      </c>
      <c r="E141" s="23">
        <f t="shared" ref="E141:M141" si="231">(INDEX(F$7:F$22,$B141)*(1-$D141)+INDEX(F$7:F$22,$B141+1)*$D141)*F$4*$B$2</f>
        <v>0</v>
      </c>
      <c r="F141" s="23">
        <f t="shared" si="231"/>
        <v>0.16250000000000001</v>
      </c>
      <c r="G141" s="23">
        <f t="shared" si="231"/>
        <v>0.16750000000000001</v>
      </c>
      <c r="H141" s="23">
        <f t="shared" si="231"/>
        <v>8.7499999999999991E-3</v>
      </c>
      <c r="I141" s="23">
        <f t="shared" si="231"/>
        <v>0</v>
      </c>
      <c r="J141" s="23">
        <f t="shared" si="231"/>
        <v>0.45624999999999999</v>
      </c>
      <c r="K141" s="23">
        <f t="shared" si="231"/>
        <v>6.7500000000000004E-2</v>
      </c>
      <c r="L141" s="23">
        <f t="shared" si="231"/>
        <v>0</v>
      </c>
      <c r="M141" s="23">
        <f t="shared" si="231"/>
        <v>0</v>
      </c>
      <c r="N141" s="39">
        <f t="shared" ref="N141:O141" si="232">INT((INDEX(O$7:O$22,$B141)*(1-$D141)+INDEX(O$7:O$22,$B141+1)*$D141)*O$4*$B$2)</f>
        <v>519</v>
      </c>
      <c r="O141" s="39">
        <f t="shared" si="232"/>
        <v>78</v>
      </c>
    </row>
    <row r="142" spans="1:15" ht="16.5" x14ac:dyDescent="0.2">
      <c r="A142" s="30">
        <v>108</v>
      </c>
      <c r="B142" s="30">
        <v>10</v>
      </c>
      <c r="C142" s="30">
        <v>3</v>
      </c>
      <c r="D142" s="21">
        <v>0.4</v>
      </c>
      <c r="E142" s="23">
        <f t="shared" ref="E142:M142" si="233">(INDEX(F$7:F$22,$B142)*(1-$D142)+INDEX(F$7:F$22,$B142+1)*$D142)*F$4*$B$2</f>
        <v>0</v>
      </c>
      <c r="F142" s="23">
        <f t="shared" si="233"/>
        <v>0.15</v>
      </c>
      <c r="G142" s="23">
        <f t="shared" si="233"/>
        <v>0.17</v>
      </c>
      <c r="H142" s="23">
        <f t="shared" si="233"/>
        <v>1.0000000000000002E-2</v>
      </c>
      <c r="I142" s="23">
        <f t="shared" si="233"/>
        <v>0</v>
      </c>
      <c r="J142" s="23">
        <f t="shared" si="233"/>
        <v>0.45</v>
      </c>
      <c r="K142" s="23">
        <f t="shared" si="233"/>
        <v>6.9999999999999993E-2</v>
      </c>
      <c r="L142" s="23">
        <f t="shared" si="233"/>
        <v>0</v>
      </c>
      <c r="M142" s="23">
        <f t="shared" si="233"/>
        <v>0</v>
      </c>
      <c r="N142" s="39">
        <f t="shared" ref="N142:O142" si="234">INT((INDEX(O$7:O$22,$B142)*(1-$D142)+INDEX(O$7:O$22,$B142+1)*$D142)*O$4*$B$2)</f>
        <v>527</v>
      </c>
      <c r="O142" s="39">
        <f t="shared" si="234"/>
        <v>79</v>
      </c>
    </row>
    <row r="143" spans="1:15" ht="16.5" x14ac:dyDescent="0.2">
      <c r="A143" s="30">
        <v>109</v>
      </c>
      <c r="B143" s="30">
        <v>10</v>
      </c>
      <c r="C143" s="30">
        <v>4</v>
      </c>
      <c r="D143" s="21">
        <v>0.45</v>
      </c>
      <c r="E143" s="23">
        <f t="shared" ref="E143:M143" si="235">(INDEX(F$7:F$22,$B143)*(1-$D143)+INDEX(F$7:F$22,$B143+1)*$D143)*F$4*$B$2</f>
        <v>0</v>
      </c>
      <c r="F143" s="23">
        <f t="shared" si="235"/>
        <v>0.13750000000000001</v>
      </c>
      <c r="G143" s="23">
        <f t="shared" si="235"/>
        <v>0.17250000000000001</v>
      </c>
      <c r="H143" s="23">
        <f t="shared" si="235"/>
        <v>1.1250000000000001E-2</v>
      </c>
      <c r="I143" s="23">
        <f t="shared" si="235"/>
        <v>0</v>
      </c>
      <c r="J143" s="23">
        <f t="shared" si="235"/>
        <v>0.44375000000000003</v>
      </c>
      <c r="K143" s="23">
        <f t="shared" si="235"/>
        <v>7.2500000000000009E-2</v>
      </c>
      <c r="L143" s="23">
        <f t="shared" si="235"/>
        <v>0</v>
      </c>
      <c r="M143" s="23">
        <f t="shared" si="235"/>
        <v>0</v>
      </c>
      <c r="N143" s="39">
        <f t="shared" ref="N143:O143" si="236">INT((INDEX(O$7:O$22,$B143)*(1-$D143)+INDEX(O$7:O$22,$B143+1)*$D143)*O$4*$B$2)</f>
        <v>534</v>
      </c>
      <c r="O143" s="39">
        <f t="shared" si="236"/>
        <v>80</v>
      </c>
    </row>
    <row r="144" spans="1:15" ht="16.5" x14ac:dyDescent="0.2">
      <c r="A144" s="30">
        <v>110</v>
      </c>
      <c r="B144" s="30">
        <v>10</v>
      </c>
      <c r="C144" s="30">
        <v>5</v>
      </c>
      <c r="D144" s="21">
        <v>0.5</v>
      </c>
      <c r="E144" s="23">
        <f t="shared" ref="E144:M144" si="237">(INDEX(F$7:F$22,$B144)*(1-$D144)+INDEX(F$7:F$22,$B144+1)*$D144)*F$4*$B$2</f>
        <v>0</v>
      </c>
      <c r="F144" s="23">
        <f t="shared" si="237"/>
        <v>0.125</v>
      </c>
      <c r="G144" s="23">
        <f t="shared" si="237"/>
        <v>0.17500000000000002</v>
      </c>
      <c r="H144" s="23">
        <f t="shared" si="237"/>
        <v>1.2500000000000001E-2</v>
      </c>
      <c r="I144" s="23">
        <f t="shared" si="237"/>
        <v>0</v>
      </c>
      <c r="J144" s="23">
        <f t="shared" si="237"/>
        <v>0.4375</v>
      </c>
      <c r="K144" s="23">
        <f t="shared" si="237"/>
        <v>7.5000000000000011E-2</v>
      </c>
      <c r="L144" s="23">
        <f t="shared" si="237"/>
        <v>0</v>
      </c>
      <c r="M144" s="23">
        <f t="shared" si="237"/>
        <v>0</v>
      </c>
      <c r="N144" s="39">
        <f t="shared" ref="N144:O144" si="238">INT((INDEX(O$7:O$22,$B144)*(1-$D144)+INDEX(O$7:O$22,$B144+1)*$D144)*O$4*$B$2)</f>
        <v>542</v>
      </c>
      <c r="O144" s="39">
        <f t="shared" si="238"/>
        <v>81</v>
      </c>
    </row>
    <row r="145" spans="1:15" ht="16.5" x14ac:dyDescent="0.2">
      <c r="A145" s="30">
        <v>111</v>
      </c>
      <c r="B145" s="30">
        <v>10</v>
      </c>
      <c r="C145" s="30">
        <v>6</v>
      </c>
      <c r="D145" s="21">
        <v>0.55000000000000004</v>
      </c>
      <c r="E145" s="23">
        <f t="shared" ref="E145:M145" si="239">(INDEX(F$7:F$22,$B145)*(1-$D145)+INDEX(F$7:F$22,$B145+1)*$D145)*F$4*$B$2</f>
        <v>0</v>
      </c>
      <c r="F145" s="23">
        <f t="shared" si="239"/>
        <v>0.11249999999999999</v>
      </c>
      <c r="G145" s="23">
        <f t="shared" si="239"/>
        <v>0.17749999999999999</v>
      </c>
      <c r="H145" s="23">
        <f t="shared" si="239"/>
        <v>1.3750000000000002E-2</v>
      </c>
      <c r="I145" s="23">
        <f t="shared" si="239"/>
        <v>0</v>
      </c>
      <c r="J145" s="23">
        <f t="shared" si="239"/>
        <v>0.43125000000000002</v>
      </c>
      <c r="K145" s="23">
        <f t="shared" si="239"/>
        <v>7.7500000000000013E-2</v>
      </c>
      <c r="L145" s="23">
        <f t="shared" si="239"/>
        <v>0</v>
      </c>
      <c r="M145" s="23">
        <f t="shared" si="239"/>
        <v>0</v>
      </c>
      <c r="N145" s="39">
        <f t="shared" ref="N145:O145" si="240">INT((INDEX(O$7:O$22,$B145)*(1-$D145)+INDEX(O$7:O$22,$B145+1)*$D145)*O$4*$B$2)</f>
        <v>549</v>
      </c>
      <c r="O145" s="39">
        <f t="shared" si="240"/>
        <v>81</v>
      </c>
    </row>
    <row r="146" spans="1:15" ht="16.5" x14ac:dyDescent="0.2">
      <c r="A146" s="30">
        <v>112</v>
      </c>
      <c r="B146" s="30">
        <v>10</v>
      </c>
      <c r="C146" s="30">
        <v>7</v>
      </c>
      <c r="D146" s="21">
        <v>0.6</v>
      </c>
      <c r="E146" s="23">
        <f t="shared" ref="E146:M146" si="241">(INDEX(F$7:F$22,$B146)*(1-$D146)+INDEX(F$7:F$22,$B146+1)*$D146)*F$4*$B$2</f>
        <v>0</v>
      </c>
      <c r="F146" s="23">
        <f t="shared" si="241"/>
        <v>0.1</v>
      </c>
      <c r="G146" s="23">
        <f t="shared" si="241"/>
        <v>0.18000000000000002</v>
      </c>
      <c r="H146" s="23">
        <f t="shared" si="241"/>
        <v>1.4999999999999999E-2</v>
      </c>
      <c r="I146" s="23">
        <f t="shared" si="241"/>
        <v>0</v>
      </c>
      <c r="J146" s="23">
        <f t="shared" si="241"/>
        <v>0.42499999999999999</v>
      </c>
      <c r="K146" s="23">
        <f t="shared" si="241"/>
        <v>8.0000000000000016E-2</v>
      </c>
      <c r="L146" s="23">
        <f t="shared" si="241"/>
        <v>0</v>
      </c>
      <c r="M146" s="23">
        <f t="shared" si="241"/>
        <v>0</v>
      </c>
      <c r="N146" s="39">
        <f t="shared" ref="N146:O146" si="242">INT((INDEX(O$7:O$22,$B146)*(1-$D146)+INDEX(O$7:O$22,$B146+1)*$D146)*O$4*$B$2)</f>
        <v>556</v>
      </c>
      <c r="O146" s="39">
        <f t="shared" si="242"/>
        <v>82</v>
      </c>
    </row>
    <row r="147" spans="1:15" ht="16.5" x14ac:dyDescent="0.2">
      <c r="A147" s="30">
        <v>113</v>
      </c>
      <c r="B147" s="30">
        <v>10</v>
      </c>
      <c r="C147" s="30">
        <v>8</v>
      </c>
      <c r="D147" s="21">
        <v>0.65</v>
      </c>
      <c r="E147" s="23">
        <f t="shared" ref="E147:M147" si="243">(INDEX(F$7:F$22,$B147)*(1-$D147)+INDEX(F$7:F$22,$B147+1)*$D147)*F$4*$B$2</f>
        <v>0</v>
      </c>
      <c r="F147" s="23">
        <f t="shared" si="243"/>
        <v>8.7499999999999994E-2</v>
      </c>
      <c r="G147" s="23">
        <f t="shared" si="243"/>
        <v>0.1825</v>
      </c>
      <c r="H147" s="23">
        <f t="shared" si="243"/>
        <v>1.6250000000000001E-2</v>
      </c>
      <c r="I147" s="23">
        <f t="shared" si="243"/>
        <v>0</v>
      </c>
      <c r="J147" s="23">
        <f t="shared" si="243"/>
        <v>0.41875000000000001</v>
      </c>
      <c r="K147" s="23">
        <f t="shared" si="243"/>
        <v>8.2500000000000004E-2</v>
      </c>
      <c r="L147" s="23">
        <f t="shared" si="243"/>
        <v>0</v>
      </c>
      <c r="M147" s="23">
        <f t="shared" si="243"/>
        <v>0</v>
      </c>
      <c r="N147" s="39">
        <f t="shared" ref="N147:O147" si="244">INT((INDEX(O$7:O$22,$B147)*(1-$D147)+INDEX(O$7:O$22,$B147+1)*$D147)*O$4*$B$2)</f>
        <v>564</v>
      </c>
      <c r="O147" s="39">
        <f t="shared" si="244"/>
        <v>83</v>
      </c>
    </row>
    <row r="148" spans="1:15" ht="16.5" x14ac:dyDescent="0.2">
      <c r="A148" s="30">
        <v>114</v>
      </c>
      <c r="B148" s="30">
        <v>10</v>
      </c>
      <c r="C148" s="30">
        <v>9</v>
      </c>
      <c r="D148" s="21">
        <v>0.7</v>
      </c>
      <c r="E148" s="23">
        <f t="shared" ref="E148:M148" si="245">(INDEX(F$7:F$22,$B148)*(1-$D148)+INDEX(F$7:F$22,$B148+1)*$D148)*F$4*$B$2</f>
        <v>0</v>
      </c>
      <c r="F148" s="23">
        <f t="shared" si="245"/>
        <v>7.5000000000000011E-2</v>
      </c>
      <c r="G148" s="23">
        <f t="shared" si="245"/>
        <v>0.18500000000000003</v>
      </c>
      <c r="H148" s="23">
        <f t="shared" si="245"/>
        <v>1.7499999999999998E-2</v>
      </c>
      <c r="I148" s="23">
        <f t="shared" si="245"/>
        <v>0</v>
      </c>
      <c r="J148" s="23">
        <f t="shared" si="245"/>
        <v>0.41249999999999998</v>
      </c>
      <c r="K148" s="23">
        <f t="shared" si="245"/>
        <v>8.5000000000000006E-2</v>
      </c>
      <c r="L148" s="23">
        <f t="shared" si="245"/>
        <v>0</v>
      </c>
      <c r="M148" s="23">
        <f t="shared" si="245"/>
        <v>0</v>
      </c>
      <c r="N148" s="39">
        <f t="shared" ref="N148:O148" si="246">INT((INDEX(O$7:O$22,$B148)*(1-$D148)+INDEX(O$7:O$22,$B148+1)*$D148)*O$4*$B$2)</f>
        <v>571</v>
      </c>
      <c r="O148" s="39">
        <f t="shared" si="246"/>
        <v>84</v>
      </c>
    </row>
    <row r="149" spans="1:15" ht="16.5" x14ac:dyDescent="0.2">
      <c r="A149" s="30">
        <v>115</v>
      </c>
      <c r="B149" s="30">
        <v>10</v>
      </c>
      <c r="C149" s="30">
        <v>10</v>
      </c>
      <c r="D149" s="21">
        <v>0.75</v>
      </c>
      <c r="E149" s="23">
        <f t="shared" ref="E149:M149" si="247">(INDEX(F$7:F$22,$B149)*(1-$D149)+INDEX(F$7:F$22,$B149+1)*$D149)*F$4*$B$2</f>
        <v>0</v>
      </c>
      <c r="F149" s="23">
        <f t="shared" si="247"/>
        <v>6.25E-2</v>
      </c>
      <c r="G149" s="23">
        <f t="shared" si="247"/>
        <v>0.1875</v>
      </c>
      <c r="H149" s="23">
        <f t="shared" si="247"/>
        <v>1.8750000000000003E-2</v>
      </c>
      <c r="I149" s="23">
        <f t="shared" si="247"/>
        <v>0</v>
      </c>
      <c r="J149" s="23">
        <f t="shared" si="247"/>
        <v>0.40625</v>
      </c>
      <c r="K149" s="23">
        <f t="shared" si="247"/>
        <v>8.7500000000000008E-2</v>
      </c>
      <c r="L149" s="23">
        <f t="shared" si="247"/>
        <v>0</v>
      </c>
      <c r="M149" s="23">
        <f t="shared" si="247"/>
        <v>0</v>
      </c>
      <c r="N149" s="39">
        <f t="shared" ref="N149:O149" si="248">INT((INDEX(O$7:O$22,$B149)*(1-$D149)+INDEX(O$7:O$22,$B149+1)*$D149)*O$4*$B$2)</f>
        <v>579</v>
      </c>
      <c r="O149" s="39">
        <f t="shared" si="248"/>
        <v>85</v>
      </c>
    </row>
    <row r="150" spans="1:15" ht="16.5" x14ac:dyDescent="0.2">
      <c r="A150" s="30">
        <v>116</v>
      </c>
      <c r="B150" s="30">
        <v>10</v>
      </c>
      <c r="C150" s="30">
        <v>11</v>
      </c>
      <c r="D150" s="21">
        <v>0.8</v>
      </c>
      <c r="E150" s="23">
        <f t="shared" ref="E150:M150" si="249">(INDEX(F$7:F$22,$B150)*(1-$D150)+INDEX(F$7:F$22,$B150+1)*$D150)*F$4*$B$2</f>
        <v>0</v>
      </c>
      <c r="F150" s="23">
        <f t="shared" si="249"/>
        <v>4.9999999999999989E-2</v>
      </c>
      <c r="G150" s="23">
        <f t="shared" si="249"/>
        <v>0.19</v>
      </c>
      <c r="H150" s="23">
        <f t="shared" si="249"/>
        <v>2.0000000000000004E-2</v>
      </c>
      <c r="I150" s="23">
        <f t="shared" si="249"/>
        <v>0</v>
      </c>
      <c r="J150" s="23">
        <f t="shared" si="249"/>
        <v>0.4</v>
      </c>
      <c r="K150" s="23">
        <f t="shared" si="249"/>
        <v>9.0000000000000011E-2</v>
      </c>
      <c r="L150" s="23">
        <f t="shared" si="249"/>
        <v>0</v>
      </c>
      <c r="M150" s="23">
        <f t="shared" si="249"/>
        <v>0</v>
      </c>
      <c r="N150" s="39">
        <f t="shared" ref="N150:O150" si="250">INT((INDEX(O$7:O$22,$B150)*(1-$D150)+INDEX(O$7:O$22,$B150+1)*$D150)*O$4*$B$2)</f>
        <v>586</v>
      </c>
      <c r="O150" s="39">
        <f t="shared" si="250"/>
        <v>86</v>
      </c>
    </row>
    <row r="151" spans="1:15" ht="16.5" x14ac:dyDescent="0.2">
      <c r="A151" s="30">
        <v>117</v>
      </c>
      <c r="B151" s="30">
        <v>10</v>
      </c>
      <c r="C151" s="30">
        <v>12</v>
      </c>
      <c r="D151" s="21">
        <v>0.85</v>
      </c>
      <c r="E151" s="23">
        <f t="shared" ref="E151:M151" si="251">(INDEX(F$7:F$22,$B151)*(1-$D151)+INDEX(F$7:F$22,$B151+1)*$D151)*F$4*$B$2</f>
        <v>0</v>
      </c>
      <c r="F151" s="23">
        <f t="shared" si="251"/>
        <v>3.7500000000000006E-2</v>
      </c>
      <c r="G151" s="23">
        <f t="shared" si="251"/>
        <v>0.1925</v>
      </c>
      <c r="H151" s="23">
        <f t="shared" si="251"/>
        <v>2.1250000000000002E-2</v>
      </c>
      <c r="I151" s="23">
        <f t="shared" si="251"/>
        <v>0</v>
      </c>
      <c r="J151" s="23">
        <f t="shared" si="251"/>
        <v>0.39374999999999999</v>
      </c>
      <c r="K151" s="23">
        <f t="shared" si="251"/>
        <v>9.2500000000000013E-2</v>
      </c>
      <c r="L151" s="23">
        <f t="shared" si="251"/>
        <v>0</v>
      </c>
      <c r="M151" s="23">
        <f t="shared" si="251"/>
        <v>0</v>
      </c>
      <c r="N151" s="39">
        <f t="shared" ref="N151:O151" si="252">INT((INDEX(O$7:O$22,$B151)*(1-$D151)+INDEX(O$7:O$22,$B151+1)*$D151)*O$4*$B$2)</f>
        <v>593</v>
      </c>
      <c r="O151" s="39">
        <f t="shared" si="252"/>
        <v>87</v>
      </c>
    </row>
    <row r="152" spans="1:15" ht="16.5" x14ac:dyDescent="0.2">
      <c r="A152" s="30">
        <v>118</v>
      </c>
      <c r="B152" s="30">
        <v>10</v>
      </c>
      <c r="C152" s="30">
        <v>13</v>
      </c>
      <c r="D152" s="21">
        <v>0.9</v>
      </c>
      <c r="E152" s="23">
        <f t="shared" ref="E152:M152" si="253">(INDEX(F$7:F$22,$B152)*(1-$D152)+INDEX(F$7:F$22,$B152+1)*$D152)*F$4*$B$2</f>
        <v>0</v>
      </c>
      <c r="F152" s="23">
        <f t="shared" si="253"/>
        <v>2.4999999999999994E-2</v>
      </c>
      <c r="G152" s="23">
        <f t="shared" si="253"/>
        <v>0.19500000000000001</v>
      </c>
      <c r="H152" s="23">
        <f t="shared" si="253"/>
        <v>2.2500000000000003E-2</v>
      </c>
      <c r="I152" s="23">
        <f t="shared" si="253"/>
        <v>0</v>
      </c>
      <c r="J152" s="23">
        <f t="shared" si="253"/>
        <v>0.38750000000000001</v>
      </c>
      <c r="K152" s="23">
        <f t="shared" si="253"/>
        <v>9.5000000000000001E-2</v>
      </c>
      <c r="L152" s="23">
        <f t="shared" si="253"/>
        <v>0</v>
      </c>
      <c r="M152" s="23">
        <f t="shared" si="253"/>
        <v>0</v>
      </c>
      <c r="N152" s="39">
        <f t="shared" ref="N152:O152" si="254">INT((INDEX(O$7:O$22,$B152)*(1-$D152)+INDEX(O$7:O$22,$B152+1)*$D152)*O$4*$B$2)</f>
        <v>601</v>
      </c>
      <c r="O152" s="39">
        <f t="shared" si="254"/>
        <v>88</v>
      </c>
    </row>
    <row r="153" spans="1:15" ht="16.5" x14ac:dyDescent="0.2">
      <c r="A153" s="30">
        <v>119</v>
      </c>
      <c r="B153" s="30">
        <v>10</v>
      </c>
      <c r="C153" s="30">
        <v>14</v>
      </c>
      <c r="D153" s="21">
        <v>0.95</v>
      </c>
      <c r="E153" s="23">
        <f t="shared" ref="E153:M153" si="255">(INDEX(F$7:F$22,$B153)*(1-$D153)+INDEX(F$7:F$22,$B153+1)*$D153)*F$4*$B$2</f>
        <v>0</v>
      </c>
      <c r="F153" s="23">
        <f t="shared" si="255"/>
        <v>1.2500000000000011E-2</v>
      </c>
      <c r="G153" s="23">
        <f t="shared" si="255"/>
        <v>0.19750000000000001</v>
      </c>
      <c r="H153" s="23">
        <f t="shared" si="255"/>
        <v>2.375E-2</v>
      </c>
      <c r="I153" s="23">
        <f t="shared" si="255"/>
        <v>0</v>
      </c>
      <c r="J153" s="23">
        <f t="shared" si="255"/>
        <v>0.38124999999999998</v>
      </c>
      <c r="K153" s="23">
        <f t="shared" si="255"/>
        <v>9.7500000000000003E-2</v>
      </c>
      <c r="L153" s="23">
        <f t="shared" si="255"/>
        <v>0</v>
      </c>
      <c r="M153" s="23">
        <f t="shared" si="255"/>
        <v>0</v>
      </c>
      <c r="N153" s="39">
        <f t="shared" ref="N153:O153" si="256">INT((INDEX(O$7:O$22,$B153)*(1-$D153)+INDEX(O$7:O$22,$B153+1)*$D153)*O$4*$B$2)</f>
        <v>608</v>
      </c>
      <c r="O153" s="39">
        <f t="shared" si="256"/>
        <v>89</v>
      </c>
    </row>
    <row r="154" spans="1:15" ht="16.5" x14ac:dyDescent="0.2">
      <c r="A154" s="30">
        <v>120</v>
      </c>
      <c r="B154" s="30">
        <v>10</v>
      </c>
      <c r="C154" s="30">
        <v>15</v>
      </c>
      <c r="D154" s="21">
        <v>1</v>
      </c>
      <c r="E154" s="23">
        <f t="shared" ref="E154:M154" si="257">(INDEX(F$7:F$22,$B154)*(1-$D154)+INDEX(F$7:F$22,$B154+1)*$D154)*F$4*$B$2</f>
        <v>0</v>
      </c>
      <c r="F154" s="23">
        <f t="shared" si="257"/>
        <v>0</v>
      </c>
      <c r="G154" s="23">
        <f t="shared" si="257"/>
        <v>0.2</v>
      </c>
      <c r="H154" s="23">
        <f t="shared" si="257"/>
        <v>2.5000000000000001E-2</v>
      </c>
      <c r="I154" s="23">
        <f t="shared" si="257"/>
        <v>0</v>
      </c>
      <c r="J154" s="23">
        <f t="shared" si="257"/>
        <v>0.375</v>
      </c>
      <c r="K154" s="23">
        <f t="shared" si="257"/>
        <v>0.1</v>
      </c>
      <c r="L154" s="23">
        <f t="shared" si="257"/>
        <v>0</v>
      </c>
      <c r="M154" s="23">
        <f t="shared" si="257"/>
        <v>0</v>
      </c>
      <c r="N154" s="39">
        <f t="shared" ref="N154:O154" si="258">INT((INDEX(O$7:O$22,$B154)*(1-$D154)+INDEX(O$7:O$22,$B154+1)*$D154)*O$4*$B$2)</f>
        <v>616</v>
      </c>
      <c r="O154" s="39">
        <f t="shared" si="258"/>
        <v>90</v>
      </c>
    </row>
    <row r="155" spans="1:15" ht="16.5" x14ac:dyDescent="0.2">
      <c r="A155" s="30">
        <v>121</v>
      </c>
      <c r="B155" s="30">
        <v>11</v>
      </c>
      <c r="C155" s="30">
        <v>1</v>
      </c>
      <c r="D155" s="21">
        <v>0.3</v>
      </c>
      <c r="E155" s="23">
        <f t="shared" ref="E155:M155" si="259">(INDEX(F$7:F$22,$B155)*(1-$D155)+INDEX(F$7:F$22,$B155+1)*$D155)*F$4*$B$2</f>
        <v>0</v>
      </c>
      <c r="F155" s="23">
        <f t="shared" si="259"/>
        <v>0</v>
      </c>
      <c r="G155" s="23">
        <f t="shared" si="259"/>
        <v>0.185</v>
      </c>
      <c r="H155" s="23">
        <f t="shared" si="259"/>
        <v>3.2499999999999994E-2</v>
      </c>
      <c r="I155" s="23">
        <f t="shared" si="259"/>
        <v>0</v>
      </c>
      <c r="J155" s="23">
        <f t="shared" si="259"/>
        <v>0.33749999999999997</v>
      </c>
      <c r="K155" s="23">
        <f t="shared" si="259"/>
        <v>0.11499999999999999</v>
      </c>
      <c r="L155" s="23">
        <f t="shared" si="259"/>
        <v>0</v>
      </c>
      <c r="M155" s="23">
        <f t="shared" si="259"/>
        <v>0</v>
      </c>
      <c r="N155" s="39">
        <f t="shared" ref="N155:O155" si="260">INT((INDEX(O$7:O$22,$B155)*(1-$D155)+INDEX(O$7:O$22,$B155+1)*$D155)*O$4*$B$2)</f>
        <v>669</v>
      </c>
      <c r="O155" s="39">
        <f t="shared" si="260"/>
        <v>96</v>
      </c>
    </row>
    <row r="156" spans="1:15" ht="16.5" x14ac:dyDescent="0.2">
      <c r="A156" s="30">
        <v>122</v>
      </c>
      <c r="B156" s="30">
        <v>11</v>
      </c>
      <c r="C156" s="30">
        <v>2</v>
      </c>
      <c r="D156" s="21">
        <v>0.35</v>
      </c>
      <c r="E156" s="23">
        <f t="shared" ref="E156:M156" si="261">(INDEX(F$7:F$22,$B156)*(1-$D156)+INDEX(F$7:F$22,$B156+1)*$D156)*F$4*$B$2</f>
        <v>0</v>
      </c>
      <c r="F156" s="23">
        <f t="shared" si="261"/>
        <v>0</v>
      </c>
      <c r="G156" s="23">
        <f t="shared" si="261"/>
        <v>0.1825</v>
      </c>
      <c r="H156" s="23">
        <f t="shared" si="261"/>
        <v>3.3750000000000002E-2</v>
      </c>
      <c r="I156" s="23">
        <f t="shared" si="261"/>
        <v>0</v>
      </c>
      <c r="J156" s="23">
        <f t="shared" si="261"/>
        <v>0.33125000000000004</v>
      </c>
      <c r="K156" s="23">
        <f t="shared" si="261"/>
        <v>0.11749999999999999</v>
      </c>
      <c r="L156" s="23">
        <f t="shared" si="261"/>
        <v>0</v>
      </c>
      <c r="M156" s="23">
        <f t="shared" si="261"/>
        <v>0</v>
      </c>
      <c r="N156" s="39">
        <f t="shared" ref="N156:O156" si="262">INT((INDEX(O$7:O$22,$B156)*(1-$D156)+INDEX(O$7:O$22,$B156+1)*$D156)*O$4*$B$2)</f>
        <v>678</v>
      </c>
      <c r="O156" s="39">
        <f t="shared" si="262"/>
        <v>97</v>
      </c>
    </row>
    <row r="157" spans="1:15" ht="16.5" x14ac:dyDescent="0.2">
      <c r="A157" s="30">
        <v>123</v>
      </c>
      <c r="B157" s="30">
        <v>11</v>
      </c>
      <c r="C157" s="30">
        <v>3</v>
      </c>
      <c r="D157" s="21">
        <v>0.4</v>
      </c>
      <c r="E157" s="23">
        <f t="shared" ref="E157:M157" si="263">(INDEX(F$7:F$22,$B157)*(1-$D157)+INDEX(F$7:F$22,$B157+1)*$D157)*F$4*$B$2</f>
        <v>0</v>
      </c>
      <c r="F157" s="23">
        <f t="shared" si="263"/>
        <v>0</v>
      </c>
      <c r="G157" s="23">
        <f t="shared" si="263"/>
        <v>0.18000000000000002</v>
      </c>
      <c r="H157" s="23">
        <f t="shared" si="263"/>
        <v>3.4999999999999996E-2</v>
      </c>
      <c r="I157" s="23">
        <f t="shared" si="263"/>
        <v>0</v>
      </c>
      <c r="J157" s="23">
        <f t="shared" si="263"/>
        <v>0.32499999999999996</v>
      </c>
      <c r="K157" s="23">
        <f t="shared" si="263"/>
        <v>0.12000000000000002</v>
      </c>
      <c r="L157" s="23">
        <f t="shared" si="263"/>
        <v>0</v>
      </c>
      <c r="M157" s="23">
        <f t="shared" si="263"/>
        <v>0</v>
      </c>
      <c r="N157" s="39">
        <f t="shared" ref="N157:O157" si="264">INT((INDEX(O$7:O$22,$B157)*(1-$D157)+INDEX(O$7:O$22,$B157+1)*$D157)*O$4*$B$2)</f>
        <v>687</v>
      </c>
      <c r="O157" s="39">
        <f t="shared" si="264"/>
        <v>98</v>
      </c>
    </row>
    <row r="158" spans="1:15" ht="16.5" x14ac:dyDescent="0.2">
      <c r="A158" s="30">
        <v>124</v>
      </c>
      <c r="B158" s="30">
        <v>11</v>
      </c>
      <c r="C158" s="30">
        <v>4</v>
      </c>
      <c r="D158" s="21">
        <v>0.45</v>
      </c>
      <c r="E158" s="23">
        <f t="shared" ref="E158:M158" si="265">(INDEX(F$7:F$22,$B158)*(1-$D158)+INDEX(F$7:F$22,$B158+1)*$D158)*F$4*$B$2</f>
        <v>0</v>
      </c>
      <c r="F158" s="23">
        <f t="shared" si="265"/>
        <v>0</v>
      </c>
      <c r="G158" s="23">
        <f t="shared" si="265"/>
        <v>0.17750000000000002</v>
      </c>
      <c r="H158" s="23">
        <f t="shared" si="265"/>
        <v>3.6250000000000004E-2</v>
      </c>
      <c r="I158" s="23">
        <f t="shared" si="265"/>
        <v>0</v>
      </c>
      <c r="J158" s="23">
        <f t="shared" si="265"/>
        <v>0.31875000000000003</v>
      </c>
      <c r="K158" s="23">
        <f t="shared" si="265"/>
        <v>0.12250000000000001</v>
      </c>
      <c r="L158" s="23">
        <f t="shared" si="265"/>
        <v>0</v>
      </c>
      <c r="M158" s="23">
        <f t="shared" si="265"/>
        <v>0</v>
      </c>
      <c r="N158" s="39">
        <f t="shared" ref="N158:O158" si="266">INT((INDEX(O$7:O$22,$B158)*(1-$D158)+INDEX(O$7:O$22,$B158+1)*$D158)*O$4*$B$2)</f>
        <v>696</v>
      </c>
      <c r="O158" s="39">
        <f t="shared" si="266"/>
        <v>99</v>
      </c>
    </row>
    <row r="159" spans="1:15" ht="16.5" x14ac:dyDescent="0.2">
      <c r="A159" s="30">
        <v>125</v>
      </c>
      <c r="B159" s="30">
        <v>11</v>
      </c>
      <c r="C159" s="30">
        <v>5</v>
      </c>
      <c r="D159" s="21">
        <v>0.5</v>
      </c>
      <c r="E159" s="23">
        <f t="shared" ref="E159:M159" si="267">(INDEX(F$7:F$22,$B159)*(1-$D159)+INDEX(F$7:F$22,$B159+1)*$D159)*F$4*$B$2</f>
        <v>0</v>
      </c>
      <c r="F159" s="23">
        <f t="shared" si="267"/>
        <v>0</v>
      </c>
      <c r="G159" s="23">
        <f t="shared" si="267"/>
        <v>0.17500000000000002</v>
      </c>
      <c r="H159" s="23">
        <f t="shared" si="267"/>
        <v>3.7500000000000006E-2</v>
      </c>
      <c r="I159" s="23">
        <f t="shared" si="267"/>
        <v>0</v>
      </c>
      <c r="J159" s="23">
        <f t="shared" si="267"/>
        <v>0.3125</v>
      </c>
      <c r="K159" s="23">
        <f t="shared" si="267"/>
        <v>0.125</v>
      </c>
      <c r="L159" s="23">
        <f t="shared" si="267"/>
        <v>0</v>
      </c>
      <c r="M159" s="23">
        <f t="shared" si="267"/>
        <v>0</v>
      </c>
      <c r="N159" s="39">
        <f t="shared" ref="N159:O159" si="268">INT((INDEX(O$7:O$22,$B159)*(1-$D159)+INDEX(O$7:O$22,$B159+1)*$D159)*O$4*$B$2)</f>
        <v>705</v>
      </c>
      <c r="O159" s="39">
        <f t="shared" si="268"/>
        <v>100</v>
      </c>
    </row>
    <row r="160" spans="1:15" ht="16.5" x14ac:dyDescent="0.2">
      <c r="A160" s="30">
        <v>126</v>
      </c>
      <c r="B160" s="30">
        <v>11</v>
      </c>
      <c r="C160" s="30">
        <v>6</v>
      </c>
      <c r="D160" s="21">
        <v>0.55000000000000004</v>
      </c>
      <c r="E160" s="23">
        <f t="shared" ref="E160:M160" si="269">(INDEX(F$7:F$22,$B160)*(1-$D160)+INDEX(F$7:F$22,$B160+1)*$D160)*F$4*$B$2</f>
        <v>0</v>
      </c>
      <c r="F160" s="23">
        <f t="shared" si="269"/>
        <v>0</v>
      </c>
      <c r="G160" s="23">
        <f t="shared" si="269"/>
        <v>0.17250000000000001</v>
      </c>
      <c r="H160" s="23">
        <f t="shared" si="269"/>
        <v>3.8750000000000007E-2</v>
      </c>
      <c r="I160" s="23">
        <f t="shared" si="269"/>
        <v>0</v>
      </c>
      <c r="J160" s="23">
        <f t="shared" si="269"/>
        <v>0.30625000000000002</v>
      </c>
      <c r="K160" s="23">
        <f t="shared" si="269"/>
        <v>0.1275</v>
      </c>
      <c r="L160" s="23">
        <f t="shared" si="269"/>
        <v>0</v>
      </c>
      <c r="M160" s="23">
        <f t="shared" si="269"/>
        <v>0</v>
      </c>
      <c r="N160" s="39">
        <f t="shared" ref="N160:O160" si="270">INT((INDEX(O$7:O$22,$B160)*(1-$D160)+INDEX(O$7:O$22,$B160+1)*$D160)*O$4*$B$2)</f>
        <v>714</v>
      </c>
      <c r="O160" s="39">
        <f t="shared" si="270"/>
        <v>101</v>
      </c>
    </row>
    <row r="161" spans="1:15" ht="16.5" x14ac:dyDescent="0.2">
      <c r="A161" s="30">
        <v>127</v>
      </c>
      <c r="B161" s="30">
        <v>11</v>
      </c>
      <c r="C161" s="30">
        <v>7</v>
      </c>
      <c r="D161" s="21">
        <v>0.6</v>
      </c>
      <c r="E161" s="23">
        <f t="shared" ref="E161:M161" si="271">(INDEX(F$7:F$22,$B161)*(1-$D161)+INDEX(F$7:F$22,$B161+1)*$D161)*F$4*$B$2</f>
        <v>0</v>
      </c>
      <c r="F161" s="23">
        <f t="shared" si="271"/>
        <v>0</v>
      </c>
      <c r="G161" s="23">
        <f t="shared" si="271"/>
        <v>0.17</v>
      </c>
      <c r="H161" s="23">
        <f t="shared" si="271"/>
        <v>4.0000000000000008E-2</v>
      </c>
      <c r="I161" s="23">
        <f t="shared" si="271"/>
        <v>0</v>
      </c>
      <c r="J161" s="23">
        <f t="shared" si="271"/>
        <v>0.30000000000000004</v>
      </c>
      <c r="K161" s="23">
        <f t="shared" si="271"/>
        <v>0.12999999999999998</v>
      </c>
      <c r="L161" s="23">
        <f t="shared" si="271"/>
        <v>0</v>
      </c>
      <c r="M161" s="23">
        <f t="shared" si="271"/>
        <v>0</v>
      </c>
      <c r="N161" s="39">
        <f t="shared" ref="N161:O161" si="272">INT((INDEX(O$7:O$22,$B161)*(1-$D161)+INDEX(O$7:O$22,$B161+1)*$D161)*O$4*$B$2)</f>
        <v>723</v>
      </c>
      <c r="O161" s="39">
        <f t="shared" si="272"/>
        <v>102</v>
      </c>
    </row>
    <row r="162" spans="1:15" ht="16.5" x14ac:dyDescent="0.2">
      <c r="A162" s="30">
        <v>128</v>
      </c>
      <c r="B162" s="30">
        <v>11</v>
      </c>
      <c r="C162" s="30">
        <v>8</v>
      </c>
      <c r="D162" s="21">
        <v>0.65</v>
      </c>
      <c r="E162" s="23">
        <f t="shared" ref="E162:M162" si="273">(INDEX(F$7:F$22,$B162)*(1-$D162)+INDEX(F$7:F$22,$B162+1)*$D162)*F$4*$B$2</f>
        <v>0</v>
      </c>
      <c r="F162" s="23">
        <f t="shared" si="273"/>
        <v>0</v>
      </c>
      <c r="G162" s="23">
        <f t="shared" si="273"/>
        <v>0.16750000000000001</v>
      </c>
      <c r="H162" s="23">
        <f t="shared" si="273"/>
        <v>4.1250000000000002E-2</v>
      </c>
      <c r="I162" s="23">
        <f t="shared" si="273"/>
        <v>0</v>
      </c>
      <c r="J162" s="23">
        <f t="shared" si="273"/>
        <v>0.29374999999999996</v>
      </c>
      <c r="K162" s="23">
        <f t="shared" si="273"/>
        <v>0.13250000000000003</v>
      </c>
      <c r="L162" s="23">
        <f t="shared" si="273"/>
        <v>0</v>
      </c>
      <c r="M162" s="23">
        <f t="shared" si="273"/>
        <v>0</v>
      </c>
      <c r="N162" s="39">
        <f t="shared" ref="N162:O162" si="274">INT((INDEX(O$7:O$22,$B162)*(1-$D162)+INDEX(O$7:O$22,$B162+1)*$D162)*O$4*$B$2)</f>
        <v>732</v>
      </c>
      <c r="O162" s="39">
        <f t="shared" si="274"/>
        <v>103</v>
      </c>
    </row>
    <row r="163" spans="1:15" ht="16.5" x14ac:dyDescent="0.2">
      <c r="A163" s="30">
        <v>129</v>
      </c>
      <c r="B163" s="30">
        <v>11</v>
      </c>
      <c r="C163" s="30">
        <v>9</v>
      </c>
      <c r="D163" s="21">
        <v>0.7</v>
      </c>
      <c r="E163" s="23">
        <f t="shared" ref="E163:M163" si="275">(INDEX(F$7:F$22,$B163)*(1-$D163)+INDEX(F$7:F$22,$B163+1)*$D163)*F$4*$B$2</f>
        <v>0</v>
      </c>
      <c r="F163" s="23">
        <f t="shared" si="275"/>
        <v>0</v>
      </c>
      <c r="G163" s="23">
        <f t="shared" si="275"/>
        <v>0.16500000000000001</v>
      </c>
      <c r="H163" s="23">
        <f t="shared" si="275"/>
        <v>4.2500000000000003E-2</v>
      </c>
      <c r="I163" s="23">
        <f t="shared" si="275"/>
        <v>0</v>
      </c>
      <c r="J163" s="23">
        <f t="shared" si="275"/>
        <v>0.28749999999999998</v>
      </c>
      <c r="K163" s="23">
        <f t="shared" si="275"/>
        <v>0.13499999999999998</v>
      </c>
      <c r="L163" s="23">
        <f t="shared" si="275"/>
        <v>0</v>
      </c>
      <c r="M163" s="23">
        <f t="shared" si="275"/>
        <v>0</v>
      </c>
      <c r="N163" s="39">
        <f t="shared" ref="N163:O163" si="276">INT((INDEX(O$7:O$22,$B163)*(1-$D163)+INDEX(O$7:O$22,$B163+1)*$D163)*O$4*$B$2)</f>
        <v>741</v>
      </c>
      <c r="O163" s="39">
        <f t="shared" si="276"/>
        <v>104</v>
      </c>
    </row>
    <row r="164" spans="1:15" ht="16.5" x14ac:dyDescent="0.2">
      <c r="A164" s="30">
        <v>130</v>
      </c>
      <c r="B164" s="30">
        <v>11</v>
      </c>
      <c r="C164" s="30">
        <v>10</v>
      </c>
      <c r="D164" s="21">
        <v>0.75</v>
      </c>
      <c r="E164" s="23">
        <f t="shared" ref="E164:M164" si="277">(INDEX(F$7:F$22,$B164)*(1-$D164)+INDEX(F$7:F$22,$B164+1)*$D164)*F$4*$B$2</f>
        <v>0</v>
      </c>
      <c r="F164" s="23">
        <f t="shared" si="277"/>
        <v>0</v>
      </c>
      <c r="G164" s="23">
        <f t="shared" si="277"/>
        <v>0.16250000000000001</v>
      </c>
      <c r="H164" s="23">
        <f t="shared" si="277"/>
        <v>4.3750000000000004E-2</v>
      </c>
      <c r="I164" s="23">
        <f t="shared" si="277"/>
        <v>0</v>
      </c>
      <c r="J164" s="23">
        <f t="shared" si="277"/>
        <v>0.28125</v>
      </c>
      <c r="K164" s="23">
        <f t="shared" si="277"/>
        <v>0.13750000000000001</v>
      </c>
      <c r="L164" s="23">
        <f t="shared" si="277"/>
        <v>0</v>
      </c>
      <c r="M164" s="23">
        <f t="shared" si="277"/>
        <v>0</v>
      </c>
      <c r="N164" s="39">
        <f t="shared" ref="N164:O164" si="278">INT((INDEX(O$7:O$22,$B164)*(1-$D164)+INDEX(O$7:O$22,$B164+1)*$D164)*O$4*$B$2)</f>
        <v>750</v>
      </c>
      <c r="O164" s="39">
        <f t="shared" si="278"/>
        <v>105</v>
      </c>
    </row>
    <row r="165" spans="1:15" ht="16.5" x14ac:dyDescent="0.2">
      <c r="A165" s="30">
        <v>131</v>
      </c>
      <c r="B165" s="30">
        <v>11</v>
      </c>
      <c r="C165" s="30">
        <v>11</v>
      </c>
      <c r="D165" s="21">
        <v>0.8</v>
      </c>
      <c r="E165" s="23">
        <f t="shared" ref="E165:M165" si="279">(INDEX(F$7:F$22,$B165)*(1-$D165)+INDEX(F$7:F$22,$B165+1)*$D165)*F$4*$B$2</f>
        <v>0</v>
      </c>
      <c r="F165" s="23">
        <f t="shared" si="279"/>
        <v>0</v>
      </c>
      <c r="G165" s="23">
        <f t="shared" si="279"/>
        <v>0.16000000000000003</v>
      </c>
      <c r="H165" s="23">
        <f t="shared" si="279"/>
        <v>4.5000000000000005E-2</v>
      </c>
      <c r="I165" s="23">
        <f t="shared" si="279"/>
        <v>0</v>
      </c>
      <c r="J165" s="23">
        <f t="shared" si="279"/>
        <v>0.27500000000000002</v>
      </c>
      <c r="K165" s="23">
        <f t="shared" si="279"/>
        <v>0.14000000000000001</v>
      </c>
      <c r="L165" s="23">
        <f t="shared" si="279"/>
        <v>0</v>
      </c>
      <c r="M165" s="23">
        <f t="shared" si="279"/>
        <v>0</v>
      </c>
      <c r="N165" s="39">
        <f t="shared" ref="N165:O165" si="280">INT((INDEX(O$7:O$22,$B165)*(1-$D165)+INDEX(O$7:O$22,$B165+1)*$D165)*O$4*$B$2)</f>
        <v>759</v>
      </c>
      <c r="O165" s="39">
        <f t="shared" si="280"/>
        <v>106</v>
      </c>
    </row>
    <row r="166" spans="1:15" ht="16.5" x14ac:dyDescent="0.2">
      <c r="A166" s="30">
        <v>132</v>
      </c>
      <c r="B166" s="30">
        <v>11</v>
      </c>
      <c r="C166" s="30">
        <v>12</v>
      </c>
      <c r="D166" s="21">
        <v>0.85</v>
      </c>
      <c r="E166" s="23">
        <f t="shared" ref="E166:M166" si="281">(INDEX(F$7:F$22,$B166)*(1-$D166)+INDEX(F$7:F$22,$B166+1)*$D166)*F$4*$B$2</f>
        <v>0</v>
      </c>
      <c r="F166" s="23">
        <f t="shared" si="281"/>
        <v>0</v>
      </c>
      <c r="G166" s="23">
        <f t="shared" si="281"/>
        <v>0.1575</v>
      </c>
      <c r="H166" s="23">
        <f t="shared" si="281"/>
        <v>4.6250000000000006E-2</v>
      </c>
      <c r="I166" s="23">
        <f t="shared" si="281"/>
        <v>0</v>
      </c>
      <c r="J166" s="23">
        <f t="shared" si="281"/>
        <v>0.26874999999999999</v>
      </c>
      <c r="K166" s="23">
        <f t="shared" si="281"/>
        <v>0.14249999999999999</v>
      </c>
      <c r="L166" s="23">
        <f t="shared" si="281"/>
        <v>0</v>
      </c>
      <c r="M166" s="23">
        <f t="shared" si="281"/>
        <v>0</v>
      </c>
      <c r="N166" s="39">
        <f t="shared" ref="N166:O166" si="282">INT((INDEX(O$7:O$22,$B166)*(1-$D166)+INDEX(O$7:O$22,$B166+1)*$D166)*O$4*$B$2)</f>
        <v>768</v>
      </c>
      <c r="O166" s="39">
        <f t="shared" si="282"/>
        <v>107</v>
      </c>
    </row>
    <row r="167" spans="1:15" ht="16.5" x14ac:dyDescent="0.2">
      <c r="A167" s="30">
        <v>133</v>
      </c>
      <c r="B167" s="30">
        <v>11</v>
      </c>
      <c r="C167" s="30">
        <v>13</v>
      </c>
      <c r="D167" s="21">
        <v>0.9</v>
      </c>
      <c r="E167" s="23">
        <f t="shared" ref="E167:M167" si="283">(INDEX(F$7:F$22,$B167)*(1-$D167)+INDEX(F$7:F$22,$B167+1)*$D167)*F$4*$B$2</f>
        <v>0</v>
      </c>
      <c r="F167" s="23">
        <f t="shared" si="283"/>
        <v>0</v>
      </c>
      <c r="G167" s="23">
        <f t="shared" si="283"/>
        <v>0.15500000000000003</v>
      </c>
      <c r="H167" s="23">
        <f t="shared" si="283"/>
        <v>4.7500000000000001E-2</v>
      </c>
      <c r="I167" s="23">
        <f t="shared" si="283"/>
        <v>0</v>
      </c>
      <c r="J167" s="23">
        <f t="shared" si="283"/>
        <v>0.26250000000000001</v>
      </c>
      <c r="K167" s="23">
        <f t="shared" si="283"/>
        <v>0.14500000000000002</v>
      </c>
      <c r="L167" s="23">
        <f t="shared" si="283"/>
        <v>0</v>
      </c>
      <c r="M167" s="23">
        <f t="shared" si="283"/>
        <v>0</v>
      </c>
      <c r="N167" s="39">
        <f t="shared" ref="N167:O167" si="284">INT((INDEX(O$7:O$22,$B167)*(1-$D167)+INDEX(O$7:O$22,$B167+1)*$D167)*O$4*$B$2)</f>
        <v>777</v>
      </c>
      <c r="O167" s="39">
        <f t="shared" si="284"/>
        <v>108</v>
      </c>
    </row>
    <row r="168" spans="1:15" ht="16.5" x14ac:dyDescent="0.2">
      <c r="A168" s="30">
        <v>134</v>
      </c>
      <c r="B168" s="30">
        <v>11</v>
      </c>
      <c r="C168" s="30">
        <v>14</v>
      </c>
      <c r="D168" s="21">
        <v>0.95</v>
      </c>
      <c r="E168" s="23">
        <f t="shared" ref="E168:M168" si="285">(INDEX(F$7:F$22,$B168)*(1-$D168)+INDEX(F$7:F$22,$B168+1)*$D168)*F$4*$B$2</f>
        <v>0</v>
      </c>
      <c r="F168" s="23">
        <f t="shared" si="285"/>
        <v>0</v>
      </c>
      <c r="G168" s="23">
        <f t="shared" si="285"/>
        <v>0.1525</v>
      </c>
      <c r="H168" s="23">
        <f t="shared" si="285"/>
        <v>4.8750000000000002E-2</v>
      </c>
      <c r="I168" s="23">
        <f t="shared" si="285"/>
        <v>0</v>
      </c>
      <c r="J168" s="23">
        <f t="shared" si="285"/>
        <v>0.25624999999999998</v>
      </c>
      <c r="K168" s="23">
        <f t="shared" si="285"/>
        <v>0.14749999999999999</v>
      </c>
      <c r="L168" s="23">
        <f t="shared" si="285"/>
        <v>0</v>
      </c>
      <c r="M168" s="23">
        <f t="shared" si="285"/>
        <v>0</v>
      </c>
      <c r="N168" s="39">
        <f t="shared" ref="N168:O168" si="286">INT((INDEX(O$7:O$22,$B168)*(1-$D168)+INDEX(O$7:O$22,$B168+1)*$D168)*O$4*$B$2)</f>
        <v>786</v>
      </c>
      <c r="O168" s="39">
        <f t="shared" si="286"/>
        <v>109</v>
      </c>
    </row>
    <row r="169" spans="1:15" ht="16.5" x14ac:dyDescent="0.2">
      <c r="A169" s="30">
        <v>135</v>
      </c>
      <c r="B169" s="30">
        <v>11</v>
      </c>
      <c r="C169" s="30">
        <v>15</v>
      </c>
      <c r="D169" s="21">
        <v>1</v>
      </c>
      <c r="E169" s="23">
        <f t="shared" ref="E169:M169" si="287">(INDEX(F$7:F$22,$B169)*(1-$D169)+INDEX(F$7:F$22,$B169+1)*$D169)*F$4*$B$2</f>
        <v>0</v>
      </c>
      <c r="F169" s="23">
        <f t="shared" si="287"/>
        <v>0</v>
      </c>
      <c r="G169" s="23">
        <f t="shared" si="287"/>
        <v>0.15000000000000002</v>
      </c>
      <c r="H169" s="23">
        <f t="shared" si="287"/>
        <v>0.05</v>
      </c>
      <c r="I169" s="23">
        <f t="shared" si="287"/>
        <v>0</v>
      </c>
      <c r="J169" s="23">
        <f t="shared" si="287"/>
        <v>0.25</v>
      </c>
      <c r="K169" s="23">
        <f t="shared" si="287"/>
        <v>0.15000000000000002</v>
      </c>
      <c r="L169" s="23">
        <f t="shared" si="287"/>
        <v>0</v>
      </c>
      <c r="M169" s="23">
        <f t="shared" si="287"/>
        <v>0</v>
      </c>
      <c r="N169" s="39">
        <f t="shared" ref="N169:O169" si="288">INT((INDEX(O$7:O$22,$B169)*(1-$D169)+INDEX(O$7:O$22,$B169+1)*$D169)*O$4*$B$2)</f>
        <v>795</v>
      </c>
      <c r="O169" s="39">
        <f t="shared" si="288"/>
        <v>110</v>
      </c>
    </row>
    <row r="170" spans="1:15" ht="16.5" x14ac:dyDescent="0.2">
      <c r="A170" s="30">
        <v>136</v>
      </c>
      <c r="B170" s="30">
        <v>12</v>
      </c>
      <c r="C170" s="30">
        <v>1</v>
      </c>
      <c r="D170" s="21">
        <v>0.3</v>
      </c>
      <c r="E170" s="23">
        <f t="shared" ref="E170:M170" si="289">(INDEX(F$7:F$22,$B170)*(1-$D170)+INDEX(F$7:F$22,$B170+1)*$D170)*F$4*$B$2</f>
        <v>0</v>
      </c>
      <c r="F170" s="23">
        <f t="shared" si="289"/>
        <v>0</v>
      </c>
      <c r="G170" s="23">
        <f t="shared" si="289"/>
        <v>0.13499999999999998</v>
      </c>
      <c r="H170" s="23">
        <f t="shared" si="289"/>
        <v>5.7499999999999996E-2</v>
      </c>
      <c r="I170" s="23">
        <f t="shared" si="289"/>
        <v>0</v>
      </c>
      <c r="J170" s="23">
        <f t="shared" si="289"/>
        <v>0.17499999999999999</v>
      </c>
      <c r="K170" s="23">
        <f t="shared" si="289"/>
        <v>0.16500000000000001</v>
      </c>
      <c r="L170" s="23">
        <f t="shared" si="289"/>
        <v>7.4999999999999997E-3</v>
      </c>
      <c r="M170" s="23">
        <f t="shared" si="289"/>
        <v>6.0000000000000001E-3</v>
      </c>
      <c r="N170" s="39">
        <f t="shared" ref="N170:O170" si="290">INT((INDEX(O$7:O$22,$B170)*(1-$D170)+INDEX(O$7:O$22,$B170+1)*$D170)*O$4*$B$2)</f>
        <v>868</v>
      </c>
      <c r="O170" s="39">
        <f t="shared" si="290"/>
        <v>116</v>
      </c>
    </row>
    <row r="171" spans="1:15" ht="16.5" x14ac:dyDescent="0.2">
      <c r="A171" s="30">
        <v>137</v>
      </c>
      <c r="B171" s="30">
        <v>12</v>
      </c>
      <c r="C171" s="30">
        <v>2</v>
      </c>
      <c r="D171" s="21">
        <v>0.35</v>
      </c>
      <c r="E171" s="23">
        <f t="shared" ref="E171:M171" si="291">(INDEX(F$7:F$22,$B171)*(1-$D171)+INDEX(F$7:F$22,$B171+1)*$D171)*F$4*$B$2</f>
        <v>0</v>
      </c>
      <c r="F171" s="23">
        <f t="shared" si="291"/>
        <v>0</v>
      </c>
      <c r="G171" s="23">
        <f t="shared" si="291"/>
        <v>0.13250000000000003</v>
      </c>
      <c r="H171" s="23">
        <f t="shared" si="291"/>
        <v>5.8749999999999997E-2</v>
      </c>
      <c r="I171" s="23">
        <f t="shared" si="291"/>
        <v>0</v>
      </c>
      <c r="J171" s="23">
        <f t="shared" si="291"/>
        <v>0.16250000000000001</v>
      </c>
      <c r="K171" s="23">
        <f t="shared" si="291"/>
        <v>0.16750000000000001</v>
      </c>
      <c r="L171" s="23">
        <f t="shared" si="291"/>
        <v>8.7499999999999991E-3</v>
      </c>
      <c r="M171" s="23">
        <f t="shared" si="291"/>
        <v>6.9999999999999993E-3</v>
      </c>
      <c r="N171" s="39">
        <f t="shared" ref="N171:O171" si="292">INT((INDEX(O$7:O$22,$B171)*(1-$D171)+INDEX(O$7:O$22,$B171+1)*$D171)*O$4*$B$2)</f>
        <v>880</v>
      </c>
      <c r="O171" s="39">
        <f t="shared" si="292"/>
        <v>117</v>
      </c>
    </row>
    <row r="172" spans="1:15" ht="16.5" x14ac:dyDescent="0.2">
      <c r="A172" s="30">
        <v>138</v>
      </c>
      <c r="B172" s="30">
        <v>12</v>
      </c>
      <c r="C172" s="30">
        <v>3</v>
      </c>
      <c r="D172" s="21">
        <v>0.4</v>
      </c>
      <c r="E172" s="23">
        <f t="shared" ref="E172:M172" si="293">(INDEX(F$7:F$22,$B172)*(1-$D172)+INDEX(F$7:F$22,$B172+1)*$D172)*F$4*$B$2</f>
        <v>0</v>
      </c>
      <c r="F172" s="23">
        <f t="shared" si="293"/>
        <v>0</v>
      </c>
      <c r="G172" s="23">
        <f t="shared" si="293"/>
        <v>0.12999999999999998</v>
      </c>
      <c r="H172" s="23">
        <f t="shared" si="293"/>
        <v>6.0000000000000012E-2</v>
      </c>
      <c r="I172" s="23">
        <f t="shared" si="293"/>
        <v>0</v>
      </c>
      <c r="J172" s="23">
        <f t="shared" si="293"/>
        <v>0.15</v>
      </c>
      <c r="K172" s="23">
        <f t="shared" si="293"/>
        <v>0.17</v>
      </c>
      <c r="L172" s="23">
        <f t="shared" si="293"/>
        <v>1.0000000000000002E-2</v>
      </c>
      <c r="M172" s="23">
        <f t="shared" si="293"/>
        <v>8.0000000000000019E-3</v>
      </c>
      <c r="N172" s="39">
        <f t="shared" ref="N172:O172" si="294">INT((INDEX(O$7:O$22,$B172)*(1-$D172)+INDEX(O$7:O$22,$B172+1)*$D172)*O$4*$B$2)</f>
        <v>893</v>
      </c>
      <c r="O172" s="39">
        <f t="shared" si="294"/>
        <v>118</v>
      </c>
    </row>
    <row r="173" spans="1:15" ht="16.5" x14ac:dyDescent="0.2">
      <c r="A173" s="30">
        <v>139</v>
      </c>
      <c r="B173" s="30">
        <v>12</v>
      </c>
      <c r="C173" s="30">
        <v>4</v>
      </c>
      <c r="D173" s="21">
        <v>0.45</v>
      </c>
      <c r="E173" s="23">
        <f t="shared" ref="E173:M173" si="295">(INDEX(F$7:F$22,$B173)*(1-$D173)+INDEX(F$7:F$22,$B173+1)*$D173)*F$4*$B$2</f>
        <v>0</v>
      </c>
      <c r="F173" s="23">
        <f t="shared" si="295"/>
        <v>0</v>
      </c>
      <c r="G173" s="23">
        <f t="shared" si="295"/>
        <v>0.12750000000000003</v>
      </c>
      <c r="H173" s="23">
        <f t="shared" si="295"/>
        <v>6.1250000000000006E-2</v>
      </c>
      <c r="I173" s="23">
        <f t="shared" si="295"/>
        <v>0</v>
      </c>
      <c r="J173" s="23">
        <f t="shared" si="295"/>
        <v>0.13750000000000001</v>
      </c>
      <c r="K173" s="23">
        <f t="shared" si="295"/>
        <v>0.17250000000000001</v>
      </c>
      <c r="L173" s="23">
        <f t="shared" si="295"/>
        <v>1.1250000000000001E-2</v>
      </c>
      <c r="M173" s="23">
        <f t="shared" si="295"/>
        <v>9.0000000000000011E-3</v>
      </c>
      <c r="N173" s="39">
        <f t="shared" ref="N173:O173" si="296">INT((INDEX(O$7:O$22,$B173)*(1-$D173)+INDEX(O$7:O$22,$B173+1)*$D173)*O$4*$B$2)</f>
        <v>905</v>
      </c>
      <c r="O173" s="39">
        <f t="shared" si="296"/>
        <v>119</v>
      </c>
    </row>
    <row r="174" spans="1:15" ht="16.5" x14ac:dyDescent="0.2">
      <c r="A174" s="30">
        <v>140</v>
      </c>
      <c r="B174" s="30">
        <v>12</v>
      </c>
      <c r="C174" s="30">
        <v>5</v>
      </c>
      <c r="D174" s="21">
        <v>0.5</v>
      </c>
      <c r="E174" s="23">
        <f t="shared" ref="E174:M174" si="297">(INDEX(F$7:F$22,$B174)*(1-$D174)+INDEX(F$7:F$22,$B174+1)*$D174)*F$4*$B$2</f>
        <v>0</v>
      </c>
      <c r="F174" s="23">
        <f t="shared" si="297"/>
        <v>0</v>
      </c>
      <c r="G174" s="23">
        <f t="shared" si="297"/>
        <v>0.125</v>
      </c>
      <c r="H174" s="23">
        <f t="shared" si="297"/>
        <v>6.25E-2</v>
      </c>
      <c r="I174" s="23">
        <f t="shared" si="297"/>
        <v>0</v>
      </c>
      <c r="J174" s="23">
        <f t="shared" si="297"/>
        <v>0.125</v>
      </c>
      <c r="K174" s="23">
        <f t="shared" si="297"/>
        <v>0.17500000000000002</v>
      </c>
      <c r="L174" s="23">
        <f t="shared" si="297"/>
        <v>1.2500000000000001E-2</v>
      </c>
      <c r="M174" s="23">
        <f t="shared" si="297"/>
        <v>1.0000000000000002E-2</v>
      </c>
      <c r="N174" s="39">
        <f t="shared" ref="N174:O174" si="298">INT((INDEX(O$7:O$22,$B174)*(1-$D174)+INDEX(O$7:O$22,$B174+1)*$D174)*O$4*$B$2)</f>
        <v>917</v>
      </c>
      <c r="O174" s="39">
        <f t="shared" si="298"/>
        <v>120</v>
      </c>
    </row>
    <row r="175" spans="1:15" ht="16.5" x14ac:dyDescent="0.2">
      <c r="A175" s="30">
        <v>141</v>
      </c>
      <c r="B175" s="30">
        <v>12</v>
      </c>
      <c r="C175" s="30">
        <v>6</v>
      </c>
      <c r="D175" s="21">
        <v>0.55000000000000004</v>
      </c>
      <c r="E175" s="23">
        <f t="shared" ref="E175:M175" si="299">(INDEX(F$7:F$22,$B175)*(1-$D175)+INDEX(F$7:F$22,$B175+1)*$D175)*F$4*$B$2</f>
        <v>0</v>
      </c>
      <c r="F175" s="23">
        <f t="shared" si="299"/>
        <v>0</v>
      </c>
      <c r="G175" s="23">
        <f t="shared" si="299"/>
        <v>0.12250000000000001</v>
      </c>
      <c r="H175" s="23">
        <f t="shared" si="299"/>
        <v>6.3750000000000001E-2</v>
      </c>
      <c r="I175" s="23">
        <f t="shared" si="299"/>
        <v>0</v>
      </c>
      <c r="J175" s="23">
        <f t="shared" si="299"/>
        <v>0.11249999999999999</v>
      </c>
      <c r="K175" s="23">
        <f t="shared" si="299"/>
        <v>0.17749999999999999</v>
      </c>
      <c r="L175" s="23">
        <f t="shared" si="299"/>
        <v>1.3750000000000002E-2</v>
      </c>
      <c r="M175" s="23">
        <f t="shared" si="299"/>
        <v>1.1000000000000003E-2</v>
      </c>
      <c r="N175" s="39">
        <f t="shared" ref="N175:O175" si="300">INT((INDEX(O$7:O$22,$B175)*(1-$D175)+INDEX(O$7:O$22,$B175+1)*$D175)*O$4*$B$2)</f>
        <v>929</v>
      </c>
      <c r="O175" s="39">
        <f t="shared" si="300"/>
        <v>121</v>
      </c>
    </row>
    <row r="176" spans="1:15" ht="16.5" x14ac:dyDescent="0.2">
      <c r="A176" s="30">
        <v>142</v>
      </c>
      <c r="B176" s="30">
        <v>12</v>
      </c>
      <c r="C176" s="30">
        <v>7</v>
      </c>
      <c r="D176" s="21">
        <v>0.6</v>
      </c>
      <c r="E176" s="23">
        <f t="shared" ref="E176:M176" si="301">(INDEX(F$7:F$22,$B176)*(1-$D176)+INDEX(F$7:F$22,$B176+1)*$D176)*F$4*$B$2</f>
        <v>0</v>
      </c>
      <c r="F176" s="23">
        <f t="shared" si="301"/>
        <v>0</v>
      </c>
      <c r="G176" s="23">
        <f t="shared" si="301"/>
        <v>0.12000000000000002</v>
      </c>
      <c r="H176" s="23">
        <f t="shared" si="301"/>
        <v>6.4999999999999988E-2</v>
      </c>
      <c r="I176" s="23">
        <f t="shared" si="301"/>
        <v>0</v>
      </c>
      <c r="J176" s="23">
        <f t="shared" si="301"/>
        <v>0.1</v>
      </c>
      <c r="K176" s="23">
        <f t="shared" si="301"/>
        <v>0.18000000000000002</v>
      </c>
      <c r="L176" s="23">
        <f t="shared" si="301"/>
        <v>1.4999999999999999E-2</v>
      </c>
      <c r="M176" s="23">
        <f t="shared" si="301"/>
        <v>1.2E-2</v>
      </c>
      <c r="N176" s="39">
        <f t="shared" ref="N176:O176" si="302">INT((INDEX(O$7:O$22,$B176)*(1-$D176)+INDEX(O$7:O$22,$B176+1)*$D176)*O$4*$B$2)</f>
        <v>942</v>
      </c>
      <c r="O176" s="39">
        <f t="shared" si="302"/>
        <v>122</v>
      </c>
    </row>
    <row r="177" spans="1:15" ht="16.5" x14ac:dyDescent="0.2">
      <c r="A177" s="30">
        <v>143</v>
      </c>
      <c r="B177" s="30">
        <v>12</v>
      </c>
      <c r="C177" s="30">
        <v>8</v>
      </c>
      <c r="D177" s="21">
        <v>0.65</v>
      </c>
      <c r="E177" s="23">
        <f t="shared" ref="E177:M177" si="303">(INDEX(F$7:F$22,$B177)*(1-$D177)+INDEX(F$7:F$22,$B177+1)*$D177)*F$4*$B$2</f>
        <v>0</v>
      </c>
      <c r="F177" s="23">
        <f t="shared" si="303"/>
        <v>0</v>
      </c>
      <c r="G177" s="23">
        <f t="shared" si="303"/>
        <v>0.11749999999999999</v>
      </c>
      <c r="H177" s="23">
        <f t="shared" si="303"/>
        <v>6.6250000000000017E-2</v>
      </c>
      <c r="I177" s="23">
        <f t="shared" si="303"/>
        <v>0</v>
      </c>
      <c r="J177" s="23">
        <f t="shared" si="303"/>
        <v>8.7499999999999994E-2</v>
      </c>
      <c r="K177" s="23">
        <f t="shared" si="303"/>
        <v>0.1825</v>
      </c>
      <c r="L177" s="23">
        <f t="shared" si="303"/>
        <v>1.6250000000000001E-2</v>
      </c>
      <c r="M177" s="23">
        <f t="shared" si="303"/>
        <v>1.3000000000000001E-2</v>
      </c>
      <c r="N177" s="39">
        <f t="shared" ref="N177:O177" si="304">INT((INDEX(O$7:O$22,$B177)*(1-$D177)+INDEX(O$7:O$22,$B177+1)*$D177)*O$4*$B$2)</f>
        <v>954</v>
      </c>
      <c r="O177" s="39">
        <f t="shared" si="304"/>
        <v>123</v>
      </c>
    </row>
    <row r="178" spans="1:15" ht="16.5" x14ac:dyDescent="0.2">
      <c r="A178" s="30">
        <v>144</v>
      </c>
      <c r="B178" s="30">
        <v>12</v>
      </c>
      <c r="C178" s="30">
        <v>9</v>
      </c>
      <c r="D178" s="21">
        <v>0.7</v>
      </c>
      <c r="E178" s="23">
        <f t="shared" ref="E178:M178" si="305">(INDEX(F$7:F$22,$B178)*(1-$D178)+INDEX(F$7:F$22,$B178+1)*$D178)*F$4*$B$2</f>
        <v>0</v>
      </c>
      <c r="F178" s="23">
        <f t="shared" si="305"/>
        <v>0</v>
      </c>
      <c r="G178" s="23">
        <f t="shared" si="305"/>
        <v>0.11499999999999999</v>
      </c>
      <c r="H178" s="23">
        <f t="shared" si="305"/>
        <v>6.7499999999999991E-2</v>
      </c>
      <c r="I178" s="23">
        <f t="shared" si="305"/>
        <v>0</v>
      </c>
      <c r="J178" s="23">
        <f t="shared" si="305"/>
        <v>7.5000000000000011E-2</v>
      </c>
      <c r="K178" s="23">
        <f t="shared" si="305"/>
        <v>0.18500000000000003</v>
      </c>
      <c r="L178" s="23">
        <f t="shared" si="305"/>
        <v>1.7499999999999998E-2</v>
      </c>
      <c r="M178" s="23">
        <f t="shared" si="305"/>
        <v>1.3999999999999999E-2</v>
      </c>
      <c r="N178" s="39">
        <f t="shared" ref="N178:O178" si="306">INT((INDEX(O$7:O$22,$B178)*(1-$D178)+INDEX(O$7:O$22,$B178+1)*$D178)*O$4*$B$2)</f>
        <v>966</v>
      </c>
      <c r="O178" s="39">
        <f t="shared" si="306"/>
        <v>124</v>
      </c>
    </row>
    <row r="179" spans="1:15" ht="16.5" x14ac:dyDescent="0.2">
      <c r="A179" s="30">
        <v>145</v>
      </c>
      <c r="B179" s="30">
        <v>12</v>
      </c>
      <c r="C179" s="30">
        <v>10</v>
      </c>
      <c r="D179" s="21">
        <v>0.75</v>
      </c>
      <c r="E179" s="23">
        <f t="shared" ref="E179:M179" si="307">(INDEX(F$7:F$22,$B179)*(1-$D179)+INDEX(F$7:F$22,$B179+1)*$D179)*F$4*$B$2</f>
        <v>0</v>
      </c>
      <c r="F179" s="23">
        <f t="shared" si="307"/>
        <v>0</v>
      </c>
      <c r="G179" s="23">
        <f t="shared" si="307"/>
        <v>0.1125</v>
      </c>
      <c r="H179" s="23">
        <f t="shared" si="307"/>
        <v>6.8750000000000006E-2</v>
      </c>
      <c r="I179" s="23">
        <f t="shared" si="307"/>
        <v>0</v>
      </c>
      <c r="J179" s="23">
        <f t="shared" si="307"/>
        <v>6.25E-2</v>
      </c>
      <c r="K179" s="23">
        <f t="shared" si="307"/>
        <v>0.1875</v>
      </c>
      <c r="L179" s="23">
        <f t="shared" si="307"/>
        <v>1.8750000000000003E-2</v>
      </c>
      <c r="M179" s="23">
        <f t="shared" si="307"/>
        <v>1.5000000000000003E-2</v>
      </c>
      <c r="N179" s="39">
        <f t="shared" ref="N179:O179" si="308">INT((INDEX(O$7:O$22,$B179)*(1-$D179)+INDEX(O$7:O$22,$B179+1)*$D179)*O$4*$B$2)</f>
        <v>978</v>
      </c>
      <c r="O179" s="39">
        <f t="shared" si="308"/>
        <v>125</v>
      </c>
    </row>
    <row r="180" spans="1:15" ht="16.5" x14ac:dyDescent="0.2">
      <c r="A180" s="30">
        <v>146</v>
      </c>
      <c r="B180" s="30">
        <v>12</v>
      </c>
      <c r="C180" s="30">
        <v>11</v>
      </c>
      <c r="D180" s="21">
        <v>0.8</v>
      </c>
      <c r="E180" s="23">
        <f t="shared" ref="E180:M180" si="309">(INDEX(F$7:F$22,$B180)*(1-$D180)+INDEX(F$7:F$22,$B180+1)*$D180)*F$4*$B$2</f>
        <v>0</v>
      </c>
      <c r="F180" s="23">
        <f t="shared" si="309"/>
        <v>0</v>
      </c>
      <c r="G180" s="23">
        <f t="shared" si="309"/>
        <v>0.11000000000000001</v>
      </c>
      <c r="H180" s="23">
        <f t="shared" si="309"/>
        <v>7.0000000000000007E-2</v>
      </c>
      <c r="I180" s="23">
        <f t="shared" si="309"/>
        <v>0</v>
      </c>
      <c r="J180" s="23">
        <f t="shared" si="309"/>
        <v>4.9999999999999989E-2</v>
      </c>
      <c r="K180" s="23">
        <f t="shared" si="309"/>
        <v>0.19</v>
      </c>
      <c r="L180" s="23">
        <f t="shared" si="309"/>
        <v>2.0000000000000004E-2</v>
      </c>
      <c r="M180" s="23">
        <f t="shared" si="309"/>
        <v>1.6000000000000004E-2</v>
      </c>
      <c r="N180" s="39">
        <f t="shared" ref="N180:O180" si="310">INT((INDEX(O$7:O$22,$B180)*(1-$D180)+INDEX(O$7:O$22,$B180+1)*$D180)*O$4*$B$2)</f>
        <v>991</v>
      </c>
      <c r="O180" s="39">
        <f t="shared" si="310"/>
        <v>126</v>
      </c>
    </row>
    <row r="181" spans="1:15" ht="16.5" x14ac:dyDescent="0.2">
      <c r="A181" s="30">
        <v>147</v>
      </c>
      <c r="B181" s="30">
        <v>12</v>
      </c>
      <c r="C181" s="30">
        <v>12</v>
      </c>
      <c r="D181" s="21">
        <v>0.85</v>
      </c>
      <c r="E181" s="23">
        <f t="shared" ref="E181:M181" si="311">(INDEX(F$7:F$22,$B181)*(1-$D181)+INDEX(F$7:F$22,$B181+1)*$D181)*F$4*$B$2</f>
        <v>0</v>
      </c>
      <c r="F181" s="23">
        <f t="shared" si="311"/>
        <v>0</v>
      </c>
      <c r="G181" s="23">
        <f t="shared" si="311"/>
        <v>0.1075</v>
      </c>
      <c r="H181" s="23">
        <f t="shared" si="311"/>
        <v>7.1249999999999994E-2</v>
      </c>
      <c r="I181" s="23">
        <f t="shared" si="311"/>
        <v>0</v>
      </c>
      <c r="J181" s="23">
        <f t="shared" si="311"/>
        <v>3.7500000000000006E-2</v>
      </c>
      <c r="K181" s="23">
        <f t="shared" si="311"/>
        <v>0.1925</v>
      </c>
      <c r="L181" s="23">
        <f t="shared" si="311"/>
        <v>2.1250000000000002E-2</v>
      </c>
      <c r="M181" s="23">
        <f t="shared" si="311"/>
        <v>1.7000000000000001E-2</v>
      </c>
      <c r="N181" s="39">
        <f t="shared" ref="N181:O181" si="312">INT((INDEX(O$7:O$22,$B181)*(1-$D181)+INDEX(O$7:O$22,$B181+1)*$D181)*O$4*$B$2)</f>
        <v>1003</v>
      </c>
      <c r="O181" s="39">
        <f t="shared" si="312"/>
        <v>127</v>
      </c>
    </row>
    <row r="182" spans="1:15" ht="16.5" x14ac:dyDescent="0.2">
      <c r="A182" s="30">
        <v>148</v>
      </c>
      <c r="B182" s="30">
        <v>12</v>
      </c>
      <c r="C182" s="30">
        <v>13</v>
      </c>
      <c r="D182" s="21">
        <v>0.9</v>
      </c>
      <c r="E182" s="23">
        <f t="shared" ref="E182:M182" si="313">(INDEX(F$7:F$22,$B182)*(1-$D182)+INDEX(F$7:F$22,$B182+1)*$D182)*F$4*$B$2</f>
        <v>0</v>
      </c>
      <c r="F182" s="23">
        <f t="shared" si="313"/>
        <v>0</v>
      </c>
      <c r="G182" s="23">
        <f t="shared" si="313"/>
        <v>0.10500000000000001</v>
      </c>
      <c r="H182" s="23">
        <f t="shared" si="313"/>
        <v>7.2500000000000009E-2</v>
      </c>
      <c r="I182" s="23">
        <f t="shared" si="313"/>
        <v>0</v>
      </c>
      <c r="J182" s="23">
        <f t="shared" si="313"/>
        <v>2.4999999999999994E-2</v>
      </c>
      <c r="K182" s="23">
        <f t="shared" si="313"/>
        <v>0.19500000000000001</v>
      </c>
      <c r="L182" s="23">
        <f t="shared" si="313"/>
        <v>2.2500000000000003E-2</v>
      </c>
      <c r="M182" s="23">
        <f t="shared" si="313"/>
        <v>1.8000000000000002E-2</v>
      </c>
      <c r="N182" s="39">
        <f t="shared" ref="N182:O182" si="314">INT((INDEX(O$7:O$22,$B182)*(1-$D182)+INDEX(O$7:O$22,$B182+1)*$D182)*O$4*$B$2)</f>
        <v>1015</v>
      </c>
      <c r="O182" s="39">
        <f t="shared" si="314"/>
        <v>128</v>
      </c>
    </row>
    <row r="183" spans="1:15" ht="16.5" x14ac:dyDescent="0.2">
      <c r="A183" s="30">
        <v>149</v>
      </c>
      <c r="B183" s="30">
        <v>12</v>
      </c>
      <c r="C183" s="30">
        <v>14</v>
      </c>
      <c r="D183" s="21">
        <v>0.95</v>
      </c>
      <c r="E183" s="23">
        <f t="shared" ref="E183:M183" si="315">(INDEX(F$7:F$22,$B183)*(1-$D183)+INDEX(F$7:F$22,$B183+1)*$D183)*F$4*$B$2</f>
        <v>0</v>
      </c>
      <c r="F183" s="23">
        <f t="shared" si="315"/>
        <v>0</v>
      </c>
      <c r="G183" s="23">
        <f t="shared" si="315"/>
        <v>0.10249999999999999</v>
      </c>
      <c r="H183" s="23">
        <f t="shared" si="315"/>
        <v>7.3749999999999996E-2</v>
      </c>
      <c r="I183" s="23">
        <f t="shared" si="315"/>
        <v>0</v>
      </c>
      <c r="J183" s="23">
        <f t="shared" si="315"/>
        <v>1.2500000000000011E-2</v>
      </c>
      <c r="K183" s="23">
        <f t="shared" si="315"/>
        <v>0.19750000000000001</v>
      </c>
      <c r="L183" s="23">
        <f t="shared" si="315"/>
        <v>2.375E-2</v>
      </c>
      <c r="M183" s="23">
        <f t="shared" si="315"/>
        <v>1.9000000000000003E-2</v>
      </c>
      <c r="N183" s="39">
        <f t="shared" ref="N183:O183" si="316">INT((INDEX(O$7:O$22,$B183)*(1-$D183)+INDEX(O$7:O$22,$B183+1)*$D183)*O$4*$B$2)</f>
        <v>1027</v>
      </c>
      <c r="O183" s="39">
        <f t="shared" si="316"/>
        <v>129</v>
      </c>
    </row>
    <row r="184" spans="1:15" ht="16.5" x14ac:dyDescent="0.2">
      <c r="A184" s="30">
        <v>150</v>
      </c>
      <c r="B184" s="30">
        <v>12</v>
      </c>
      <c r="C184" s="30">
        <v>15</v>
      </c>
      <c r="D184" s="21">
        <v>1</v>
      </c>
      <c r="E184" s="23">
        <f t="shared" ref="E184:M184" si="317">(INDEX(F$7:F$22,$B184)*(1-$D184)+INDEX(F$7:F$22,$B184+1)*$D184)*F$4*$B$2</f>
        <v>0</v>
      </c>
      <c r="F184" s="23">
        <f t="shared" si="317"/>
        <v>0</v>
      </c>
      <c r="G184" s="23">
        <f t="shared" si="317"/>
        <v>0.1</v>
      </c>
      <c r="H184" s="23">
        <f t="shared" si="317"/>
        <v>7.5000000000000011E-2</v>
      </c>
      <c r="I184" s="23">
        <f t="shared" si="317"/>
        <v>0</v>
      </c>
      <c r="J184" s="23">
        <f t="shared" si="317"/>
        <v>0</v>
      </c>
      <c r="K184" s="23">
        <f t="shared" si="317"/>
        <v>0.2</v>
      </c>
      <c r="L184" s="23">
        <f t="shared" si="317"/>
        <v>2.5000000000000001E-2</v>
      </c>
      <c r="M184" s="23">
        <f t="shared" si="317"/>
        <v>2.0000000000000004E-2</v>
      </c>
      <c r="N184" s="39">
        <f t="shared" ref="N184:O184" si="318">INT((INDEX(O$7:O$22,$B184)*(1-$D184)+INDEX(O$7:O$22,$B184+1)*$D184)*O$4*$B$2)</f>
        <v>1040</v>
      </c>
      <c r="O184" s="39">
        <f t="shared" si="318"/>
        <v>130</v>
      </c>
    </row>
    <row r="185" spans="1:15" ht="16.5" x14ac:dyDescent="0.2">
      <c r="A185" s="30">
        <v>151</v>
      </c>
      <c r="B185" s="30">
        <v>13</v>
      </c>
      <c r="C185" s="30">
        <v>1</v>
      </c>
      <c r="D185" s="21">
        <v>0.3</v>
      </c>
      <c r="E185" s="23">
        <f t="shared" ref="E185:M185" si="319">(INDEX(F$7:F$22,$B185)*(1-$D185)+INDEX(F$7:F$22,$B185+1)*$D185)*F$4*$B$2</f>
        <v>0</v>
      </c>
      <c r="F185" s="23">
        <f t="shared" si="319"/>
        <v>0</v>
      </c>
      <c r="G185" s="23">
        <f t="shared" si="319"/>
        <v>6.9999999999999993E-2</v>
      </c>
      <c r="H185" s="23">
        <f t="shared" si="319"/>
        <v>8.2500000000000004E-2</v>
      </c>
      <c r="I185" s="23">
        <f t="shared" si="319"/>
        <v>3.7499999999999999E-3</v>
      </c>
      <c r="J185" s="23">
        <f t="shared" si="319"/>
        <v>0</v>
      </c>
      <c r="K185" s="23">
        <f t="shared" si="319"/>
        <v>0.185</v>
      </c>
      <c r="L185" s="23">
        <f t="shared" si="319"/>
        <v>3.2499999999999994E-2</v>
      </c>
      <c r="M185" s="23">
        <f t="shared" si="319"/>
        <v>2.4500000000000001E-2</v>
      </c>
      <c r="N185" s="39">
        <f t="shared" ref="N185:O185" si="320">INT((INDEX(O$7:O$22,$B185)*(1-$D185)+INDEX(O$7:O$22,$B185+1)*$D185)*O$4*$B$2)</f>
        <v>1136</v>
      </c>
      <c r="O185" s="39">
        <f t="shared" si="320"/>
        <v>136</v>
      </c>
    </row>
    <row r="186" spans="1:15" ht="16.5" x14ac:dyDescent="0.2">
      <c r="A186" s="30">
        <v>152</v>
      </c>
      <c r="B186" s="30">
        <v>13</v>
      </c>
      <c r="C186" s="30">
        <v>2</v>
      </c>
      <c r="D186" s="21">
        <v>0.35</v>
      </c>
      <c r="E186" s="23">
        <f t="shared" ref="E186:M186" si="321">(INDEX(F$7:F$22,$B186)*(1-$D186)+INDEX(F$7:F$22,$B186+1)*$D186)*F$4*$B$2</f>
        <v>0</v>
      </c>
      <c r="F186" s="23">
        <f t="shared" si="321"/>
        <v>0</v>
      </c>
      <c r="G186" s="23">
        <f t="shared" si="321"/>
        <v>6.5000000000000002E-2</v>
      </c>
      <c r="H186" s="23">
        <f t="shared" si="321"/>
        <v>8.3750000000000005E-2</v>
      </c>
      <c r="I186" s="23">
        <f t="shared" si="321"/>
        <v>4.3749999999999995E-3</v>
      </c>
      <c r="J186" s="23">
        <f t="shared" si="321"/>
        <v>0</v>
      </c>
      <c r="K186" s="23">
        <f t="shared" si="321"/>
        <v>0.1825</v>
      </c>
      <c r="L186" s="23">
        <f t="shared" si="321"/>
        <v>3.3750000000000002E-2</v>
      </c>
      <c r="M186" s="23">
        <f t="shared" si="321"/>
        <v>2.5250000000000002E-2</v>
      </c>
      <c r="N186" s="39">
        <f t="shared" ref="N186:O186" si="322">INT((INDEX(O$7:O$22,$B186)*(1-$D186)+INDEX(O$7:O$22,$B186+1)*$D186)*O$4*$B$2)</f>
        <v>1152</v>
      </c>
      <c r="O186" s="39">
        <f t="shared" si="322"/>
        <v>137</v>
      </c>
    </row>
    <row r="187" spans="1:15" ht="16.5" x14ac:dyDescent="0.2">
      <c r="A187" s="30">
        <v>153</v>
      </c>
      <c r="B187" s="30">
        <v>13</v>
      </c>
      <c r="C187" s="30">
        <v>3</v>
      </c>
      <c r="D187" s="21">
        <v>0.4</v>
      </c>
      <c r="E187" s="23">
        <f t="shared" ref="E187:M187" si="323">(INDEX(F$7:F$22,$B187)*(1-$D187)+INDEX(F$7:F$22,$B187+1)*$D187)*F$4*$B$2</f>
        <v>0</v>
      </c>
      <c r="F187" s="23">
        <f t="shared" si="323"/>
        <v>0</v>
      </c>
      <c r="G187" s="23">
        <f t="shared" si="323"/>
        <v>0.06</v>
      </c>
      <c r="H187" s="23">
        <f t="shared" si="323"/>
        <v>8.5000000000000006E-2</v>
      </c>
      <c r="I187" s="23">
        <f t="shared" si="323"/>
        <v>5.000000000000001E-3</v>
      </c>
      <c r="J187" s="23">
        <f t="shared" si="323"/>
        <v>0</v>
      </c>
      <c r="K187" s="23">
        <f t="shared" si="323"/>
        <v>0.18000000000000002</v>
      </c>
      <c r="L187" s="23">
        <f t="shared" si="323"/>
        <v>3.4999999999999996E-2</v>
      </c>
      <c r="M187" s="23">
        <f t="shared" si="323"/>
        <v>2.6000000000000002E-2</v>
      </c>
      <c r="N187" s="39">
        <f t="shared" ref="N187:O187" si="324">INT((INDEX(O$7:O$22,$B187)*(1-$D187)+INDEX(O$7:O$22,$B187+1)*$D187)*O$4*$B$2)</f>
        <v>1168</v>
      </c>
      <c r="O187" s="39">
        <f t="shared" si="324"/>
        <v>138</v>
      </c>
    </row>
    <row r="188" spans="1:15" ht="16.5" x14ac:dyDescent="0.2">
      <c r="A188" s="30">
        <v>154</v>
      </c>
      <c r="B188" s="30">
        <v>13</v>
      </c>
      <c r="C188" s="30">
        <v>4</v>
      </c>
      <c r="D188" s="21">
        <v>0.45</v>
      </c>
      <c r="E188" s="23">
        <f t="shared" ref="E188:M188" si="325">(INDEX(F$7:F$22,$B188)*(1-$D188)+INDEX(F$7:F$22,$B188+1)*$D188)*F$4*$B$2</f>
        <v>0</v>
      </c>
      <c r="F188" s="23">
        <f t="shared" si="325"/>
        <v>0</v>
      </c>
      <c r="G188" s="23">
        <f t="shared" si="325"/>
        <v>5.5000000000000007E-2</v>
      </c>
      <c r="H188" s="23">
        <f t="shared" si="325"/>
        <v>8.6250000000000007E-2</v>
      </c>
      <c r="I188" s="23">
        <f t="shared" si="325"/>
        <v>5.6250000000000007E-3</v>
      </c>
      <c r="J188" s="23">
        <f t="shared" si="325"/>
        <v>0</v>
      </c>
      <c r="K188" s="23">
        <f t="shared" si="325"/>
        <v>0.17750000000000002</v>
      </c>
      <c r="L188" s="23">
        <f t="shared" si="325"/>
        <v>3.6250000000000004E-2</v>
      </c>
      <c r="M188" s="23">
        <f t="shared" si="325"/>
        <v>2.6750000000000003E-2</v>
      </c>
      <c r="N188" s="39">
        <f t="shared" ref="N188:O188" si="326">INT((INDEX(O$7:O$22,$B188)*(1-$D188)+INDEX(O$7:O$22,$B188+1)*$D188)*O$4*$B$2)</f>
        <v>1184</v>
      </c>
      <c r="O188" s="39">
        <f t="shared" si="326"/>
        <v>139</v>
      </c>
    </row>
    <row r="189" spans="1:15" ht="16.5" x14ac:dyDescent="0.2">
      <c r="A189" s="30">
        <v>155</v>
      </c>
      <c r="B189" s="30">
        <v>13</v>
      </c>
      <c r="C189" s="30">
        <v>5</v>
      </c>
      <c r="D189" s="21">
        <v>0.5</v>
      </c>
      <c r="E189" s="23">
        <f t="shared" ref="E189:M189" si="327">(INDEX(F$7:F$22,$B189)*(1-$D189)+INDEX(F$7:F$22,$B189+1)*$D189)*F$4*$B$2</f>
        <v>0</v>
      </c>
      <c r="F189" s="23">
        <f t="shared" si="327"/>
        <v>0</v>
      </c>
      <c r="G189" s="23">
        <f t="shared" si="327"/>
        <v>0.05</v>
      </c>
      <c r="H189" s="23">
        <f t="shared" si="327"/>
        <v>8.7500000000000008E-2</v>
      </c>
      <c r="I189" s="23">
        <f t="shared" si="327"/>
        <v>6.2500000000000003E-3</v>
      </c>
      <c r="J189" s="23">
        <f t="shared" si="327"/>
        <v>0</v>
      </c>
      <c r="K189" s="23">
        <f t="shared" si="327"/>
        <v>0.17500000000000002</v>
      </c>
      <c r="L189" s="23">
        <f t="shared" si="327"/>
        <v>3.7500000000000006E-2</v>
      </c>
      <c r="M189" s="23">
        <f t="shared" si="327"/>
        <v>2.7500000000000004E-2</v>
      </c>
      <c r="N189" s="39">
        <f t="shared" ref="N189:O189" si="328">INT((INDEX(O$7:O$22,$B189)*(1-$D189)+INDEX(O$7:O$22,$B189+1)*$D189)*O$4*$B$2)</f>
        <v>1200</v>
      </c>
      <c r="O189" s="39">
        <f t="shared" si="328"/>
        <v>140</v>
      </c>
    </row>
    <row r="190" spans="1:15" ht="16.5" x14ac:dyDescent="0.2">
      <c r="A190" s="30">
        <v>156</v>
      </c>
      <c r="B190" s="30">
        <v>13</v>
      </c>
      <c r="C190" s="30">
        <v>6</v>
      </c>
      <c r="D190" s="21">
        <v>0.55000000000000004</v>
      </c>
      <c r="E190" s="23">
        <f t="shared" ref="E190:M190" si="329">(INDEX(F$7:F$22,$B190)*(1-$D190)+INDEX(F$7:F$22,$B190+1)*$D190)*F$4*$B$2</f>
        <v>0</v>
      </c>
      <c r="F190" s="23">
        <f t="shared" si="329"/>
        <v>0</v>
      </c>
      <c r="G190" s="23">
        <f t="shared" si="329"/>
        <v>4.4999999999999998E-2</v>
      </c>
      <c r="H190" s="23">
        <f t="shared" si="329"/>
        <v>8.8749999999999996E-2</v>
      </c>
      <c r="I190" s="23">
        <f t="shared" si="329"/>
        <v>6.8750000000000009E-3</v>
      </c>
      <c r="J190" s="23">
        <f t="shared" si="329"/>
        <v>0</v>
      </c>
      <c r="K190" s="23">
        <f t="shared" si="329"/>
        <v>0.17250000000000001</v>
      </c>
      <c r="L190" s="23">
        <f t="shared" si="329"/>
        <v>3.8750000000000007E-2</v>
      </c>
      <c r="M190" s="23">
        <f t="shared" si="329"/>
        <v>2.8249999999999997E-2</v>
      </c>
      <c r="N190" s="39">
        <f t="shared" ref="N190:O190" si="330">INT((INDEX(O$7:O$22,$B190)*(1-$D190)+INDEX(O$7:O$22,$B190+1)*$D190)*O$4*$B$2)</f>
        <v>1216</v>
      </c>
      <c r="O190" s="39">
        <f t="shared" si="330"/>
        <v>141</v>
      </c>
    </row>
    <row r="191" spans="1:15" ht="16.5" x14ac:dyDescent="0.2">
      <c r="A191" s="30">
        <v>157</v>
      </c>
      <c r="B191" s="30">
        <v>13</v>
      </c>
      <c r="C191" s="30">
        <v>7</v>
      </c>
      <c r="D191" s="21">
        <v>0.6</v>
      </c>
      <c r="E191" s="23">
        <f t="shared" ref="E191:M191" si="331">(INDEX(F$7:F$22,$B191)*(1-$D191)+INDEX(F$7:F$22,$B191+1)*$D191)*F$4*$B$2</f>
        <v>0</v>
      </c>
      <c r="F191" s="23">
        <f t="shared" si="331"/>
        <v>0</v>
      </c>
      <c r="G191" s="23">
        <f t="shared" si="331"/>
        <v>4.0000000000000008E-2</v>
      </c>
      <c r="H191" s="23">
        <f t="shared" si="331"/>
        <v>9.0000000000000011E-2</v>
      </c>
      <c r="I191" s="23">
        <f t="shared" si="331"/>
        <v>7.4999999999999997E-3</v>
      </c>
      <c r="J191" s="23">
        <f t="shared" si="331"/>
        <v>0</v>
      </c>
      <c r="K191" s="23">
        <f t="shared" si="331"/>
        <v>0.17</v>
      </c>
      <c r="L191" s="23">
        <f t="shared" si="331"/>
        <v>4.0000000000000008E-2</v>
      </c>
      <c r="M191" s="23">
        <f t="shared" si="331"/>
        <v>2.9000000000000005E-2</v>
      </c>
      <c r="N191" s="39">
        <f t="shared" ref="N191:O191" si="332">INT((INDEX(O$7:O$22,$B191)*(1-$D191)+INDEX(O$7:O$22,$B191+1)*$D191)*O$4*$B$2)</f>
        <v>1232</v>
      </c>
      <c r="O191" s="39">
        <f t="shared" si="332"/>
        <v>142</v>
      </c>
    </row>
    <row r="192" spans="1:15" ht="16.5" x14ac:dyDescent="0.2">
      <c r="A192" s="30">
        <v>158</v>
      </c>
      <c r="B192" s="30">
        <v>13</v>
      </c>
      <c r="C192" s="30">
        <v>8</v>
      </c>
      <c r="D192" s="21">
        <v>0.65</v>
      </c>
      <c r="E192" s="23">
        <f t="shared" ref="E192:M192" si="333">(INDEX(F$7:F$22,$B192)*(1-$D192)+INDEX(F$7:F$22,$B192+1)*$D192)*F$4*$B$2</f>
        <v>0</v>
      </c>
      <c r="F192" s="23">
        <f t="shared" si="333"/>
        <v>0</v>
      </c>
      <c r="G192" s="23">
        <f t="shared" si="333"/>
        <v>3.4999999999999996E-2</v>
      </c>
      <c r="H192" s="23">
        <f t="shared" si="333"/>
        <v>9.1249999999999998E-2</v>
      </c>
      <c r="I192" s="23">
        <f t="shared" si="333"/>
        <v>8.1250000000000003E-3</v>
      </c>
      <c r="J192" s="23">
        <f t="shared" si="333"/>
        <v>0</v>
      </c>
      <c r="K192" s="23">
        <f t="shared" si="333"/>
        <v>0.16750000000000001</v>
      </c>
      <c r="L192" s="23">
        <f t="shared" si="333"/>
        <v>4.1250000000000002E-2</v>
      </c>
      <c r="M192" s="23">
        <f t="shared" si="333"/>
        <v>2.9749999999999999E-2</v>
      </c>
      <c r="N192" s="39">
        <f t="shared" ref="N192:O192" si="334">INT((INDEX(O$7:O$22,$B192)*(1-$D192)+INDEX(O$7:O$22,$B192+1)*$D192)*O$4*$B$2)</f>
        <v>1248</v>
      </c>
      <c r="O192" s="39">
        <f t="shared" si="334"/>
        <v>143</v>
      </c>
    </row>
    <row r="193" spans="1:15" ht="16.5" x14ac:dyDescent="0.2">
      <c r="A193" s="30">
        <v>159</v>
      </c>
      <c r="B193" s="30">
        <v>13</v>
      </c>
      <c r="C193" s="30">
        <v>9</v>
      </c>
      <c r="D193" s="21">
        <v>0.7</v>
      </c>
      <c r="E193" s="23">
        <f t="shared" ref="E193:M193" si="335">(INDEX(F$7:F$22,$B193)*(1-$D193)+INDEX(F$7:F$22,$B193+1)*$D193)*F$4*$B$2</f>
        <v>0</v>
      </c>
      <c r="F193" s="23">
        <f t="shared" si="335"/>
        <v>0</v>
      </c>
      <c r="G193" s="23">
        <f t="shared" si="335"/>
        <v>3.0000000000000006E-2</v>
      </c>
      <c r="H193" s="23">
        <f t="shared" si="335"/>
        <v>9.2500000000000013E-2</v>
      </c>
      <c r="I193" s="23">
        <f t="shared" si="335"/>
        <v>8.7499999999999991E-3</v>
      </c>
      <c r="J193" s="23">
        <f t="shared" si="335"/>
        <v>0</v>
      </c>
      <c r="K193" s="23">
        <f t="shared" si="335"/>
        <v>0.16500000000000001</v>
      </c>
      <c r="L193" s="23">
        <f t="shared" si="335"/>
        <v>4.2500000000000003E-2</v>
      </c>
      <c r="M193" s="23">
        <f t="shared" si="335"/>
        <v>3.0499999999999999E-2</v>
      </c>
      <c r="N193" s="39">
        <f t="shared" ref="N193:O193" si="336">INT((INDEX(O$7:O$22,$B193)*(1-$D193)+INDEX(O$7:O$22,$B193+1)*$D193)*O$4*$B$2)</f>
        <v>1264</v>
      </c>
      <c r="O193" s="39">
        <f t="shared" si="336"/>
        <v>144</v>
      </c>
    </row>
    <row r="194" spans="1:15" ht="16.5" x14ac:dyDescent="0.2">
      <c r="A194" s="30">
        <v>160</v>
      </c>
      <c r="B194" s="30">
        <v>13</v>
      </c>
      <c r="C194" s="30">
        <v>10</v>
      </c>
      <c r="D194" s="21">
        <v>0.75</v>
      </c>
      <c r="E194" s="23">
        <f t="shared" ref="E194:M194" si="337">(INDEX(F$7:F$22,$B194)*(1-$D194)+INDEX(F$7:F$22,$B194+1)*$D194)*F$4*$B$2</f>
        <v>0</v>
      </c>
      <c r="F194" s="23">
        <f t="shared" si="337"/>
        <v>0</v>
      </c>
      <c r="G194" s="23">
        <f t="shared" si="337"/>
        <v>2.5000000000000001E-2</v>
      </c>
      <c r="H194" s="23">
        <f t="shared" si="337"/>
        <v>9.375E-2</v>
      </c>
      <c r="I194" s="23">
        <f t="shared" si="337"/>
        <v>9.3750000000000014E-3</v>
      </c>
      <c r="J194" s="23">
        <f t="shared" si="337"/>
        <v>0</v>
      </c>
      <c r="K194" s="23">
        <f t="shared" si="337"/>
        <v>0.16250000000000001</v>
      </c>
      <c r="L194" s="23">
        <f t="shared" si="337"/>
        <v>4.3750000000000004E-2</v>
      </c>
      <c r="M194" s="23">
        <f t="shared" si="337"/>
        <v>3.1249999999999997E-2</v>
      </c>
      <c r="N194" s="39">
        <f t="shared" ref="N194:O194" si="338">INT((INDEX(O$7:O$22,$B194)*(1-$D194)+INDEX(O$7:O$22,$B194+1)*$D194)*O$4*$B$2)</f>
        <v>1280</v>
      </c>
      <c r="O194" s="39">
        <f t="shared" si="338"/>
        <v>145</v>
      </c>
    </row>
    <row r="195" spans="1:15" ht="16.5" x14ac:dyDescent="0.2">
      <c r="A195" s="30">
        <v>161</v>
      </c>
      <c r="B195" s="30">
        <v>13</v>
      </c>
      <c r="C195" s="30">
        <v>11</v>
      </c>
      <c r="D195" s="21">
        <v>0.8</v>
      </c>
      <c r="E195" s="23">
        <f t="shared" ref="E195:M195" si="339">(INDEX(F$7:F$22,$B195)*(1-$D195)+INDEX(F$7:F$22,$B195+1)*$D195)*F$4*$B$2</f>
        <v>0</v>
      </c>
      <c r="F195" s="23">
        <f t="shared" si="339"/>
        <v>0</v>
      </c>
      <c r="G195" s="23">
        <f t="shared" si="339"/>
        <v>1.9999999999999997E-2</v>
      </c>
      <c r="H195" s="23">
        <f t="shared" si="339"/>
        <v>9.5000000000000001E-2</v>
      </c>
      <c r="I195" s="23">
        <f t="shared" si="339"/>
        <v>1.0000000000000002E-2</v>
      </c>
      <c r="J195" s="23">
        <f t="shared" si="339"/>
        <v>0</v>
      </c>
      <c r="K195" s="23">
        <f t="shared" si="339"/>
        <v>0.16000000000000003</v>
      </c>
      <c r="L195" s="23">
        <f t="shared" si="339"/>
        <v>4.5000000000000005E-2</v>
      </c>
      <c r="M195" s="23">
        <f t="shared" si="339"/>
        <v>3.1999999999999994E-2</v>
      </c>
      <c r="N195" s="39">
        <f t="shared" ref="N195:O195" si="340">INT((INDEX(O$7:O$22,$B195)*(1-$D195)+INDEX(O$7:O$22,$B195+1)*$D195)*O$4*$B$2)</f>
        <v>1296</v>
      </c>
      <c r="O195" s="39">
        <f t="shared" si="340"/>
        <v>146</v>
      </c>
    </row>
    <row r="196" spans="1:15" ht="16.5" x14ac:dyDescent="0.2">
      <c r="A196" s="30">
        <v>162</v>
      </c>
      <c r="B196" s="30">
        <v>13</v>
      </c>
      <c r="C196" s="30">
        <v>12</v>
      </c>
      <c r="D196" s="21">
        <v>0.85</v>
      </c>
      <c r="E196" s="23">
        <f t="shared" ref="E196:M196" si="341">(INDEX(F$7:F$22,$B196)*(1-$D196)+INDEX(F$7:F$22,$B196+1)*$D196)*F$4*$B$2</f>
        <v>0</v>
      </c>
      <c r="F196" s="23">
        <f t="shared" si="341"/>
        <v>0</v>
      </c>
      <c r="G196" s="23">
        <f t="shared" si="341"/>
        <v>1.5000000000000003E-2</v>
      </c>
      <c r="H196" s="23">
        <f t="shared" si="341"/>
        <v>9.6250000000000002E-2</v>
      </c>
      <c r="I196" s="23">
        <f t="shared" si="341"/>
        <v>1.0625000000000001E-2</v>
      </c>
      <c r="J196" s="23">
        <f t="shared" si="341"/>
        <v>0</v>
      </c>
      <c r="K196" s="23">
        <f t="shared" si="341"/>
        <v>0.1575</v>
      </c>
      <c r="L196" s="23">
        <f t="shared" si="341"/>
        <v>4.6250000000000006E-2</v>
      </c>
      <c r="M196" s="23">
        <f t="shared" si="341"/>
        <v>3.2750000000000001E-2</v>
      </c>
      <c r="N196" s="39">
        <f t="shared" ref="N196:O196" si="342">INT((INDEX(O$7:O$22,$B196)*(1-$D196)+INDEX(O$7:O$22,$B196+1)*$D196)*O$4*$B$2)</f>
        <v>1312</v>
      </c>
      <c r="O196" s="39">
        <f t="shared" si="342"/>
        <v>147</v>
      </c>
    </row>
    <row r="197" spans="1:15" ht="16.5" x14ac:dyDescent="0.2">
      <c r="A197" s="30">
        <v>163</v>
      </c>
      <c r="B197" s="30">
        <v>13</v>
      </c>
      <c r="C197" s="30">
        <v>13</v>
      </c>
      <c r="D197" s="21">
        <v>0.9</v>
      </c>
      <c r="E197" s="23">
        <f t="shared" ref="E197:M197" si="343">(INDEX(F$7:F$22,$B197)*(1-$D197)+INDEX(F$7:F$22,$B197+1)*$D197)*F$4*$B$2</f>
        <v>0</v>
      </c>
      <c r="F197" s="23">
        <f t="shared" si="343"/>
        <v>0</v>
      </c>
      <c r="G197" s="23">
        <f t="shared" si="343"/>
        <v>9.9999999999999985E-3</v>
      </c>
      <c r="H197" s="23">
        <f t="shared" si="343"/>
        <v>9.7500000000000003E-2</v>
      </c>
      <c r="I197" s="23">
        <f t="shared" si="343"/>
        <v>1.1250000000000001E-2</v>
      </c>
      <c r="J197" s="23">
        <f t="shared" si="343"/>
        <v>0</v>
      </c>
      <c r="K197" s="23">
        <f t="shared" si="343"/>
        <v>0.15500000000000003</v>
      </c>
      <c r="L197" s="23">
        <f t="shared" si="343"/>
        <v>4.7500000000000001E-2</v>
      </c>
      <c r="M197" s="23">
        <f t="shared" si="343"/>
        <v>3.3500000000000002E-2</v>
      </c>
      <c r="N197" s="39">
        <f t="shared" ref="N197:O197" si="344">INT((INDEX(O$7:O$22,$B197)*(1-$D197)+INDEX(O$7:O$22,$B197+1)*$D197)*O$4*$B$2)</f>
        <v>1328</v>
      </c>
      <c r="O197" s="39">
        <f t="shared" si="344"/>
        <v>148</v>
      </c>
    </row>
    <row r="198" spans="1:15" ht="16.5" x14ac:dyDescent="0.2">
      <c r="A198" s="30">
        <v>164</v>
      </c>
      <c r="B198" s="30">
        <v>13</v>
      </c>
      <c r="C198" s="30">
        <v>14</v>
      </c>
      <c r="D198" s="21">
        <v>0.95</v>
      </c>
      <c r="E198" s="23">
        <f t="shared" ref="E198:M198" si="345">(INDEX(F$7:F$22,$B198)*(1-$D198)+INDEX(F$7:F$22,$B198+1)*$D198)*F$4*$B$2</f>
        <v>0</v>
      </c>
      <c r="F198" s="23">
        <f t="shared" si="345"/>
        <v>0</v>
      </c>
      <c r="G198" s="23">
        <f t="shared" si="345"/>
        <v>5.0000000000000044E-3</v>
      </c>
      <c r="H198" s="23">
        <f t="shared" si="345"/>
        <v>9.8750000000000004E-2</v>
      </c>
      <c r="I198" s="23">
        <f t="shared" si="345"/>
        <v>1.1875E-2</v>
      </c>
      <c r="J198" s="23">
        <f t="shared" si="345"/>
        <v>0</v>
      </c>
      <c r="K198" s="23">
        <f t="shared" si="345"/>
        <v>0.1525</v>
      </c>
      <c r="L198" s="23">
        <f t="shared" si="345"/>
        <v>4.8750000000000002E-2</v>
      </c>
      <c r="M198" s="23">
        <f t="shared" si="345"/>
        <v>3.4249999999999996E-2</v>
      </c>
      <c r="N198" s="39">
        <f t="shared" ref="N198:O198" si="346">INT((INDEX(O$7:O$22,$B198)*(1-$D198)+INDEX(O$7:O$22,$B198+1)*$D198)*O$4*$B$2)</f>
        <v>1344</v>
      </c>
      <c r="O198" s="39">
        <f t="shared" si="346"/>
        <v>149</v>
      </c>
    </row>
    <row r="199" spans="1:15" ht="16.5" x14ac:dyDescent="0.2">
      <c r="A199" s="30">
        <v>165</v>
      </c>
      <c r="B199" s="30">
        <v>13</v>
      </c>
      <c r="C199" s="30">
        <v>15</v>
      </c>
      <c r="D199" s="21">
        <v>1</v>
      </c>
      <c r="E199" s="23">
        <f t="shared" ref="E199:M199" si="347">(INDEX(F$7:F$22,$B199)*(1-$D199)+INDEX(F$7:F$22,$B199+1)*$D199)*F$4*$B$2</f>
        <v>0</v>
      </c>
      <c r="F199" s="23">
        <f t="shared" si="347"/>
        <v>0</v>
      </c>
      <c r="G199" s="23">
        <f t="shared" si="347"/>
        <v>0</v>
      </c>
      <c r="H199" s="23">
        <f t="shared" si="347"/>
        <v>0.1</v>
      </c>
      <c r="I199" s="23">
        <f t="shared" si="347"/>
        <v>1.2500000000000001E-2</v>
      </c>
      <c r="J199" s="23">
        <f t="shared" si="347"/>
        <v>0</v>
      </c>
      <c r="K199" s="23">
        <f t="shared" si="347"/>
        <v>0.15000000000000002</v>
      </c>
      <c r="L199" s="23">
        <f t="shared" si="347"/>
        <v>0.05</v>
      </c>
      <c r="M199" s="23">
        <f t="shared" si="347"/>
        <v>3.4999999999999996E-2</v>
      </c>
      <c r="N199" s="39">
        <f t="shared" ref="N199:O199" si="348">INT((INDEX(O$7:O$22,$B199)*(1-$D199)+INDEX(O$7:O$22,$B199+1)*$D199)*O$4*$B$2)</f>
        <v>1360</v>
      </c>
      <c r="O199" s="39">
        <f t="shared" si="348"/>
        <v>150</v>
      </c>
    </row>
    <row r="200" spans="1:15" ht="16.5" x14ac:dyDescent="0.2">
      <c r="A200" s="30">
        <v>166</v>
      </c>
      <c r="B200" s="30">
        <v>14</v>
      </c>
      <c r="C200" s="30">
        <v>1</v>
      </c>
      <c r="D200" s="21">
        <v>0.3</v>
      </c>
      <c r="E200" s="23">
        <f t="shared" ref="E200:M200" si="349">(INDEX(F$7:F$22,$B200)*(1-$D200)+INDEX(F$7:F$22,$B200+1)*$D200)*F$4*$B$2</f>
        <v>0</v>
      </c>
      <c r="F200" s="23">
        <f t="shared" si="349"/>
        <v>0</v>
      </c>
      <c r="G200" s="23">
        <f t="shared" si="349"/>
        <v>0</v>
      </c>
      <c r="H200" s="23">
        <f t="shared" si="349"/>
        <v>9.2499999999999999E-2</v>
      </c>
      <c r="I200" s="23">
        <f t="shared" si="349"/>
        <v>1.6249999999999997E-2</v>
      </c>
      <c r="J200" s="23">
        <f t="shared" si="349"/>
        <v>0</v>
      </c>
      <c r="K200" s="23">
        <f t="shared" si="349"/>
        <v>0.13499999999999998</v>
      </c>
      <c r="L200" s="23">
        <f t="shared" si="349"/>
        <v>5.7499999999999996E-2</v>
      </c>
      <c r="M200" s="23">
        <f t="shared" si="349"/>
        <v>3.95E-2</v>
      </c>
      <c r="N200" s="39">
        <f t="shared" ref="N200:O200" si="350">INT((INDEX(O$7:O$22,$B200)*(1-$D200)+INDEX(O$7:O$22,$B200+1)*$D200)*O$4*$B$2)</f>
        <v>1492</v>
      </c>
      <c r="O200" s="39">
        <f t="shared" si="350"/>
        <v>157</v>
      </c>
    </row>
    <row r="201" spans="1:15" ht="16.5" x14ac:dyDescent="0.2">
      <c r="A201" s="30">
        <v>167</v>
      </c>
      <c r="B201" s="30">
        <v>14</v>
      </c>
      <c r="C201" s="30">
        <v>2</v>
      </c>
      <c r="D201" s="21">
        <v>0.35</v>
      </c>
      <c r="E201" s="23">
        <f t="shared" ref="E201:M201" si="351">(INDEX(F$7:F$22,$B201)*(1-$D201)+INDEX(F$7:F$22,$B201+1)*$D201)*F$4*$B$2</f>
        <v>0</v>
      </c>
      <c r="F201" s="23">
        <f t="shared" si="351"/>
        <v>0</v>
      </c>
      <c r="G201" s="23">
        <f t="shared" si="351"/>
        <v>0</v>
      </c>
      <c r="H201" s="23">
        <f t="shared" si="351"/>
        <v>9.1249999999999998E-2</v>
      </c>
      <c r="I201" s="23">
        <f t="shared" si="351"/>
        <v>1.6875000000000001E-2</v>
      </c>
      <c r="J201" s="23">
        <f t="shared" si="351"/>
        <v>0</v>
      </c>
      <c r="K201" s="23">
        <f t="shared" si="351"/>
        <v>0.13250000000000003</v>
      </c>
      <c r="L201" s="23">
        <f t="shared" si="351"/>
        <v>5.8749999999999997E-2</v>
      </c>
      <c r="M201" s="23">
        <f t="shared" si="351"/>
        <v>4.0250000000000001E-2</v>
      </c>
      <c r="N201" s="39">
        <f t="shared" ref="N201:O201" si="352">INT((INDEX(O$7:O$22,$B201)*(1-$D201)+INDEX(O$7:O$22,$B201+1)*$D201)*O$4*$B$2)</f>
        <v>1514</v>
      </c>
      <c r="O201" s="39">
        <f t="shared" si="352"/>
        <v>158</v>
      </c>
    </row>
    <row r="202" spans="1:15" ht="16.5" x14ac:dyDescent="0.2">
      <c r="A202" s="30">
        <v>168</v>
      </c>
      <c r="B202" s="30">
        <v>14</v>
      </c>
      <c r="C202" s="30">
        <v>3</v>
      </c>
      <c r="D202" s="21">
        <v>0.4</v>
      </c>
      <c r="E202" s="23">
        <f t="shared" ref="E202:M202" si="353">(INDEX(F$7:F$22,$B202)*(1-$D202)+INDEX(F$7:F$22,$B202+1)*$D202)*F$4*$B$2</f>
        <v>0</v>
      </c>
      <c r="F202" s="23">
        <f t="shared" si="353"/>
        <v>0</v>
      </c>
      <c r="G202" s="23">
        <f t="shared" si="353"/>
        <v>0</v>
      </c>
      <c r="H202" s="23">
        <f t="shared" si="353"/>
        <v>9.0000000000000011E-2</v>
      </c>
      <c r="I202" s="23">
        <f t="shared" si="353"/>
        <v>1.7499999999999998E-2</v>
      </c>
      <c r="J202" s="23">
        <f t="shared" si="353"/>
        <v>0</v>
      </c>
      <c r="K202" s="23">
        <f t="shared" si="353"/>
        <v>0.12999999999999998</v>
      </c>
      <c r="L202" s="23">
        <f t="shared" si="353"/>
        <v>6.0000000000000012E-2</v>
      </c>
      <c r="M202" s="23">
        <f t="shared" si="353"/>
        <v>4.1000000000000009E-2</v>
      </c>
      <c r="N202" s="39">
        <f t="shared" ref="N202:O202" si="354">INT((INDEX(O$7:O$22,$B202)*(1-$D202)+INDEX(O$7:O$22,$B202+1)*$D202)*O$4*$B$2)</f>
        <v>1536</v>
      </c>
      <c r="O202" s="39">
        <f t="shared" si="354"/>
        <v>160</v>
      </c>
    </row>
    <row r="203" spans="1:15" ht="16.5" x14ac:dyDescent="0.2">
      <c r="A203" s="30">
        <v>169</v>
      </c>
      <c r="B203" s="30">
        <v>14</v>
      </c>
      <c r="C203" s="30">
        <v>4</v>
      </c>
      <c r="D203" s="21">
        <v>0.45</v>
      </c>
      <c r="E203" s="23">
        <f t="shared" ref="E203:M203" si="355">(INDEX(F$7:F$22,$B203)*(1-$D203)+INDEX(F$7:F$22,$B203+1)*$D203)*F$4*$B$2</f>
        <v>0</v>
      </c>
      <c r="F203" s="23">
        <f t="shared" si="355"/>
        <v>0</v>
      </c>
      <c r="G203" s="23">
        <f t="shared" si="355"/>
        <v>0</v>
      </c>
      <c r="H203" s="23">
        <f t="shared" si="355"/>
        <v>8.8750000000000009E-2</v>
      </c>
      <c r="I203" s="23">
        <f t="shared" si="355"/>
        <v>1.8125000000000002E-2</v>
      </c>
      <c r="J203" s="23">
        <f t="shared" si="355"/>
        <v>0</v>
      </c>
      <c r="K203" s="23">
        <f t="shared" si="355"/>
        <v>0.12750000000000003</v>
      </c>
      <c r="L203" s="23">
        <f t="shared" si="355"/>
        <v>6.1250000000000006E-2</v>
      </c>
      <c r="M203" s="23">
        <f t="shared" si="355"/>
        <v>4.1750000000000002E-2</v>
      </c>
      <c r="N203" s="39">
        <f t="shared" ref="N203:O203" si="356">INT((INDEX(O$7:O$22,$B203)*(1-$D203)+INDEX(O$7:O$22,$B203+1)*$D203)*O$4*$B$2)</f>
        <v>1558</v>
      </c>
      <c r="O203" s="39">
        <f t="shared" si="356"/>
        <v>161</v>
      </c>
    </row>
    <row r="204" spans="1:15" ht="16.5" x14ac:dyDescent="0.2">
      <c r="A204" s="30">
        <v>170</v>
      </c>
      <c r="B204" s="30">
        <v>14</v>
      </c>
      <c r="C204" s="30">
        <v>5</v>
      </c>
      <c r="D204" s="21">
        <v>0.5</v>
      </c>
      <c r="E204" s="23">
        <f t="shared" ref="E204:M204" si="357">(INDEX(F$7:F$22,$B204)*(1-$D204)+INDEX(F$7:F$22,$B204+1)*$D204)*F$4*$B$2</f>
        <v>0</v>
      </c>
      <c r="F204" s="23">
        <f t="shared" si="357"/>
        <v>0</v>
      </c>
      <c r="G204" s="23">
        <f t="shared" si="357"/>
        <v>0</v>
      </c>
      <c r="H204" s="23">
        <f t="shared" si="357"/>
        <v>8.7500000000000008E-2</v>
      </c>
      <c r="I204" s="23">
        <f t="shared" si="357"/>
        <v>1.8750000000000003E-2</v>
      </c>
      <c r="J204" s="23">
        <f t="shared" si="357"/>
        <v>0</v>
      </c>
      <c r="K204" s="23">
        <f t="shared" si="357"/>
        <v>0.125</v>
      </c>
      <c r="L204" s="23">
        <f t="shared" si="357"/>
        <v>6.25E-2</v>
      </c>
      <c r="M204" s="23">
        <f t="shared" si="357"/>
        <v>4.2500000000000003E-2</v>
      </c>
      <c r="N204" s="39">
        <f t="shared" ref="N204:O204" si="358">INT((INDEX(O$7:O$22,$B204)*(1-$D204)+INDEX(O$7:O$22,$B204+1)*$D204)*O$4*$B$2)</f>
        <v>1580</v>
      </c>
      <c r="O204" s="39">
        <f t="shared" si="358"/>
        <v>162</v>
      </c>
    </row>
    <row r="205" spans="1:15" ht="16.5" x14ac:dyDescent="0.2">
      <c r="A205" s="30">
        <v>171</v>
      </c>
      <c r="B205" s="30">
        <v>14</v>
      </c>
      <c r="C205" s="30">
        <v>6</v>
      </c>
      <c r="D205" s="21">
        <v>0.55000000000000004</v>
      </c>
      <c r="E205" s="23">
        <f t="shared" ref="E205:M205" si="359">(INDEX(F$7:F$22,$B205)*(1-$D205)+INDEX(F$7:F$22,$B205+1)*$D205)*F$4*$B$2</f>
        <v>0</v>
      </c>
      <c r="F205" s="23">
        <f t="shared" si="359"/>
        <v>0</v>
      </c>
      <c r="G205" s="23">
        <f t="shared" si="359"/>
        <v>0</v>
      </c>
      <c r="H205" s="23">
        <f t="shared" si="359"/>
        <v>8.6250000000000007E-2</v>
      </c>
      <c r="I205" s="23">
        <f t="shared" si="359"/>
        <v>1.9375000000000003E-2</v>
      </c>
      <c r="J205" s="23">
        <f t="shared" si="359"/>
        <v>0</v>
      </c>
      <c r="K205" s="23">
        <f t="shared" si="359"/>
        <v>0.12250000000000001</v>
      </c>
      <c r="L205" s="23">
        <f t="shared" si="359"/>
        <v>6.3750000000000001E-2</v>
      </c>
      <c r="M205" s="23">
        <f t="shared" si="359"/>
        <v>4.3250000000000004E-2</v>
      </c>
      <c r="N205" s="39">
        <f t="shared" ref="N205:O205" si="360">INT((INDEX(O$7:O$22,$B205)*(1-$D205)+INDEX(O$7:O$22,$B205+1)*$D205)*O$4*$B$2)</f>
        <v>1602</v>
      </c>
      <c r="O205" s="39">
        <f t="shared" si="360"/>
        <v>163</v>
      </c>
    </row>
    <row r="206" spans="1:15" ht="16.5" x14ac:dyDescent="0.2">
      <c r="A206" s="30">
        <v>172</v>
      </c>
      <c r="B206" s="30">
        <v>14</v>
      </c>
      <c r="C206" s="30">
        <v>7</v>
      </c>
      <c r="D206" s="21">
        <v>0.6</v>
      </c>
      <c r="E206" s="23">
        <f t="shared" ref="E206:M206" si="361">(INDEX(F$7:F$22,$B206)*(1-$D206)+INDEX(F$7:F$22,$B206+1)*$D206)*F$4*$B$2</f>
        <v>0</v>
      </c>
      <c r="F206" s="23">
        <f t="shared" si="361"/>
        <v>0</v>
      </c>
      <c r="G206" s="23">
        <f t="shared" si="361"/>
        <v>0</v>
      </c>
      <c r="H206" s="23">
        <f t="shared" si="361"/>
        <v>8.5000000000000006E-2</v>
      </c>
      <c r="I206" s="23">
        <f t="shared" si="361"/>
        <v>2.0000000000000004E-2</v>
      </c>
      <c r="J206" s="23">
        <f t="shared" si="361"/>
        <v>0</v>
      </c>
      <c r="K206" s="23">
        <f t="shared" si="361"/>
        <v>0.12000000000000002</v>
      </c>
      <c r="L206" s="23">
        <f t="shared" si="361"/>
        <v>6.4999999999999988E-2</v>
      </c>
      <c r="M206" s="23">
        <f t="shared" si="361"/>
        <v>4.3999999999999997E-2</v>
      </c>
      <c r="N206" s="39">
        <f t="shared" ref="N206:O206" si="362">INT((INDEX(O$7:O$22,$B206)*(1-$D206)+INDEX(O$7:O$22,$B206+1)*$D206)*O$4*$B$2)</f>
        <v>1624</v>
      </c>
      <c r="O206" s="39">
        <f t="shared" si="362"/>
        <v>165</v>
      </c>
    </row>
    <row r="207" spans="1:15" ht="16.5" x14ac:dyDescent="0.2">
      <c r="A207" s="30">
        <v>173</v>
      </c>
      <c r="B207" s="30">
        <v>14</v>
      </c>
      <c r="C207" s="30">
        <v>8</v>
      </c>
      <c r="D207" s="21">
        <v>0.65</v>
      </c>
      <c r="E207" s="23">
        <f t="shared" ref="E207:M207" si="363">(INDEX(F$7:F$22,$B207)*(1-$D207)+INDEX(F$7:F$22,$B207+1)*$D207)*F$4*$B$2</f>
        <v>0</v>
      </c>
      <c r="F207" s="23">
        <f t="shared" si="363"/>
        <v>0</v>
      </c>
      <c r="G207" s="23">
        <f t="shared" si="363"/>
        <v>0</v>
      </c>
      <c r="H207" s="23">
        <f t="shared" si="363"/>
        <v>8.3750000000000005E-2</v>
      </c>
      <c r="I207" s="23">
        <f t="shared" si="363"/>
        <v>2.0625000000000001E-2</v>
      </c>
      <c r="J207" s="23">
        <f t="shared" si="363"/>
        <v>0</v>
      </c>
      <c r="K207" s="23">
        <f t="shared" si="363"/>
        <v>0.11749999999999999</v>
      </c>
      <c r="L207" s="23">
        <f t="shared" si="363"/>
        <v>6.6250000000000017E-2</v>
      </c>
      <c r="M207" s="23">
        <f t="shared" si="363"/>
        <v>4.4750000000000005E-2</v>
      </c>
      <c r="N207" s="39">
        <f t="shared" ref="N207:O207" si="364">INT((INDEX(O$7:O$22,$B207)*(1-$D207)+INDEX(O$7:O$22,$B207+1)*$D207)*O$4*$B$2)</f>
        <v>1646</v>
      </c>
      <c r="O207" s="39">
        <f t="shared" si="364"/>
        <v>166</v>
      </c>
    </row>
    <row r="208" spans="1:15" ht="16.5" x14ac:dyDescent="0.2">
      <c r="A208" s="30">
        <v>174</v>
      </c>
      <c r="B208" s="30">
        <v>14</v>
      </c>
      <c r="C208" s="30">
        <v>9</v>
      </c>
      <c r="D208" s="21">
        <v>0.7</v>
      </c>
      <c r="E208" s="23">
        <f t="shared" ref="E208:M208" si="365">(INDEX(F$7:F$22,$B208)*(1-$D208)+INDEX(F$7:F$22,$B208+1)*$D208)*F$4*$B$2</f>
        <v>0</v>
      </c>
      <c r="F208" s="23">
        <f t="shared" si="365"/>
        <v>0</v>
      </c>
      <c r="G208" s="23">
        <f t="shared" si="365"/>
        <v>0</v>
      </c>
      <c r="H208" s="23">
        <f t="shared" si="365"/>
        <v>8.2500000000000004E-2</v>
      </c>
      <c r="I208" s="23">
        <f t="shared" si="365"/>
        <v>2.1250000000000002E-2</v>
      </c>
      <c r="J208" s="23">
        <f t="shared" si="365"/>
        <v>0</v>
      </c>
      <c r="K208" s="23">
        <f t="shared" si="365"/>
        <v>0.11499999999999999</v>
      </c>
      <c r="L208" s="23">
        <f t="shared" si="365"/>
        <v>6.7499999999999991E-2</v>
      </c>
      <c r="M208" s="23">
        <f t="shared" si="365"/>
        <v>4.5499999999999999E-2</v>
      </c>
      <c r="N208" s="39">
        <f t="shared" ref="N208:O208" si="366">INT((INDEX(O$7:O$22,$B208)*(1-$D208)+INDEX(O$7:O$22,$B208+1)*$D208)*O$4*$B$2)</f>
        <v>1668</v>
      </c>
      <c r="O208" s="39">
        <f t="shared" si="366"/>
        <v>167</v>
      </c>
    </row>
    <row r="209" spans="1:15" ht="16.5" x14ac:dyDescent="0.2">
      <c r="A209" s="30">
        <v>175</v>
      </c>
      <c r="B209" s="30">
        <v>14</v>
      </c>
      <c r="C209" s="30">
        <v>10</v>
      </c>
      <c r="D209" s="21">
        <v>0.75</v>
      </c>
      <c r="E209" s="23">
        <f t="shared" ref="E209:M209" si="367">(INDEX(F$7:F$22,$B209)*(1-$D209)+INDEX(F$7:F$22,$B209+1)*$D209)*F$4*$B$2</f>
        <v>0</v>
      </c>
      <c r="F209" s="23">
        <f t="shared" si="367"/>
        <v>0</v>
      </c>
      <c r="G209" s="23">
        <f t="shared" si="367"/>
        <v>0</v>
      </c>
      <c r="H209" s="23">
        <f t="shared" si="367"/>
        <v>8.1250000000000003E-2</v>
      </c>
      <c r="I209" s="23">
        <f t="shared" si="367"/>
        <v>2.1875000000000002E-2</v>
      </c>
      <c r="J209" s="23">
        <f t="shared" si="367"/>
        <v>0</v>
      </c>
      <c r="K209" s="23">
        <f t="shared" si="367"/>
        <v>0.1125</v>
      </c>
      <c r="L209" s="23">
        <f t="shared" si="367"/>
        <v>6.8750000000000006E-2</v>
      </c>
      <c r="M209" s="23">
        <f t="shared" si="367"/>
        <v>4.6250000000000006E-2</v>
      </c>
      <c r="N209" s="39">
        <f t="shared" ref="N209:O209" si="368">INT((INDEX(O$7:O$22,$B209)*(1-$D209)+INDEX(O$7:O$22,$B209+1)*$D209)*O$4*$B$2)</f>
        <v>1690</v>
      </c>
      <c r="O209" s="39">
        <f t="shared" si="368"/>
        <v>168</v>
      </c>
    </row>
    <row r="210" spans="1:15" ht="16.5" x14ac:dyDescent="0.2">
      <c r="A210" s="30">
        <v>176</v>
      </c>
      <c r="B210" s="30">
        <v>14</v>
      </c>
      <c r="C210" s="30">
        <v>11</v>
      </c>
      <c r="D210" s="21">
        <v>0.8</v>
      </c>
      <c r="E210" s="23">
        <f t="shared" ref="E210:M210" si="369">(INDEX(F$7:F$22,$B210)*(1-$D210)+INDEX(F$7:F$22,$B210+1)*$D210)*F$4*$B$2</f>
        <v>0</v>
      </c>
      <c r="F210" s="23">
        <f t="shared" si="369"/>
        <v>0</v>
      </c>
      <c r="G210" s="23">
        <f t="shared" si="369"/>
        <v>0</v>
      </c>
      <c r="H210" s="23">
        <f t="shared" si="369"/>
        <v>8.0000000000000016E-2</v>
      </c>
      <c r="I210" s="23">
        <f t="shared" si="369"/>
        <v>2.2500000000000003E-2</v>
      </c>
      <c r="J210" s="23">
        <f t="shared" si="369"/>
        <v>0</v>
      </c>
      <c r="K210" s="23">
        <f t="shared" si="369"/>
        <v>0.11000000000000001</v>
      </c>
      <c r="L210" s="23">
        <f t="shared" si="369"/>
        <v>7.0000000000000007E-2</v>
      </c>
      <c r="M210" s="23">
        <f t="shared" si="369"/>
        <v>4.7E-2</v>
      </c>
      <c r="N210" s="39">
        <f t="shared" ref="N210:O210" si="370">INT((INDEX(O$7:O$22,$B210)*(1-$D210)+INDEX(O$7:O$22,$B210+1)*$D210)*O$4*$B$2)</f>
        <v>1712</v>
      </c>
      <c r="O210" s="39">
        <f t="shared" si="370"/>
        <v>170</v>
      </c>
    </row>
    <row r="211" spans="1:15" ht="16.5" x14ac:dyDescent="0.2">
      <c r="A211" s="30">
        <v>177</v>
      </c>
      <c r="B211" s="30">
        <v>14</v>
      </c>
      <c r="C211" s="30">
        <v>12</v>
      </c>
      <c r="D211" s="21">
        <v>0.85</v>
      </c>
      <c r="E211" s="23">
        <f t="shared" ref="E211:M211" si="371">(INDEX(F$7:F$22,$B211)*(1-$D211)+INDEX(F$7:F$22,$B211+1)*$D211)*F$4*$B$2</f>
        <v>0</v>
      </c>
      <c r="F211" s="23">
        <f t="shared" si="371"/>
        <v>0</v>
      </c>
      <c r="G211" s="23">
        <f t="shared" si="371"/>
        <v>0</v>
      </c>
      <c r="H211" s="23">
        <f t="shared" si="371"/>
        <v>7.8750000000000001E-2</v>
      </c>
      <c r="I211" s="23">
        <f t="shared" si="371"/>
        <v>2.3125000000000003E-2</v>
      </c>
      <c r="J211" s="23">
        <f t="shared" si="371"/>
        <v>0</v>
      </c>
      <c r="K211" s="23">
        <f t="shared" si="371"/>
        <v>0.1075</v>
      </c>
      <c r="L211" s="23">
        <f t="shared" si="371"/>
        <v>7.1249999999999994E-2</v>
      </c>
      <c r="M211" s="23">
        <f t="shared" si="371"/>
        <v>4.7750000000000001E-2</v>
      </c>
      <c r="N211" s="39">
        <f t="shared" ref="N211:O211" si="372">INT((INDEX(O$7:O$22,$B211)*(1-$D211)+INDEX(O$7:O$22,$B211+1)*$D211)*O$4*$B$2)</f>
        <v>1734</v>
      </c>
      <c r="O211" s="39">
        <f t="shared" si="372"/>
        <v>171</v>
      </c>
    </row>
    <row r="212" spans="1:15" ht="16.5" x14ac:dyDescent="0.2">
      <c r="A212" s="30">
        <v>178</v>
      </c>
      <c r="B212" s="30">
        <v>14</v>
      </c>
      <c r="C212" s="30">
        <v>13</v>
      </c>
      <c r="D212" s="21">
        <v>0.9</v>
      </c>
      <c r="E212" s="23">
        <f t="shared" ref="E212:M212" si="373">(INDEX(F$7:F$22,$B212)*(1-$D212)+INDEX(F$7:F$22,$B212+1)*$D212)*F$4*$B$2</f>
        <v>0</v>
      </c>
      <c r="F212" s="23">
        <f t="shared" si="373"/>
        <v>0</v>
      </c>
      <c r="G212" s="23">
        <f t="shared" si="373"/>
        <v>0</v>
      </c>
      <c r="H212" s="23">
        <f t="shared" si="373"/>
        <v>7.7500000000000013E-2</v>
      </c>
      <c r="I212" s="23">
        <f t="shared" si="373"/>
        <v>2.375E-2</v>
      </c>
      <c r="J212" s="23">
        <f t="shared" si="373"/>
        <v>0</v>
      </c>
      <c r="K212" s="23">
        <f t="shared" si="373"/>
        <v>0.10500000000000001</v>
      </c>
      <c r="L212" s="23">
        <f t="shared" si="373"/>
        <v>7.2500000000000009E-2</v>
      </c>
      <c r="M212" s="23">
        <f t="shared" si="373"/>
        <v>4.8500000000000001E-2</v>
      </c>
      <c r="N212" s="39">
        <f t="shared" ref="N212:O212" si="374">INT((INDEX(O$7:O$22,$B212)*(1-$D212)+INDEX(O$7:O$22,$B212+1)*$D212)*O$4*$B$2)</f>
        <v>1756</v>
      </c>
      <c r="O212" s="39">
        <f t="shared" si="374"/>
        <v>172</v>
      </c>
    </row>
    <row r="213" spans="1:15" ht="16.5" x14ac:dyDescent="0.2">
      <c r="A213" s="30">
        <v>179</v>
      </c>
      <c r="B213" s="30">
        <v>14</v>
      </c>
      <c r="C213" s="30">
        <v>14</v>
      </c>
      <c r="D213" s="21">
        <v>0.95</v>
      </c>
      <c r="E213" s="23">
        <f t="shared" ref="E213:M213" si="375">(INDEX(F$7:F$22,$B213)*(1-$D213)+INDEX(F$7:F$22,$B213+1)*$D213)*F$4*$B$2</f>
        <v>0</v>
      </c>
      <c r="F213" s="23">
        <f t="shared" si="375"/>
        <v>0</v>
      </c>
      <c r="G213" s="23">
        <f t="shared" si="375"/>
        <v>0</v>
      </c>
      <c r="H213" s="23">
        <f t="shared" si="375"/>
        <v>7.6249999999999998E-2</v>
      </c>
      <c r="I213" s="23">
        <f t="shared" si="375"/>
        <v>2.4375000000000001E-2</v>
      </c>
      <c r="J213" s="23">
        <f t="shared" si="375"/>
        <v>0</v>
      </c>
      <c r="K213" s="23">
        <f t="shared" si="375"/>
        <v>0.10249999999999999</v>
      </c>
      <c r="L213" s="23">
        <f t="shared" si="375"/>
        <v>7.3749999999999996E-2</v>
      </c>
      <c r="M213" s="23">
        <f t="shared" si="375"/>
        <v>4.9250000000000002E-2</v>
      </c>
      <c r="N213" s="39">
        <f t="shared" ref="N213:O213" si="376">INT((INDEX(O$7:O$22,$B213)*(1-$D213)+INDEX(O$7:O$22,$B213+1)*$D213)*O$4*$B$2)</f>
        <v>1778</v>
      </c>
      <c r="O213" s="39">
        <f t="shared" si="376"/>
        <v>173</v>
      </c>
    </row>
    <row r="214" spans="1:15" ht="16.5" x14ac:dyDescent="0.2">
      <c r="A214" s="30">
        <v>180</v>
      </c>
      <c r="B214" s="30">
        <v>14</v>
      </c>
      <c r="C214" s="30">
        <v>15</v>
      </c>
      <c r="D214" s="21">
        <v>1</v>
      </c>
      <c r="E214" s="23">
        <f t="shared" ref="E214:M214" si="377">(INDEX(F$7:F$22,$B214)*(1-$D214)+INDEX(F$7:F$22,$B214+1)*$D214)*F$4*$B$2</f>
        <v>0</v>
      </c>
      <c r="F214" s="23">
        <f t="shared" si="377"/>
        <v>0</v>
      </c>
      <c r="G214" s="23">
        <f t="shared" si="377"/>
        <v>0</v>
      </c>
      <c r="H214" s="23">
        <f t="shared" si="377"/>
        <v>7.5000000000000011E-2</v>
      </c>
      <c r="I214" s="23">
        <f t="shared" si="377"/>
        <v>2.5000000000000001E-2</v>
      </c>
      <c r="J214" s="23">
        <f t="shared" si="377"/>
        <v>0</v>
      </c>
      <c r="K214" s="23">
        <f t="shared" si="377"/>
        <v>0.1</v>
      </c>
      <c r="L214" s="23">
        <f t="shared" si="377"/>
        <v>7.5000000000000011E-2</v>
      </c>
      <c r="M214" s="23">
        <f t="shared" si="377"/>
        <v>0.05</v>
      </c>
      <c r="N214" s="39">
        <f t="shared" ref="N214:O214" si="378">INT((INDEX(O$7:O$22,$B214)*(1-$D214)+INDEX(O$7:O$22,$B214+1)*$D214)*O$4*$B$2)</f>
        <v>1800</v>
      </c>
      <c r="O214" s="39">
        <f t="shared" si="378"/>
        <v>175</v>
      </c>
    </row>
    <row r="215" spans="1:15" ht="16.5" x14ac:dyDescent="0.2">
      <c r="A215" s="30">
        <v>181</v>
      </c>
      <c r="B215" s="30">
        <v>15</v>
      </c>
      <c r="C215" s="30">
        <v>1</v>
      </c>
      <c r="D215" s="21">
        <v>0.3</v>
      </c>
      <c r="E215" s="23">
        <f t="shared" ref="E215:M215" si="379">(INDEX(F$7:F$22,$B215)*(1-$D215)+INDEX(F$7:F$22,$B215+1)*$D215)*F$4*$B$2</f>
        <v>0</v>
      </c>
      <c r="F215" s="23">
        <f t="shared" si="379"/>
        <v>0</v>
      </c>
      <c r="G215" s="23">
        <f t="shared" si="379"/>
        <v>0</v>
      </c>
      <c r="H215" s="23">
        <f t="shared" si="379"/>
        <v>6.7499999999999991E-2</v>
      </c>
      <c r="I215" s="23">
        <f t="shared" si="379"/>
        <v>3.2499999999999994E-2</v>
      </c>
      <c r="J215" s="23">
        <f t="shared" si="379"/>
        <v>0</v>
      </c>
      <c r="K215" s="23">
        <f t="shared" si="379"/>
        <v>6.9999999999999993E-2</v>
      </c>
      <c r="L215" s="23">
        <f t="shared" si="379"/>
        <v>8.2500000000000004E-2</v>
      </c>
      <c r="M215" s="23">
        <f t="shared" si="379"/>
        <v>6.4999999999999988E-2</v>
      </c>
      <c r="N215" s="39">
        <f t="shared" ref="N215:O215" si="380">INT((INDEX(O$7:O$22,$B215)*(1-$D215)+INDEX(O$7:O$22,$B215+1)*$D215)*O$4*$B$2)</f>
        <v>2010</v>
      </c>
      <c r="O215" s="39">
        <f t="shared" si="380"/>
        <v>182</v>
      </c>
    </row>
    <row r="216" spans="1:15" ht="16.5" x14ac:dyDescent="0.2">
      <c r="A216" s="30">
        <v>182</v>
      </c>
      <c r="B216" s="30">
        <v>15</v>
      </c>
      <c r="C216" s="30">
        <v>2</v>
      </c>
      <c r="D216" s="21">
        <v>0.35</v>
      </c>
      <c r="E216" s="23">
        <f t="shared" ref="E216:M216" si="381">(INDEX(F$7:F$22,$B216)*(1-$D216)+INDEX(F$7:F$22,$B216+1)*$D216)*F$4*$B$2</f>
        <v>0</v>
      </c>
      <c r="F216" s="23">
        <f t="shared" si="381"/>
        <v>0</v>
      </c>
      <c r="G216" s="23">
        <f t="shared" si="381"/>
        <v>0</v>
      </c>
      <c r="H216" s="23">
        <f t="shared" si="381"/>
        <v>6.6250000000000017E-2</v>
      </c>
      <c r="I216" s="23">
        <f t="shared" si="381"/>
        <v>3.3750000000000002E-2</v>
      </c>
      <c r="J216" s="23">
        <f t="shared" si="381"/>
        <v>0</v>
      </c>
      <c r="K216" s="23">
        <f t="shared" si="381"/>
        <v>6.5000000000000002E-2</v>
      </c>
      <c r="L216" s="23">
        <f t="shared" si="381"/>
        <v>8.3750000000000005E-2</v>
      </c>
      <c r="M216" s="23">
        <f t="shared" si="381"/>
        <v>6.7500000000000004E-2</v>
      </c>
      <c r="N216" s="39">
        <f t="shared" ref="N216:O216" si="382">INT((INDEX(O$7:O$22,$B216)*(1-$D216)+INDEX(O$7:O$22,$B216+1)*$D216)*O$4*$B$2)</f>
        <v>2045</v>
      </c>
      <c r="O216" s="39">
        <f t="shared" si="382"/>
        <v>183</v>
      </c>
    </row>
    <row r="217" spans="1:15" ht="16.5" x14ac:dyDescent="0.2">
      <c r="A217" s="30">
        <v>183</v>
      </c>
      <c r="B217" s="30">
        <v>15</v>
      </c>
      <c r="C217" s="30">
        <v>3</v>
      </c>
      <c r="D217" s="21">
        <v>0.4</v>
      </c>
      <c r="E217" s="23">
        <f t="shared" ref="E217:M217" si="383">(INDEX(F$7:F$22,$B217)*(1-$D217)+INDEX(F$7:F$22,$B217+1)*$D217)*F$4*$B$2</f>
        <v>0</v>
      </c>
      <c r="F217" s="23">
        <f t="shared" si="383"/>
        <v>0</v>
      </c>
      <c r="G217" s="23">
        <f t="shared" si="383"/>
        <v>0</v>
      </c>
      <c r="H217" s="23">
        <f t="shared" si="383"/>
        <v>6.4999999999999988E-2</v>
      </c>
      <c r="I217" s="23">
        <f t="shared" si="383"/>
        <v>3.4999999999999996E-2</v>
      </c>
      <c r="J217" s="23">
        <f t="shared" si="383"/>
        <v>0</v>
      </c>
      <c r="K217" s="23">
        <f t="shared" si="383"/>
        <v>0.06</v>
      </c>
      <c r="L217" s="23">
        <f t="shared" si="383"/>
        <v>8.5000000000000006E-2</v>
      </c>
      <c r="M217" s="23">
        <f t="shared" si="383"/>
        <v>6.9999999999999993E-2</v>
      </c>
      <c r="N217" s="39">
        <f t="shared" ref="N217:O217" si="384">INT((INDEX(O$7:O$22,$B217)*(1-$D217)+INDEX(O$7:O$22,$B217+1)*$D217)*O$4*$B$2)</f>
        <v>2080</v>
      </c>
      <c r="O217" s="39">
        <f t="shared" si="384"/>
        <v>185</v>
      </c>
    </row>
    <row r="218" spans="1:15" ht="16.5" x14ac:dyDescent="0.2">
      <c r="A218" s="30">
        <v>184</v>
      </c>
      <c r="B218" s="30">
        <v>15</v>
      </c>
      <c r="C218" s="30">
        <v>4</v>
      </c>
      <c r="D218" s="21">
        <v>0.45</v>
      </c>
      <c r="E218" s="23">
        <f t="shared" ref="E218:M218" si="385">(INDEX(F$7:F$22,$B218)*(1-$D218)+INDEX(F$7:F$22,$B218+1)*$D218)*F$4*$B$2</f>
        <v>0</v>
      </c>
      <c r="F218" s="23">
        <f t="shared" si="385"/>
        <v>0</v>
      </c>
      <c r="G218" s="23">
        <f t="shared" si="385"/>
        <v>0</v>
      </c>
      <c r="H218" s="23">
        <f t="shared" si="385"/>
        <v>6.3750000000000015E-2</v>
      </c>
      <c r="I218" s="23">
        <f t="shared" si="385"/>
        <v>3.6250000000000004E-2</v>
      </c>
      <c r="J218" s="23">
        <f t="shared" si="385"/>
        <v>0</v>
      </c>
      <c r="K218" s="23">
        <f t="shared" si="385"/>
        <v>5.5000000000000007E-2</v>
      </c>
      <c r="L218" s="23">
        <f t="shared" si="385"/>
        <v>8.6250000000000007E-2</v>
      </c>
      <c r="M218" s="23">
        <f t="shared" si="385"/>
        <v>7.2500000000000009E-2</v>
      </c>
      <c r="N218" s="39">
        <f t="shared" ref="N218:O218" si="386">INT((INDEX(O$7:O$22,$B218)*(1-$D218)+INDEX(O$7:O$22,$B218+1)*$D218)*O$4*$B$2)</f>
        <v>2115</v>
      </c>
      <c r="O218" s="39">
        <f t="shared" si="386"/>
        <v>186</v>
      </c>
    </row>
    <row r="219" spans="1:15" ht="16.5" x14ac:dyDescent="0.2">
      <c r="A219" s="30">
        <v>185</v>
      </c>
      <c r="B219" s="30">
        <v>15</v>
      </c>
      <c r="C219" s="30">
        <v>5</v>
      </c>
      <c r="D219" s="21">
        <v>0.5</v>
      </c>
      <c r="E219" s="23">
        <f t="shared" ref="E219:M219" si="387">(INDEX(F$7:F$22,$B219)*(1-$D219)+INDEX(F$7:F$22,$B219+1)*$D219)*F$4*$B$2</f>
        <v>0</v>
      </c>
      <c r="F219" s="23">
        <f t="shared" si="387"/>
        <v>0</v>
      </c>
      <c r="G219" s="23">
        <f t="shared" si="387"/>
        <v>0</v>
      </c>
      <c r="H219" s="23">
        <f t="shared" si="387"/>
        <v>6.25E-2</v>
      </c>
      <c r="I219" s="23">
        <f t="shared" si="387"/>
        <v>3.7500000000000006E-2</v>
      </c>
      <c r="J219" s="23">
        <f t="shared" si="387"/>
        <v>0</v>
      </c>
      <c r="K219" s="23">
        <f t="shared" si="387"/>
        <v>0.05</v>
      </c>
      <c r="L219" s="23">
        <f t="shared" si="387"/>
        <v>8.7500000000000008E-2</v>
      </c>
      <c r="M219" s="23">
        <f t="shared" si="387"/>
        <v>7.5000000000000011E-2</v>
      </c>
      <c r="N219" s="39">
        <f t="shared" ref="N219:O219" si="388">INT((INDEX(O$7:O$22,$B219)*(1-$D219)+INDEX(O$7:O$22,$B219+1)*$D219)*O$4*$B$2)</f>
        <v>2150</v>
      </c>
      <c r="O219" s="39">
        <f t="shared" si="388"/>
        <v>187</v>
      </c>
    </row>
    <row r="220" spans="1:15" ht="16.5" x14ac:dyDescent="0.2">
      <c r="A220" s="30">
        <v>186</v>
      </c>
      <c r="B220" s="30">
        <v>15</v>
      </c>
      <c r="C220" s="30">
        <v>6</v>
      </c>
      <c r="D220" s="21">
        <v>0.55000000000000004</v>
      </c>
      <c r="E220" s="23">
        <f t="shared" ref="E220:M220" si="389">(INDEX(F$7:F$22,$B220)*(1-$D220)+INDEX(F$7:F$22,$B220+1)*$D220)*F$4*$B$2</f>
        <v>0</v>
      </c>
      <c r="F220" s="23">
        <f t="shared" si="389"/>
        <v>0</v>
      </c>
      <c r="G220" s="23">
        <f t="shared" si="389"/>
        <v>0</v>
      </c>
      <c r="H220" s="23">
        <f t="shared" si="389"/>
        <v>6.1250000000000006E-2</v>
      </c>
      <c r="I220" s="23">
        <f t="shared" si="389"/>
        <v>3.8750000000000007E-2</v>
      </c>
      <c r="J220" s="23">
        <f t="shared" si="389"/>
        <v>0</v>
      </c>
      <c r="K220" s="23">
        <f t="shared" si="389"/>
        <v>4.4999999999999998E-2</v>
      </c>
      <c r="L220" s="23">
        <f t="shared" si="389"/>
        <v>8.8749999999999996E-2</v>
      </c>
      <c r="M220" s="23">
        <f t="shared" si="389"/>
        <v>7.7500000000000013E-2</v>
      </c>
      <c r="N220" s="39">
        <f t="shared" ref="N220:O220" si="390">INT((INDEX(O$7:O$22,$B220)*(1-$D220)+INDEX(O$7:O$22,$B220+1)*$D220)*O$4*$B$2)</f>
        <v>2185</v>
      </c>
      <c r="O220" s="39">
        <f t="shared" si="390"/>
        <v>188</v>
      </c>
    </row>
    <row r="221" spans="1:15" ht="16.5" x14ac:dyDescent="0.2">
      <c r="A221" s="30">
        <v>187</v>
      </c>
      <c r="B221" s="30">
        <v>15</v>
      </c>
      <c r="C221" s="30">
        <v>7</v>
      </c>
      <c r="D221" s="21">
        <v>0.6</v>
      </c>
      <c r="E221" s="23">
        <f t="shared" ref="E221:M221" si="391">(INDEX(F$7:F$22,$B221)*(1-$D221)+INDEX(F$7:F$22,$B221+1)*$D221)*F$4*$B$2</f>
        <v>0</v>
      </c>
      <c r="F221" s="23">
        <f t="shared" si="391"/>
        <v>0</v>
      </c>
      <c r="G221" s="23">
        <f t="shared" si="391"/>
        <v>0</v>
      </c>
      <c r="H221" s="23">
        <f t="shared" si="391"/>
        <v>6.0000000000000012E-2</v>
      </c>
      <c r="I221" s="23">
        <f t="shared" si="391"/>
        <v>4.0000000000000008E-2</v>
      </c>
      <c r="J221" s="23">
        <f t="shared" si="391"/>
        <v>0</v>
      </c>
      <c r="K221" s="23">
        <f t="shared" si="391"/>
        <v>4.0000000000000008E-2</v>
      </c>
      <c r="L221" s="23">
        <f t="shared" si="391"/>
        <v>9.0000000000000011E-2</v>
      </c>
      <c r="M221" s="23">
        <f t="shared" si="391"/>
        <v>8.0000000000000016E-2</v>
      </c>
      <c r="N221" s="39">
        <f t="shared" ref="N221:O221" si="392">INT((INDEX(O$7:O$22,$B221)*(1-$D221)+INDEX(O$7:O$22,$B221+1)*$D221)*O$4*$B$2)</f>
        <v>2220</v>
      </c>
      <c r="O221" s="39">
        <f t="shared" si="392"/>
        <v>190</v>
      </c>
    </row>
    <row r="222" spans="1:15" ht="16.5" x14ac:dyDescent="0.2">
      <c r="A222" s="30">
        <v>188</v>
      </c>
      <c r="B222" s="30">
        <v>15</v>
      </c>
      <c r="C222" s="30">
        <v>8</v>
      </c>
      <c r="D222" s="21">
        <v>0.65</v>
      </c>
      <c r="E222" s="23">
        <f t="shared" ref="E222:M222" si="393">(INDEX(F$7:F$22,$B222)*(1-$D222)+INDEX(F$7:F$22,$B222+1)*$D222)*F$4*$B$2</f>
        <v>0</v>
      </c>
      <c r="F222" s="23">
        <f t="shared" si="393"/>
        <v>0</v>
      </c>
      <c r="G222" s="23">
        <f t="shared" si="393"/>
        <v>0</v>
      </c>
      <c r="H222" s="23">
        <f t="shared" si="393"/>
        <v>5.8749999999999997E-2</v>
      </c>
      <c r="I222" s="23">
        <f t="shared" si="393"/>
        <v>4.1250000000000002E-2</v>
      </c>
      <c r="J222" s="23">
        <f t="shared" si="393"/>
        <v>0</v>
      </c>
      <c r="K222" s="23">
        <f t="shared" si="393"/>
        <v>3.4999999999999996E-2</v>
      </c>
      <c r="L222" s="23">
        <f t="shared" si="393"/>
        <v>9.1249999999999998E-2</v>
      </c>
      <c r="M222" s="23">
        <f t="shared" si="393"/>
        <v>8.2500000000000004E-2</v>
      </c>
      <c r="N222" s="39">
        <f t="shared" ref="N222:O222" si="394">INT((INDEX(O$7:O$22,$B222)*(1-$D222)+INDEX(O$7:O$22,$B222+1)*$D222)*O$4*$B$2)</f>
        <v>2255</v>
      </c>
      <c r="O222" s="39">
        <f t="shared" si="394"/>
        <v>191</v>
      </c>
    </row>
    <row r="223" spans="1:15" ht="16.5" x14ac:dyDescent="0.2">
      <c r="A223" s="30">
        <v>189</v>
      </c>
      <c r="B223" s="30">
        <v>15</v>
      </c>
      <c r="C223" s="30">
        <v>9</v>
      </c>
      <c r="D223" s="21">
        <v>0.7</v>
      </c>
      <c r="E223" s="23">
        <f t="shared" ref="E223:M223" si="395">(INDEX(F$7:F$22,$B223)*(1-$D223)+INDEX(F$7:F$22,$B223+1)*$D223)*F$4*$B$2</f>
        <v>0</v>
      </c>
      <c r="F223" s="23">
        <f t="shared" si="395"/>
        <v>0</v>
      </c>
      <c r="G223" s="23">
        <f t="shared" si="395"/>
        <v>0</v>
      </c>
      <c r="H223" s="23">
        <f t="shared" si="395"/>
        <v>5.7499999999999996E-2</v>
      </c>
      <c r="I223" s="23">
        <f t="shared" si="395"/>
        <v>4.2500000000000003E-2</v>
      </c>
      <c r="J223" s="23">
        <f t="shared" si="395"/>
        <v>0</v>
      </c>
      <c r="K223" s="23">
        <f t="shared" si="395"/>
        <v>3.0000000000000006E-2</v>
      </c>
      <c r="L223" s="23">
        <f t="shared" si="395"/>
        <v>9.2500000000000013E-2</v>
      </c>
      <c r="M223" s="23">
        <f t="shared" si="395"/>
        <v>8.5000000000000006E-2</v>
      </c>
      <c r="N223" s="39">
        <f t="shared" ref="N223:O223" si="396">INT((INDEX(O$7:O$22,$B223)*(1-$D223)+INDEX(O$7:O$22,$B223+1)*$D223)*O$4*$B$2)</f>
        <v>2290</v>
      </c>
      <c r="O223" s="39">
        <f t="shared" si="396"/>
        <v>192</v>
      </c>
    </row>
    <row r="224" spans="1:15" ht="16.5" x14ac:dyDescent="0.2">
      <c r="A224" s="30">
        <v>190</v>
      </c>
      <c r="B224" s="30">
        <v>15</v>
      </c>
      <c r="C224" s="30">
        <v>10</v>
      </c>
      <c r="D224" s="21">
        <v>0.75</v>
      </c>
      <c r="E224" s="23">
        <f t="shared" ref="E224:M224" si="397">(INDEX(F$7:F$22,$B224)*(1-$D224)+INDEX(F$7:F$22,$B224+1)*$D224)*F$4*$B$2</f>
        <v>0</v>
      </c>
      <c r="F224" s="23">
        <f t="shared" si="397"/>
        <v>0</v>
      </c>
      <c r="G224" s="23">
        <f t="shared" si="397"/>
        <v>0</v>
      </c>
      <c r="H224" s="23">
        <f t="shared" si="397"/>
        <v>5.6250000000000001E-2</v>
      </c>
      <c r="I224" s="23">
        <f t="shared" si="397"/>
        <v>4.3750000000000004E-2</v>
      </c>
      <c r="J224" s="23">
        <f t="shared" si="397"/>
        <v>0</v>
      </c>
      <c r="K224" s="23">
        <f t="shared" si="397"/>
        <v>2.5000000000000001E-2</v>
      </c>
      <c r="L224" s="23">
        <f t="shared" si="397"/>
        <v>9.375E-2</v>
      </c>
      <c r="M224" s="23">
        <f t="shared" si="397"/>
        <v>8.7500000000000008E-2</v>
      </c>
      <c r="N224" s="39">
        <f t="shared" ref="N224:O224" si="398">INT((INDEX(O$7:O$22,$B224)*(1-$D224)+INDEX(O$7:O$22,$B224+1)*$D224)*O$4*$B$2)</f>
        <v>2325</v>
      </c>
      <c r="O224" s="39">
        <f t="shared" si="398"/>
        <v>193</v>
      </c>
    </row>
    <row r="225" spans="1:15" ht="16.5" x14ac:dyDescent="0.2">
      <c r="A225" s="30">
        <v>191</v>
      </c>
      <c r="B225" s="30">
        <v>15</v>
      </c>
      <c r="C225" s="30">
        <v>11</v>
      </c>
      <c r="D225" s="21">
        <v>0.8</v>
      </c>
      <c r="E225" s="23">
        <f t="shared" ref="E225:M225" si="399">(INDEX(F$7:F$22,$B225)*(1-$D225)+INDEX(F$7:F$22,$B225+1)*$D225)*F$4*$B$2</f>
        <v>0</v>
      </c>
      <c r="F225" s="23">
        <f t="shared" si="399"/>
        <v>0</v>
      </c>
      <c r="G225" s="23">
        <f t="shared" si="399"/>
        <v>0</v>
      </c>
      <c r="H225" s="23">
        <f t="shared" si="399"/>
        <v>5.5000000000000007E-2</v>
      </c>
      <c r="I225" s="23">
        <f t="shared" si="399"/>
        <v>4.5000000000000005E-2</v>
      </c>
      <c r="J225" s="23">
        <f t="shared" si="399"/>
        <v>0</v>
      </c>
      <c r="K225" s="23">
        <f t="shared" si="399"/>
        <v>1.9999999999999997E-2</v>
      </c>
      <c r="L225" s="23">
        <f t="shared" si="399"/>
        <v>9.5000000000000001E-2</v>
      </c>
      <c r="M225" s="23">
        <f t="shared" si="399"/>
        <v>9.0000000000000011E-2</v>
      </c>
      <c r="N225" s="39">
        <f t="shared" ref="N225:O225" si="400">INT((INDEX(O$7:O$22,$B225)*(1-$D225)+INDEX(O$7:O$22,$B225+1)*$D225)*O$4*$B$2)</f>
        <v>2360</v>
      </c>
      <c r="O225" s="39">
        <f t="shared" si="400"/>
        <v>195</v>
      </c>
    </row>
    <row r="226" spans="1:15" ht="16.5" x14ac:dyDescent="0.2">
      <c r="A226" s="30">
        <v>192</v>
      </c>
      <c r="B226" s="30">
        <v>15</v>
      </c>
      <c r="C226" s="30">
        <v>12</v>
      </c>
      <c r="D226" s="21">
        <v>0.85</v>
      </c>
      <c r="E226" s="23">
        <f t="shared" ref="E226:M226" si="401">(INDEX(F$7:F$22,$B226)*(1-$D226)+INDEX(F$7:F$22,$B226+1)*$D226)*F$4*$B$2</f>
        <v>0</v>
      </c>
      <c r="F226" s="23">
        <f t="shared" si="401"/>
        <v>0</v>
      </c>
      <c r="G226" s="23">
        <f t="shared" si="401"/>
        <v>0</v>
      </c>
      <c r="H226" s="23">
        <f t="shared" si="401"/>
        <v>5.3749999999999999E-2</v>
      </c>
      <c r="I226" s="23">
        <f t="shared" si="401"/>
        <v>4.6250000000000006E-2</v>
      </c>
      <c r="J226" s="23">
        <f t="shared" si="401"/>
        <v>0</v>
      </c>
      <c r="K226" s="23">
        <f t="shared" si="401"/>
        <v>1.5000000000000003E-2</v>
      </c>
      <c r="L226" s="23">
        <f t="shared" si="401"/>
        <v>9.6250000000000002E-2</v>
      </c>
      <c r="M226" s="23">
        <f t="shared" si="401"/>
        <v>9.2500000000000013E-2</v>
      </c>
      <c r="N226" s="39">
        <f t="shared" ref="N226:O226" si="402">INT((INDEX(O$7:O$22,$B226)*(1-$D226)+INDEX(O$7:O$22,$B226+1)*$D226)*O$4*$B$2)</f>
        <v>2395</v>
      </c>
      <c r="O226" s="39">
        <f t="shared" si="402"/>
        <v>196</v>
      </c>
    </row>
    <row r="227" spans="1:15" ht="16.5" x14ac:dyDescent="0.2">
      <c r="A227" s="30">
        <v>193</v>
      </c>
      <c r="B227" s="30">
        <v>15</v>
      </c>
      <c r="C227" s="30">
        <v>13</v>
      </c>
      <c r="D227" s="21">
        <v>0.9</v>
      </c>
      <c r="E227" s="23">
        <f t="shared" ref="E227:M227" si="403">(INDEX(F$7:F$22,$B227)*(1-$D227)+INDEX(F$7:F$22,$B227+1)*$D227)*F$4*$B$2</f>
        <v>0</v>
      </c>
      <c r="F227" s="23">
        <f t="shared" si="403"/>
        <v>0</v>
      </c>
      <c r="G227" s="23">
        <f t="shared" si="403"/>
        <v>0</v>
      </c>
      <c r="H227" s="23">
        <f t="shared" si="403"/>
        <v>5.2500000000000005E-2</v>
      </c>
      <c r="I227" s="23">
        <f t="shared" si="403"/>
        <v>4.7500000000000001E-2</v>
      </c>
      <c r="J227" s="23">
        <f t="shared" si="403"/>
        <v>0</v>
      </c>
      <c r="K227" s="23">
        <f t="shared" si="403"/>
        <v>9.9999999999999985E-3</v>
      </c>
      <c r="L227" s="23">
        <f t="shared" si="403"/>
        <v>9.7500000000000003E-2</v>
      </c>
      <c r="M227" s="23">
        <f t="shared" si="403"/>
        <v>9.5000000000000001E-2</v>
      </c>
      <c r="N227" s="39">
        <f t="shared" ref="N227:O227" si="404">INT((INDEX(O$7:O$22,$B227)*(1-$D227)+INDEX(O$7:O$22,$B227+1)*$D227)*O$4*$B$2)</f>
        <v>2430</v>
      </c>
      <c r="O227" s="39">
        <f t="shared" si="404"/>
        <v>197</v>
      </c>
    </row>
    <row r="228" spans="1:15" ht="16.5" x14ac:dyDescent="0.2">
      <c r="A228" s="30">
        <v>194</v>
      </c>
      <c r="B228" s="30">
        <v>15</v>
      </c>
      <c r="C228" s="30">
        <v>14</v>
      </c>
      <c r="D228" s="21">
        <v>0.95</v>
      </c>
      <c r="E228" s="23">
        <f t="shared" ref="E228:M228" si="405">(INDEX(F$7:F$22,$B228)*(1-$D228)+INDEX(F$7:F$22,$B228+1)*$D228)*F$4*$B$2</f>
        <v>0</v>
      </c>
      <c r="F228" s="23">
        <f t="shared" si="405"/>
        <v>0</v>
      </c>
      <c r="G228" s="23">
        <f t="shared" si="405"/>
        <v>0</v>
      </c>
      <c r="H228" s="23">
        <f t="shared" si="405"/>
        <v>5.1249999999999997E-2</v>
      </c>
      <c r="I228" s="23">
        <f t="shared" si="405"/>
        <v>4.8750000000000002E-2</v>
      </c>
      <c r="J228" s="23">
        <f t="shared" si="405"/>
        <v>0</v>
      </c>
      <c r="K228" s="23">
        <f t="shared" si="405"/>
        <v>5.0000000000000044E-3</v>
      </c>
      <c r="L228" s="23">
        <f t="shared" si="405"/>
        <v>9.8750000000000004E-2</v>
      </c>
      <c r="M228" s="23">
        <f t="shared" si="405"/>
        <v>9.7500000000000003E-2</v>
      </c>
      <c r="N228" s="39">
        <f t="shared" ref="N228:O228" si="406">INT((INDEX(O$7:O$22,$B228)*(1-$D228)+INDEX(O$7:O$22,$B228+1)*$D228)*O$4*$B$2)</f>
        <v>2465</v>
      </c>
      <c r="O228" s="39">
        <f t="shared" si="406"/>
        <v>198</v>
      </c>
    </row>
    <row r="229" spans="1:15" ht="16.5" x14ac:dyDescent="0.2">
      <c r="A229" s="30">
        <v>195</v>
      </c>
      <c r="B229" s="30">
        <v>15</v>
      </c>
      <c r="C229" s="30">
        <v>15</v>
      </c>
      <c r="D229" s="21">
        <v>1</v>
      </c>
      <c r="E229" s="23">
        <f t="shared" ref="E229:M229" si="407">(INDEX(F$7:F$22,$B229)*(1-$D229)+INDEX(F$7:F$22,$B229+1)*$D229)*F$4*$B$2</f>
        <v>0</v>
      </c>
      <c r="F229" s="23">
        <f t="shared" si="407"/>
        <v>0</v>
      </c>
      <c r="G229" s="23">
        <f t="shared" si="407"/>
        <v>0</v>
      </c>
      <c r="H229" s="23">
        <f t="shared" si="407"/>
        <v>0.05</v>
      </c>
      <c r="I229" s="23">
        <f t="shared" si="407"/>
        <v>0.05</v>
      </c>
      <c r="J229" s="23">
        <f t="shared" si="407"/>
        <v>0</v>
      </c>
      <c r="K229" s="23">
        <f t="shared" si="407"/>
        <v>0</v>
      </c>
      <c r="L229" s="23">
        <f t="shared" si="407"/>
        <v>0.1</v>
      </c>
      <c r="M229" s="23">
        <f t="shared" si="407"/>
        <v>0.1</v>
      </c>
      <c r="N229" s="39">
        <f t="shared" ref="N229:O229" si="408">INT((INDEX(O$7:O$22,$B229)*(1-$D229)+INDEX(O$7:O$22,$B229+1)*$D229)*O$4*$B$2)</f>
        <v>2500</v>
      </c>
      <c r="O229" s="39">
        <f t="shared" si="408"/>
        <v>200</v>
      </c>
    </row>
    <row r="230" spans="1:15" x14ac:dyDescent="0.2">
      <c r="N230" s="17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4" workbookViewId="0">
      <selection activeCell="M29" sqref="M2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6" t="s">
        <v>377</v>
      </c>
      <c r="H2" s="36" t="s">
        <v>378</v>
      </c>
      <c r="I2" s="36" t="s">
        <v>379</v>
      </c>
      <c r="J2" s="36" t="s">
        <v>380</v>
      </c>
      <c r="K2" s="36" t="s">
        <v>381</v>
      </c>
      <c r="L2" s="36" t="s">
        <v>382</v>
      </c>
    </row>
    <row r="3" spans="1:12" ht="20.25" x14ac:dyDescent="0.2">
      <c r="A3" s="63" t="s">
        <v>311</v>
      </c>
      <c r="B3" s="63"/>
      <c r="C3" s="63"/>
      <c r="D3" s="63"/>
      <c r="E3" s="63"/>
    </row>
    <row r="4" spans="1:12" ht="17.25" x14ac:dyDescent="0.2">
      <c r="A4" s="12" t="s">
        <v>316</v>
      </c>
      <c r="B4" s="12" t="s">
        <v>312</v>
      </c>
      <c r="C4" s="12" t="s">
        <v>313</v>
      </c>
      <c r="D4" s="12" t="s">
        <v>314</v>
      </c>
      <c r="E4" s="12" t="s">
        <v>315</v>
      </c>
    </row>
    <row r="5" spans="1:12" ht="16.5" x14ac:dyDescent="0.2">
      <c r="A5" s="35" t="s">
        <v>317</v>
      </c>
      <c r="B5" s="21">
        <v>0.5</v>
      </c>
      <c r="C5" s="21">
        <v>0.8</v>
      </c>
      <c r="D5" s="21">
        <v>1</v>
      </c>
      <c r="E5" s="21">
        <v>1.2</v>
      </c>
    </row>
    <row r="6" spans="1:12" ht="16.5" x14ac:dyDescent="0.2">
      <c r="A6" s="35" t="s">
        <v>318</v>
      </c>
      <c r="B6" s="21">
        <v>0.5</v>
      </c>
      <c r="C6" s="21">
        <v>0.8</v>
      </c>
      <c r="D6" s="21">
        <v>1</v>
      </c>
      <c r="E6" s="21">
        <v>1.2</v>
      </c>
    </row>
    <row r="7" spans="1:12" ht="16.5" x14ac:dyDescent="0.2">
      <c r="A7" s="35" t="s">
        <v>319</v>
      </c>
      <c r="B7" s="23">
        <v>1</v>
      </c>
      <c r="C7" s="23">
        <v>1</v>
      </c>
      <c r="D7" s="23">
        <v>1</v>
      </c>
      <c r="E7" s="23">
        <v>1</v>
      </c>
    </row>
    <row r="8" spans="1:12" ht="16.5" x14ac:dyDescent="0.2">
      <c r="A8" s="35" t="s">
        <v>96</v>
      </c>
      <c r="B8" s="23">
        <v>0.5</v>
      </c>
      <c r="C8" s="23">
        <v>0.7</v>
      </c>
      <c r="D8" s="23">
        <v>1</v>
      </c>
      <c r="E8" s="23">
        <v>1.5</v>
      </c>
    </row>
    <row r="11" spans="1:12" x14ac:dyDescent="0.2">
      <c r="A11" s="40" t="s">
        <v>337</v>
      </c>
      <c r="B11">
        <v>20</v>
      </c>
      <c r="C11">
        <v>30</v>
      </c>
      <c r="D11">
        <v>45</v>
      </c>
    </row>
    <row r="12" spans="1:12" ht="17.25" x14ac:dyDescent="0.2">
      <c r="A12" s="12" t="s">
        <v>320</v>
      </c>
      <c r="B12" s="12" t="s">
        <v>321</v>
      </c>
      <c r="C12" s="12" t="s">
        <v>322</v>
      </c>
      <c r="D12" s="12" t="s">
        <v>323</v>
      </c>
      <c r="E12" s="12" t="s">
        <v>324</v>
      </c>
      <c r="F12" s="12" t="s">
        <v>325</v>
      </c>
      <c r="G12" s="12" t="s">
        <v>326</v>
      </c>
    </row>
    <row r="13" spans="1:12" ht="16.5" x14ac:dyDescent="0.2">
      <c r="A13" s="16">
        <v>1102001</v>
      </c>
      <c r="B13" s="16" t="s">
        <v>338</v>
      </c>
      <c r="C13" s="16">
        <v>4</v>
      </c>
      <c r="D13" s="16">
        <v>45</v>
      </c>
      <c r="E13" s="16">
        <v>1</v>
      </c>
      <c r="F13" s="36" t="s">
        <v>330</v>
      </c>
      <c r="G13" s="36" t="str">
        <f t="shared" ref="G13:G33" si="0">F13&amp;"修身材料"</f>
        <v>土修身材料</v>
      </c>
    </row>
    <row r="14" spans="1:12" ht="16.5" x14ac:dyDescent="0.2">
      <c r="A14" s="16">
        <v>1102002</v>
      </c>
      <c r="B14" s="16" t="s">
        <v>339</v>
      </c>
      <c r="C14" s="16">
        <v>3</v>
      </c>
      <c r="D14" s="16">
        <v>30</v>
      </c>
      <c r="E14" s="16">
        <v>1</v>
      </c>
      <c r="F14" s="36" t="s">
        <v>328</v>
      </c>
      <c r="G14" s="36" t="str">
        <f t="shared" si="0"/>
        <v>雷修身材料</v>
      </c>
    </row>
    <row r="15" spans="1:12" ht="16.5" x14ac:dyDescent="0.2">
      <c r="A15" s="16">
        <v>1102003</v>
      </c>
      <c r="B15" s="16" t="s">
        <v>340</v>
      </c>
      <c r="C15" s="16">
        <v>3</v>
      </c>
      <c r="D15" s="16">
        <v>30</v>
      </c>
      <c r="E15" s="16">
        <v>2</v>
      </c>
      <c r="F15" s="36" t="s">
        <v>328</v>
      </c>
      <c r="G15" s="36" t="str">
        <f t="shared" si="0"/>
        <v>雷修身材料</v>
      </c>
    </row>
    <row r="16" spans="1:12" ht="16.5" x14ac:dyDescent="0.2">
      <c r="A16" s="16">
        <v>1102004</v>
      </c>
      <c r="B16" s="16" t="s">
        <v>341</v>
      </c>
      <c r="C16" s="16">
        <v>2</v>
      </c>
      <c r="D16" s="16">
        <v>20</v>
      </c>
      <c r="E16" s="16">
        <v>2</v>
      </c>
      <c r="F16" s="36" t="s">
        <v>331</v>
      </c>
      <c r="G16" s="36" t="str">
        <f t="shared" si="0"/>
        <v>风修身材料</v>
      </c>
    </row>
    <row r="17" spans="1:7" ht="16.5" x14ac:dyDescent="0.2">
      <c r="A17" s="16">
        <v>1102005</v>
      </c>
      <c r="B17" s="16" t="s">
        <v>342</v>
      </c>
      <c r="C17" s="16">
        <v>3</v>
      </c>
      <c r="D17" s="16">
        <v>30</v>
      </c>
      <c r="E17" s="16">
        <v>3</v>
      </c>
      <c r="F17" s="36" t="s">
        <v>328</v>
      </c>
      <c r="G17" s="36" t="str">
        <f t="shared" si="0"/>
        <v>雷修身材料</v>
      </c>
    </row>
    <row r="18" spans="1:7" ht="18.75" customHeight="1" x14ac:dyDescent="0.2">
      <c r="A18" s="16">
        <v>1102006</v>
      </c>
      <c r="B18" s="16" t="s">
        <v>343</v>
      </c>
      <c r="C18" s="16">
        <v>4</v>
      </c>
      <c r="D18" s="16">
        <v>45</v>
      </c>
      <c r="E18" s="16">
        <v>2</v>
      </c>
      <c r="F18" s="36" t="s">
        <v>329</v>
      </c>
      <c r="G18" s="36" t="str">
        <f t="shared" si="0"/>
        <v>水修身材料</v>
      </c>
    </row>
    <row r="19" spans="1:7" ht="16.5" x14ac:dyDescent="0.2">
      <c r="A19" s="16">
        <v>1102007</v>
      </c>
      <c r="B19" s="16" t="s">
        <v>344</v>
      </c>
      <c r="C19" s="16">
        <v>4</v>
      </c>
      <c r="D19" s="16">
        <v>30</v>
      </c>
      <c r="E19" s="16">
        <v>1</v>
      </c>
      <c r="F19" s="36" t="s">
        <v>331</v>
      </c>
      <c r="G19" s="36" t="str">
        <f t="shared" si="0"/>
        <v>风修身材料</v>
      </c>
    </row>
    <row r="20" spans="1:7" ht="16.5" x14ac:dyDescent="0.2">
      <c r="A20" s="16">
        <v>1102008</v>
      </c>
      <c r="B20" s="16" t="s">
        <v>345</v>
      </c>
      <c r="C20" s="16">
        <v>3</v>
      </c>
      <c r="D20" s="16">
        <v>45</v>
      </c>
      <c r="E20" s="16">
        <v>1</v>
      </c>
      <c r="F20" s="36" t="s">
        <v>331</v>
      </c>
      <c r="G20" s="36" t="str">
        <f t="shared" si="0"/>
        <v>风修身材料</v>
      </c>
    </row>
    <row r="21" spans="1:7" ht="16.5" x14ac:dyDescent="0.2">
      <c r="A21" s="16">
        <v>1102009</v>
      </c>
      <c r="B21" s="16" t="s">
        <v>346</v>
      </c>
      <c r="C21" s="16">
        <v>4</v>
      </c>
      <c r="D21" s="16">
        <v>45</v>
      </c>
      <c r="E21" s="16">
        <v>2</v>
      </c>
      <c r="F21" s="36" t="s">
        <v>329</v>
      </c>
      <c r="G21" s="36" t="str">
        <f t="shared" si="0"/>
        <v>水修身材料</v>
      </c>
    </row>
    <row r="22" spans="1:7" ht="16.5" x14ac:dyDescent="0.2">
      <c r="A22" s="16">
        <v>1102010</v>
      </c>
      <c r="B22" s="16" t="s">
        <v>347</v>
      </c>
      <c r="C22" s="16">
        <v>4</v>
      </c>
      <c r="D22" s="16">
        <v>45</v>
      </c>
      <c r="E22" s="16">
        <v>3</v>
      </c>
      <c r="F22" s="36" t="s">
        <v>332</v>
      </c>
      <c r="G22" s="36" t="str">
        <f t="shared" si="0"/>
        <v>火修身材料</v>
      </c>
    </row>
    <row r="23" spans="1:7" ht="16.5" x14ac:dyDescent="0.2">
      <c r="A23" s="16">
        <v>1102011</v>
      </c>
      <c r="B23" s="16" t="s">
        <v>348</v>
      </c>
      <c r="C23" s="16">
        <v>4</v>
      </c>
      <c r="D23" s="16">
        <v>45</v>
      </c>
      <c r="E23" s="16">
        <v>2</v>
      </c>
      <c r="F23" s="36" t="s">
        <v>327</v>
      </c>
      <c r="G23" s="36" t="str">
        <f t="shared" si="0"/>
        <v>火修身材料</v>
      </c>
    </row>
    <row r="24" spans="1:7" ht="16.5" x14ac:dyDescent="0.2">
      <c r="A24" s="16">
        <v>1102012</v>
      </c>
      <c r="B24" s="16" t="s">
        <v>349</v>
      </c>
      <c r="C24" s="16">
        <v>4</v>
      </c>
      <c r="D24" s="16">
        <v>45</v>
      </c>
      <c r="E24" s="16">
        <v>1</v>
      </c>
      <c r="F24" s="36" t="s">
        <v>328</v>
      </c>
      <c r="G24" s="36" t="str">
        <f t="shared" si="0"/>
        <v>雷修身材料</v>
      </c>
    </row>
    <row r="25" spans="1:7" ht="16.5" x14ac:dyDescent="0.2">
      <c r="A25" s="16">
        <v>1102013</v>
      </c>
      <c r="B25" s="16" t="s">
        <v>350</v>
      </c>
      <c r="C25" s="16">
        <v>2</v>
      </c>
      <c r="D25" s="16">
        <v>20</v>
      </c>
      <c r="E25" s="16">
        <v>3</v>
      </c>
      <c r="F25" s="36" t="s">
        <v>329</v>
      </c>
      <c r="G25" s="36" t="str">
        <f t="shared" si="0"/>
        <v>水修身材料</v>
      </c>
    </row>
    <row r="26" spans="1:7" ht="16.5" x14ac:dyDescent="0.2">
      <c r="A26" s="16">
        <v>1102014</v>
      </c>
      <c r="B26" s="16" t="s">
        <v>351</v>
      </c>
      <c r="C26" s="16">
        <v>3</v>
      </c>
      <c r="D26" s="16">
        <v>30</v>
      </c>
      <c r="E26" s="16">
        <v>1</v>
      </c>
      <c r="F26" s="36" t="s">
        <v>330</v>
      </c>
      <c r="G26" s="36" t="str">
        <f t="shared" si="0"/>
        <v>土修身材料</v>
      </c>
    </row>
    <row r="27" spans="1:7" ht="16.5" x14ac:dyDescent="0.2">
      <c r="A27" s="16">
        <v>1102015</v>
      </c>
      <c r="B27" s="16" t="s">
        <v>352</v>
      </c>
      <c r="C27" s="16">
        <v>2</v>
      </c>
      <c r="D27" s="16">
        <v>20</v>
      </c>
      <c r="E27" s="16">
        <v>1</v>
      </c>
      <c r="F27" s="36" t="s">
        <v>327</v>
      </c>
      <c r="G27" s="36" t="str">
        <f t="shared" si="0"/>
        <v>火修身材料</v>
      </c>
    </row>
    <row r="28" spans="1:7" ht="16.5" x14ac:dyDescent="0.2">
      <c r="A28" s="16">
        <v>1102016</v>
      </c>
      <c r="B28" s="16" t="s">
        <v>353</v>
      </c>
      <c r="C28" s="16">
        <v>4</v>
      </c>
      <c r="D28" s="16">
        <v>45</v>
      </c>
      <c r="E28" s="16">
        <v>2</v>
      </c>
      <c r="F28" s="36" t="s">
        <v>333</v>
      </c>
      <c r="G28" s="36" t="str">
        <f t="shared" si="0"/>
        <v>火修身材料</v>
      </c>
    </row>
    <row r="29" spans="1:7" ht="16.5" x14ac:dyDescent="0.2">
      <c r="A29" s="16">
        <v>1102017</v>
      </c>
      <c r="B29" s="16" t="s">
        <v>354</v>
      </c>
      <c r="C29" s="16">
        <v>3</v>
      </c>
      <c r="D29" s="16">
        <v>30</v>
      </c>
      <c r="E29" s="16">
        <v>3</v>
      </c>
      <c r="F29" s="36" t="s">
        <v>334</v>
      </c>
      <c r="G29" s="36" t="str">
        <f t="shared" si="0"/>
        <v>雷修身材料</v>
      </c>
    </row>
    <row r="30" spans="1:7" ht="16.5" x14ac:dyDescent="0.2">
      <c r="A30" s="16">
        <v>1102018</v>
      </c>
      <c r="B30" s="16" t="s">
        <v>355</v>
      </c>
      <c r="C30" s="16">
        <v>3</v>
      </c>
      <c r="D30" s="16">
        <v>20</v>
      </c>
      <c r="E30" s="16">
        <v>2</v>
      </c>
      <c r="F30" s="36" t="s">
        <v>335</v>
      </c>
      <c r="G30" s="36" t="str">
        <f t="shared" si="0"/>
        <v>风修身材料</v>
      </c>
    </row>
    <row r="31" spans="1:7" ht="16.5" x14ac:dyDescent="0.2">
      <c r="A31" s="16">
        <v>1102019</v>
      </c>
      <c r="B31" s="16" t="s">
        <v>356</v>
      </c>
      <c r="C31" s="16">
        <v>3</v>
      </c>
      <c r="D31" s="16">
        <v>20</v>
      </c>
      <c r="E31" s="16">
        <v>1</v>
      </c>
      <c r="F31" s="36" t="s">
        <v>329</v>
      </c>
      <c r="G31" s="36" t="str">
        <f t="shared" si="0"/>
        <v>水修身材料</v>
      </c>
    </row>
    <row r="32" spans="1:7" ht="16.5" x14ac:dyDescent="0.2">
      <c r="A32" s="16">
        <v>1102020</v>
      </c>
      <c r="B32" s="16" t="s">
        <v>357</v>
      </c>
      <c r="C32" s="16">
        <v>3</v>
      </c>
      <c r="D32" s="16">
        <v>30</v>
      </c>
      <c r="E32" s="16">
        <v>2</v>
      </c>
      <c r="F32" s="36" t="s">
        <v>336</v>
      </c>
      <c r="G32" s="36" t="str">
        <f t="shared" si="0"/>
        <v>火修身材料</v>
      </c>
    </row>
    <row r="33" spans="1:24" ht="16.5" x14ac:dyDescent="0.2">
      <c r="A33" s="16">
        <v>1102021</v>
      </c>
      <c r="B33" s="16" t="s">
        <v>358</v>
      </c>
      <c r="C33" s="16">
        <v>2</v>
      </c>
      <c r="D33" s="16">
        <v>20</v>
      </c>
      <c r="E33" s="16">
        <v>2</v>
      </c>
      <c r="F33" s="36" t="s">
        <v>330</v>
      </c>
      <c r="G33" s="36" t="str">
        <f t="shared" si="0"/>
        <v>土修身材料</v>
      </c>
    </row>
    <row r="35" spans="1:24" ht="20.25" x14ac:dyDescent="0.2">
      <c r="I35" s="63" t="s">
        <v>367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X35" t="s">
        <v>387</v>
      </c>
    </row>
    <row r="36" spans="1:24" ht="17.25" x14ac:dyDescent="0.2">
      <c r="I36" s="12" t="s">
        <v>359</v>
      </c>
      <c r="J36" s="12" t="s">
        <v>360</v>
      </c>
      <c r="K36" s="12" t="s">
        <v>361</v>
      </c>
      <c r="L36" s="12" t="s">
        <v>362</v>
      </c>
      <c r="M36" s="12" t="s">
        <v>324</v>
      </c>
      <c r="N36" s="12" t="s">
        <v>385</v>
      </c>
      <c r="O36" s="12" t="s">
        <v>386</v>
      </c>
      <c r="P36" s="12" t="s">
        <v>363</v>
      </c>
      <c r="Q36" s="12" t="s">
        <v>364</v>
      </c>
      <c r="R36" s="12" t="s">
        <v>365</v>
      </c>
      <c r="S36" s="12" t="s">
        <v>366</v>
      </c>
      <c r="T36" s="12" t="s">
        <v>384</v>
      </c>
      <c r="U36" s="12" t="s">
        <v>364</v>
      </c>
    </row>
    <row r="37" spans="1:24" ht="16.5" x14ac:dyDescent="0.2">
      <c r="I37" s="36">
        <v>1</v>
      </c>
      <c r="J37" s="16">
        <f t="shared" ref="J37:J100" si="1">INDEX($A$13:$A$33,INT((I37-1)/21)+1)</f>
        <v>1102001</v>
      </c>
      <c r="K37" s="16">
        <f t="shared" ref="K37:K100" si="2">VLOOKUP(J37,$A$13:$D$33,3)</f>
        <v>4</v>
      </c>
      <c r="L37" s="16">
        <f>MOD((I37-1),21)+1</f>
        <v>1</v>
      </c>
      <c r="M37" s="16" t="str">
        <f t="shared" ref="M37:M100" si="3">INDEX($J$2:$L$2,INDEX($E$13:$E$33,INT((I37-1)/21)+1))</f>
        <v>红</v>
      </c>
      <c r="N37" s="16" t="str">
        <f>IF(L37&gt;1,"金币","")</f>
        <v/>
      </c>
      <c r="O37" s="16" t="str">
        <f>IF(L37&gt;1,INDEX(挂机升级突破!$AI$35:$AI$55,卡牌消耗!L37),"")</f>
        <v/>
      </c>
      <c r="P37" s="16" t="str">
        <f>IF(L37&gt;1,INDEX(价值概述!$A$4:$A$8,INDEX(挂机升级突破!$W$35:$W$55,卡牌消耗!L37)),"")</f>
        <v/>
      </c>
      <c r="Q37" s="16" t="str">
        <f>IF(L37&gt;1,INDEX(挂机升级突破!$Z$35:$AD$55,卡牌消耗!L37,INDEX(挂机升级突破!$W$35:$W$55,卡牌消耗!L37)),"")</f>
        <v/>
      </c>
      <c r="R37" s="16" t="str">
        <f>IF(INDEX(挂机升级突破!$X$35:$X$55,卡牌消耗!L37)&gt;0,INDEX($G$2:$I$2,INDEX(挂机升级突破!$X$35:$X$55,卡牌消耗!L37))&amp;M37,"")</f>
        <v/>
      </c>
      <c r="S37" s="16" t="str">
        <f>IF(R37="","",INDEX(挂机升级突破!$AE$35:$AG$55,卡牌消耗!L37,INDEX(挂机升级突破!$X$35:$X$55,卡牌消耗!L37)))</f>
        <v/>
      </c>
      <c r="T37" s="16" t="str">
        <f>IF(INDEX(挂机升级突破!$Y$35:$Y$55,卡牌消耗!L37)&gt;0,"灵玉","")</f>
        <v/>
      </c>
      <c r="U37" s="16" t="str">
        <f>IF(INDEX(挂机升级突破!$Y$35:$Y$55,卡牌消耗!L37)&gt;0,INDEX(挂机升级突破!$AH$35:$AH$55,卡牌消耗!L37),"")</f>
        <v/>
      </c>
    </row>
    <row r="38" spans="1:24" ht="16.5" x14ac:dyDescent="0.2">
      <c r="I38" s="36">
        <v>2</v>
      </c>
      <c r="J38" s="16">
        <f t="shared" si="1"/>
        <v>1102001</v>
      </c>
      <c r="K38" s="16">
        <f t="shared" si="2"/>
        <v>4</v>
      </c>
      <c r="L38" s="16">
        <f t="shared" ref="L38:L101" si="4">MOD((I38-1),21)+1</f>
        <v>2</v>
      </c>
      <c r="M38" s="16" t="str">
        <f t="shared" si="3"/>
        <v>红</v>
      </c>
      <c r="N38" s="16" t="str">
        <f t="shared" ref="N38:N101" si="5">IF(L38&gt;1,"金币","")</f>
        <v>金币</v>
      </c>
      <c r="O38" s="16">
        <f>IF(L38&gt;1,INDEX(挂机升级突破!$AI$35:$AI$55,卡牌消耗!L38),"")</f>
        <v>2500</v>
      </c>
      <c r="P38" s="16" t="str">
        <f>IF(L38&gt;1,INDEX(价值概述!$A$4:$A$8,INDEX(挂机升级突破!$W$35:$W$55,卡牌消耗!L38)),"")</f>
        <v>绿色基础材料</v>
      </c>
      <c r="Q38" s="16">
        <f>IF(L38&gt;1,INDEX(挂机升级突破!$Z$35:$AD$55,卡牌消耗!L38,INDEX(挂机升级突破!$W$35:$W$55,卡牌消耗!L38)),"")</f>
        <v>40</v>
      </c>
      <c r="R38" s="16" t="str">
        <f>IF(INDEX(挂机升级突破!$X$35:$X$55,卡牌消耗!L38)&gt;0,INDEX($G$2:$I$2,INDEX(挂机升级突破!$X$35:$X$55,卡牌消耗!L38))&amp;M38,"")</f>
        <v/>
      </c>
      <c r="S38" s="16" t="str">
        <f>IF(R38="","",INDEX(挂机升级突破!$AE$35:$AG$55,卡牌消耗!L38,INDEX(挂机升级突破!$X$35:$X$55,卡牌消耗!L38)))</f>
        <v/>
      </c>
      <c r="T38" s="16" t="str">
        <f>IF(INDEX(挂机升级突破!$Y$35:$Y$55,卡牌消耗!L38)&gt;0,"灵玉","")</f>
        <v/>
      </c>
      <c r="U38" s="16" t="str">
        <f>IF(INDEX(挂机升级突破!$Y$35:$Y$55,卡牌消耗!L38)&gt;0,INDEX(挂机升级突破!$AH$35:$AH$55,卡牌消耗!L38),"")</f>
        <v/>
      </c>
    </row>
    <row r="39" spans="1:24" ht="16.5" x14ac:dyDescent="0.2">
      <c r="I39" s="36">
        <v>3</v>
      </c>
      <c r="J39" s="16">
        <f t="shared" si="1"/>
        <v>1102001</v>
      </c>
      <c r="K39" s="16">
        <f t="shared" si="2"/>
        <v>4</v>
      </c>
      <c r="L39" s="16">
        <f t="shared" si="4"/>
        <v>3</v>
      </c>
      <c r="M39" s="16" t="str">
        <f t="shared" si="3"/>
        <v>红</v>
      </c>
      <c r="N39" s="16" t="str">
        <f t="shared" si="5"/>
        <v>金币</v>
      </c>
      <c r="O39" s="16">
        <f>IF(L39&gt;1,INDEX(挂机升级突破!$AI$35:$AI$55,卡牌消耗!L39),"")</f>
        <v>8500</v>
      </c>
      <c r="P39" s="16" t="str">
        <f>IF(L39&gt;1,INDEX(价值概述!$A$4:$A$8,INDEX(挂机升级突破!$W$35:$W$55,卡牌消耗!L39)),"")</f>
        <v>绿色基础材料</v>
      </c>
      <c r="Q39" s="16">
        <f>IF(L39&gt;1,INDEX(挂机升级突破!$Z$35:$AD$55,卡牌消耗!L39,INDEX(挂机升级突破!$W$35:$W$55,卡牌消耗!L39)),"")</f>
        <v>120</v>
      </c>
      <c r="R39" s="16" t="str">
        <f>IF(INDEX(挂机升级突破!$X$35:$X$55,卡牌消耗!L39)&gt;0,INDEX($G$2:$I$2,INDEX(挂机升级突破!$X$35:$X$55,卡牌消耗!L39))&amp;M39,"")</f>
        <v/>
      </c>
      <c r="S39" s="16" t="str">
        <f>IF(R39="","",INDEX(挂机升级突破!$AE$35:$AG$55,卡牌消耗!L39,INDEX(挂机升级突破!$X$35:$X$55,卡牌消耗!L39)))</f>
        <v/>
      </c>
      <c r="T39" s="16" t="str">
        <f>IF(INDEX(挂机升级突破!$Y$35:$Y$55,卡牌消耗!L39)&gt;0,"灵玉","")</f>
        <v/>
      </c>
      <c r="U39" s="16" t="str">
        <f>IF(INDEX(挂机升级突破!$Y$35:$Y$55,卡牌消耗!L39)&gt;0,INDEX(挂机升级突破!$AH$35:$AH$55,卡牌消耗!L39),"")</f>
        <v/>
      </c>
    </row>
    <row r="40" spans="1:24" ht="16.5" x14ac:dyDescent="0.2">
      <c r="I40" s="36">
        <v>4</v>
      </c>
      <c r="J40" s="16">
        <f t="shared" si="1"/>
        <v>1102001</v>
      </c>
      <c r="K40" s="16">
        <f t="shared" si="2"/>
        <v>4</v>
      </c>
      <c r="L40" s="16">
        <f t="shared" si="4"/>
        <v>4</v>
      </c>
      <c r="M40" s="16" t="str">
        <f t="shared" si="3"/>
        <v>红</v>
      </c>
      <c r="N40" s="16" t="str">
        <f t="shared" si="5"/>
        <v>金币</v>
      </c>
      <c r="O40" s="16">
        <f>IF(L40&gt;1,INDEX(挂机升级突破!$AI$35:$AI$55,卡牌消耗!L40),"")</f>
        <v>17000</v>
      </c>
      <c r="P40" s="16" t="str">
        <f>IF(L40&gt;1,INDEX(价值概述!$A$4:$A$8,INDEX(挂机升级突破!$W$35:$W$55,卡牌消耗!L40)),"")</f>
        <v>绿色基础材料</v>
      </c>
      <c r="Q40" s="16">
        <f>IF(L40&gt;1,INDEX(挂机升级突破!$Z$35:$AD$55,卡牌消耗!L40,INDEX(挂机升级突破!$W$35:$W$55,卡牌消耗!L40)),"")</f>
        <v>240</v>
      </c>
      <c r="R40" s="16" t="str">
        <f>IF(INDEX(挂机升级突破!$X$35:$X$55,卡牌消耗!L40)&gt;0,INDEX($G$2:$I$2,INDEX(挂机升级突破!$X$35:$X$55,卡牌消耗!L40))&amp;M40,"")</f>
        <v>初级红</v>
      </c>
      <c r="S40" s="16">
        <f>IF(R40="","",INDEX(挂机升级突破!$AE$35:$AG$55,卡牌消耗!L40,INDEX(挂机升级突破!$X$35:$X$55,卡牌消耗!L40)))</f>
        <v>130</v>
      </c>
      <c r="T40" s="16" t="str">
        <f>IF(INDEX(挂机升级突破!$Y$35:$Y$55,卡牌消耗!L40)&gt;0,"灵玉","")</f>
        <v/>
      </c>
      <c r="U40" s="16" t="str">
        <f>IF(INDEX(挂机升级突破!$Y$35:$Y$55,卡牌消耗!L40)&gt;0,INDEX(挂机升级突破!$AH$35:$AH$55,卡牌消耗!L40),"")</f>
        <v/>
      </c>
    </row>
    <row r="41" spans="1:24" ht="16.5" x14ac:dyDescent="0.2">
      <c r="I41" s="36">
        <v>5</v>
      </c>
      <c r="J41" s="16">
        <f t="shared" si="1"/>
        <v>1102001</v>
      </c>
      <c r="K41" s="16">
        <f t="shared" si="2"/>
        <v>4</v>
      </c>
      <c r="L41" s="16">
        <f t="shared" si="4"/>
        <v>5</v>
      </c>
      <c r="M41" s="16" t="str">
        <f t="shared" si="3"/>
        <v>红</v>
      </c>
      <c r="N41" s="16" t="str">
        <f t="shared" si="5"/>
        <v>金币</v>
      </c>
      <c r="O41" s="16">
        <f>IF(L41&gt;1,INDEX(挂机升级突破!$AI$35:$AI$55,卡牌消耗!L41),"")</f>
        <v>10500</v>
      </c>
      <c r="P41" s="16" t="str">
        <f>IF(L41&gt;1,INDEX(价值概述!$A$4:$A$8,INDEX(挂机升级突破!$W$35:$W$55,卡牌消耗!L41)),"")</f>
        <v>蓝色基础材料</v>
      </c>
      <c r="Q41" s="16">
        <f>IF(L41&gt;1,INDEX(挂机升级突破!$Z$35:$AD$55,卡牌消耗!L41,INDEX(挂机升级突破!$W$35:$W$55,卡牌消耗!L41)),"")</f>
        <v>85</v>
      </c>
      <c r="R41" s="16" t="str">
        <f>IF(INDEX(挂机升级突破!$X$35:$X$55,卡牌消耗!L41)&gt;0,INDEX($G$2:$I$2,INDEX(挂机升级突破!$X$35:$X$55,卡牌消耗!L41))&amp;M41,"")</f>
        <v>初级红</v>
      </c>
      <c r="S41" s="16">
        <f>IF(R41="","",INDEX(挂机升级突破!$AE$35:$AG$55,卡牌消耗!L41,INDEX(挂机升级突破!$X$35:$X$55,卡牌消耗!L41)))</f>
        <v>160</v>
      </c>
      <c r="T41" s="16" t="str">
        <f>IF(INDEX(挂机升级突破!$Y$35:$Y$55,卡牌消耗!L41)&gt;0,"灵玉","")</f>
        <v/>
      </c>
      <c r="U41" s="16" t="str">
        <f>IF(INDEX(挂机升级突破!$Y$35:$Y$55,卡牌消耗!L41)&gt;0,INDEX(挂机升级突破!$AH$35:$AH$55,卡牌消耗!L41),"")</f>
        <v/>
      </c>
    </row>
    <row r="42" spans="1:24" ht="16.5" x14ac:dyDescent="0.2">
      <c r="I42" s="36">
        <v>6</v>
      </c>
      <c r="J42" s="16">
        <f t="shared" si="1"/>
        <v>1102001</v>
      </c>
      <c r="K42" s="16">
        <f t="shared" si="2"/>
        <v>4</v>
      </c>
      <c r="L42" s="16">
        <f t="shared" si="4"/>
        <v>6</v>
      </c>
      <c r="M42" s="16" t="str">
        <f t="shared" si="3"/>
        <v>红</v>
      </c>
      <c r="N42" s="16" t="str">
        <f t="shared" si="5"/>
        <v>金币</v>
      </c>
      <c r="O42" s="16">
        <f>IF(L42&gt;1,INDEX(挂机升级突破!$AI$35:$AI$55,卡牌消耗!L42),"")</f>
        <v>25000</v>
      </c>
      <c r="P42" s="16" t="str">
        <f>IF(L42&gt;1,INDEX(价值概述!$A$4:$A$8,INDEX(挂机升级突破!$W$35:$W$55,卡牌消耗!L42)),"")</f>
        <v>蓝色基础材料</v>
      </c>
      <c r="Q42" s="16">
        <f>IF(L42&gt;1,INDEX(挂机升级突破!$Z$35:$AD$55,卡牌消耗!L42,INDEX(挂机升级突破!$W$35:$W$55,卡牌消耗!L42)),"")</f>
        <v>145</v>
      </c>
      <c r="R42" s="16" t="str">
        <f>IF(INDEX(挂机升级突破!$X$35:$X$55,卡牌消耗!L42)&gt;0,INDEX($G$2:$I$2,INDEX(挂机升级突破!$X$35:$X$55,卡牌消耗!L42))&amp;M42,"")</f>
        <v>初级红</v>
      </c>
      <c r="S42" s="16">
        <f>IF(R42="","",INDEX(挂机升级突破!$AE$35:$AG$55,卡牌消耗!L42,INDEX(挂机升级突破!$X$35:$X$55,卡牌消耗!L42)))</f>
        <v>175</v>
      </c>
      <c r="T42" s="16" t="str">
        <f>IF(INDEX(挂机升级突破!$Y$35:$Y$55,卡牌消耗!L42)&gt;0,"灵玉","")</f>
        <v/>
      </c>
      <c r="U42" s="16" t="str">
        <f>IF(INDEX(挂机升级突破!$Y$35:$Y$55,卡牌消耗!L42)&gt;0,INDEX(挂机升级突破!$AH$35:$AH$55,卡牌消耗!L42),"")</f>
        <v/>
      </c>
    </row>
    <row r="43" spans="1:24" ht="16.5" x14ac:dyDescent="0.2">
      <c r="I43" s="36">
        <v>7</v>
      </c>
      <c r="J43" s="16">
        <f t="shared" si="1"/>
        <v>1102001</v>
      </c>
      <c r="K43" s="16">
        <f t="shared" si="2"/>
        <v>4</v>
      </c>
      <c r="L43" s="16">
        <f t="shared" si="4"/>
        <v>7</v>
      </c>
      <c r="M43" s="16" t="str">
        <f t="shared" si="3"/>
        <v>红</v>
      </c>
      <c r="N43" s="16" t="str">
        <f t="shared" si="5"/>
        <v>金币</v>
      </c>
      <c r="O43" s="16">
        <f>IF(L43&gt;1,INDEX(挂机升级突破!$AI$35:$AI$55,卡牌消耗!L43),"")</f>
        <v>28000</v>
      </c>
      <c r="P43" s="16" t="str">
        <f>IF(L43&gt;1,INDEX(价值概述!$A$4:$A$8,INDEX(挂机升级突破!$W$35:$W$55,卡牌消耗!L43)),"")</f>
        <v>蓝色基础材料</v>
      </c>
      <c r="Q43" s="16">
        <f>IF(L43&gt;1,INDEX(挂机升级突破!$Z$35:$AD$55,卡牌消耗!L43,INDEX(挂机升级突破!$W$35:$W$55,卡牌消耗!L43)),"")</f>
        <v>185</v>
      </c>
      <c r="R43" s="16" t="str">
        <f>IF(INDEX(挂机升级突破!$X$35:$X$55,卡牌消耗!L43)&gt;0,INDEX($G$2:$I$2,INDEX(挂机升级突破!$X$35:$X$55,卡牌消耗!L43))&amp;M43,"")</f>
        <v>初级红</v>
      </c>
      <c r="S43" s="16">
        <f>IF(R43="","",INDEX(挂机升级突破!$AE$35:$AG$55,卡牌消耗!L43,INDEX(挂机升级突破!$X$35:$X$55,卡牌消耗!L43)))</f>
        <v>190</v>
      </c>
      <c r="T43" s="16" t="str">
        <f>IF(INDEX(挂机升级突破!$Y$35:$Y$55,卡牌消耗!L43)&gt;0,"灵玉","")</f>
        <v/>
      </c>
      <c r="U43" s="16" t="str">
        <f>IF(INDEX(挂机升级突破!$Y$35:$Y$55,卡牌消耗!L43)&gt;0,INDEX(挂机升级突破!$AH$35:$AH$55,卡牌消耗!L43),"")</f>
        <v/>
      </c>
    </row>
    <row r="44" spans="1:24" ht="16.5" x14ac:dyDescent="0.2">
      <c r="I44" s="36">
        <v>8</v>
      </c>
      <c r="J44" s="16">
        <f t="shared" si="1"/>
        <v>1102001</v>
      </c>
      <c r="K44" s="16">
        <f t="shared" si="2"/>
        <v>4</v>
      </c>
      <c r="L44" s="16">
        <f t="shared" si="4"/>
        <v>8</v>
      </c>
      <c r="M44" s="16" t="str">
        <f t="shared" si="3"/>
        <v>红</v>
      </c>
      <c r="N44" s="16" t="str">
        <f t="shared" si="5"/>
        <v>金币</v>
      </c>
      <c r="O44" s="16">
        <f>IF(L44&gt;1,INDEX(挂机升级突破!$AI$35:$AI$55,卡牌消耗!L44),"")</f>
        <v>31000</v>
      </c>
      <c r="P44" s="16" t="str">
        <f>IF(L44&gt;1,INDEX(价值概述!$A$4:$A$8,INDEX(挂机升级突破!$W$35:$W$55,卡牌消耗!L44)),"")</f>
        <v>蓝色基础材料</v>
      </c>
      <c r="Q44" s="16">
        <f>IF(L44&gt;1,INDEX(挂机升级突破!$Z$35:$AD$55,卡牌消耗!L44,INDEX(挂机升级突破!$W$35:$W$55,卡牌消耗!L44)),"")</f>
        <v>220</v>
      </c>
      <c r="R44" s="16" t="str">
        <f>IF(INDEX(挂机升级突破!$X$35:$X$55,卡牌消耗!L44)&gt;0,INDEX($G$2:$I$2,INDEX(挂机升级突破!$X$35:$X$55,卡牌消耗!L44))&amp;M44,"")</f>
        <v>初级红</v>
      </c>
      <c r="S44" s="16">
        <f>IF(R44="","",INDEX(挂机升级突破!$AE$35:$AG$55,卡牌消耗!L44,INDEX(挂机升级突破!$X$35:$X$55,卡牌消耗!L44)))</f>
        <v>200</v>
      </c>
      <c r="T44" s="16" t="str">
        <f>IF(INDEX(挂机升级突破!$Y$35:$Y$55,卡牌消耗!L44)&gt;0,"灵玉","")</f>
        <v/>
      </c>
      <c r="U44" s="16" t="str">
        <f>IF(INDEX(挂机升级突破!$Y$35:$Y$55,卡牌消耗!L44)&gt;0,INDEX(挂机升级突破!$AH$35:$AH$55,卡牌消耗!L44),"")</f>
        <v/>
      </c>
    </row>
    <row r="45" spans="1:24" ht="16.5" x14ac:dyDescent="0.2">
      <c r="I45" s="36">
        <v>9</v>
      </c>
      <c r="J45" s="16">
        <f t="shared" si="1"/>
        <v>1102001</v>
      </c>
      <c r="K45" s="16">
        <f t="shared" si="2"/>
        <v>4</v>
      </c>
      <c r="L45" s="16">
        <f t="shared" si="4"/>
        <v>9</v>
      </c>
      <c r="M45" s="16" t="str">
        <f t="shared" si="3"/>
        <v>红</v>
      </c>
      <c r="N45" s="16" t="str">
        <f t="shared" si="5"/>
        <v>金币</v>
      </c>
      <c r="O45" s="16">
        <f>IF(L45&gt;1,INDEX(挂机升级突破!$AI$35:$AI$55,卡牌消耗!L45),"")</f>
        <v>24000</v>
      </c>
      <c r="P45" s="16" t="str">
        <f>IF(L45&gt;1,INDEX(价值概述!$A$4:$A$8,INDEX(挂机升级突破!$W$35:$W$55,卡牌消耗!L45)),"")</f>
        <v>紫色基础材料</v>
      </c>
      <c r="Q45" s="16">
        <f>IF(L45&gt;1,INDEX(挂机升级突破!$Z$35:$AD$55,卡牌消耗!L45,INDEX(挂机升级突破!$W$35:$W$55,卡牌消耗!L45)),"")</f>
        <v>95</v>
      </c>
      <c r="R45" s="16" t="str">
        <f>IF(INDEX(挂机升级突破!$X$35:$X$55,卡牌消耗!L45)&gt;0,INDEX($G$2:$I$2,INDEX(挂机升级突破!$X$35:$X$55,卡牌消耗!L45))&amp;M45,"")</f>
        <v>中级红</v>
      </c>
      <c r="S45" s="16">
        <f>IF(R45="","",INDEX(挂机升级突破!$AE$35:$AG$55,卡牌消耗!L45,INDEX(挂机升级突破!$X$35:$X$55,卡牌消耗!L45)))</f>
        <v>80</v>
      </c>
      <c r="T45" s="16" t="str">
        <f>IF(INDEX(挂机升级突破!$Y$35:$Y$55,卡牌消耗!L45)&gt;0,"灵玉","")</f>
        <v/>
      </c>
      <c r="U45" s="16" t="str">
        <f>IF(INDEX(挂机升级突破!$Y$35:$Y$55,卡牌消耗!L45)&gt;0,INDEX(挂机升级突破!$AH$35:$AH$55,卡牌消耗!L45),"")</f>
        <v/>
      </c>
    </row>
    <row r="46" spans="1:24" ht="16.5" x14ac:dyDescent="0.2">
      <c r="I46" s="36">
        <v>10</v>
      </c>
      <c r="J46" s="16">
        <f t="shared" si="1"/>
        <v>1102001</v>
      </c>
      <c r="K46" s="16">
        <f t="shared" si="2"/>
        <v>4</v>
      </c>
      <c r="L46" s="16">
        <f t="shared" si="4"/>
        <v>10</v>
      </c>
      <c r="M46" s="16" t="str">
        <f t="shared" si="3"/>
        <v>红</v>
      </c>
      <c r="N46" s="16" t="str">
        <f t="shared" si="5"/>
        <v>金币</v>
      </c>
      <c r="O46" s="16">
        <f>IF(L46&gt;1,INDEX(挂机升级突破!$AI$35:$AI$55,卡牌消耗!L46),"")</f>
        <v>26500</v>
      </c>
      <c r="P46" s="16" t="str">
        <f>IF(L46&gt;1,INDEX(价值概述!$A$4:$A$8,INDEX(挂机升级突破!$W$35:$W$55,卡牌消耗!L46)),"")</f>
        <v>紫色基础材料</v>
      </c>
      <c r="Q46" s="16">
        <f>IF(L46&gt;1,INDEX(挂机升级突破!$Z$35:$AD$55,卡牌消耗!L46,INDEX(挂机升级突破!$W$35:$W$55,卡牌消耗!L46)),"")</f>
        <v>175</v>
      </c>
      <c r="R46" s="16" t="str">
        <f>IF(INDEX(挂机升级突破!$X$35:$X$55,卡牌消耗!L46)&gt;0,INDEX($G$2:$I$2,INDEX(挂机升级突破!$X$35:$X$55,卡牌消耗!L46))&amp;M46,"")</f>
        <v>中级红</v>
      </c>
      <c r="S46" s="16">
        <f>IF(R46="","",INDEX(挂机升级突破!$AE$35:$AG$55,卡牌消耗!L46,INDEX(挂机升级突破!$X$35:$X$55,卡牌消耗!L46)))</f>
        <v>120</v>
      </c>
      <c r="T46" s="16" t="str">
        <f>IF(INDEX(挂机升级突破!$Y$35:$Y$55,卡牌消耗!L46)&gt;0,"灵玉","")</f>
        <v/>
      </c>
      <c r="U46" s="16" t="str">
        <f>IF(INDEX(挂机升级突破!$Y$35:$Y$55,卡牌消耗!L46)&gt;0,INDEX(挂机升级突破!$AH$35:$AH$55,卡牌消耗!L46),"")</f>
        <v/>
      </c>
    </row>
    <row r="47" spans="1:24" ht="16.5" x14ac:dyDescent="0.2">
      <c r="I47" s="36">
        <v>11</v>
      </c>
      <c r="J47" s="16">
        <f t="shared" si="1"/>
        <v>1102001</v>
      </c>
      <c r="K47" s="16">
        <f t="shared" si="2"/>
        <v>4</v>
      </c>
      <c r="L47" s="16">
        <f t="shared" si="4"/>
        <v>11</v>
      </c>
      <c r="M47" s="16" t="str">
        <f t="shared" si="3"/>
        <v>红</v>
      </c>
      <c r="N47" s="16" t="str">
        <f t="shared" si="5"/>
        <v>金币</v>
      </c>
      <c r="O47" s="16">
        <f>IF(L47&gt;1,INDEX(挂机升级突破!$AI$35:$AI$55,卡牌消耗!L47),"")</f>
        <v>28500</v>
      </c>
      <c r="P47" s="16" t="str">
        <f>IF(L47&gt;1,INDEX(价值概述!$A$4:$A$8,INDEX(挂机升级突破!$W$35:$W$55,卡牌消耗!L47)),"")</f>
        <v>紫色基础材料</v>
      </c>
      <c r="Q47" s="16">
        <f>IF(L47&gt;1,INDEX(挂机升级突破!$Z$35:$AD$55,卡牌消耗!L47,INDEX(挂机升级突破!$W$35:$W$55,卡牌消耗!L47)),"")</f>
        <v>245</v>
      </c>
      <c r="R47" s="16" t="str">
        <f>IF(INDEX(挂机升级突破!$X$35:$X$55,卡牌消耗!L47)&gt;0,INDEX($G$2:$I$2,INDEX(挂机升级突破!$X$35:$X$55,卡牌消耗!L47))&amp;M47,"")</f>
        <v>中级红</v>
      </c>
      <c r="S47" s="16">
        <f>IF(R47="","",INDEX(挂机升级突破!$AE$35:$AG$55,卡牌消耗!L47,INDEX(挂机升级突破!$X$35:$X$55,卡牌消耗!L47)))</f>
        <v>170</v>
      </c>
      <c r="T47" s="16" t="str">
        <f>IF(INDEX(挂机升级突破!$Y$35:$Y$55,卡牌消耗!L47)&gt;0,"灵玉","")</f>
        <v/>
      </c>
      <c r="U47" s="16" t="str">
        <f>IF(INDEX(挂机升级突破!$Y$35:$Y$55,卡牌消耗!L47)&gt;0,INDEX(挂机升级突破!$AH$35:$AH$55,卡牌消耗!L47),"")</f>
        <v/>
      </c>
    </row>
    <row r="48" spans="1:24" ht="16.5" x14ac:dyDescent="0.2">
      <c r="I48" s="36">
        <v>12</v>
      </c>
      <c r="J48" s="16">
        <f t="shared" si="1"/>
        <v>1102001</v>
      </c>
      <c r="K48" s="16">
        <f t="shared" si="2"/>
        <v>4</v>
      </c>
      <c r="L48" s="16">
        <f t="shared" si="4"/>
        <v>12</v>
      </c>
      <c r="M48" s="16" t="str">
        <f t="shared" si="3"/>
        <v>红</v>
      </c>
      <c r="N48" s="16" t="str">
        <f t="shared" si="5"/>
        <v>金币</v>
      </c>
      <c r="O48" s="16">
        <f>IF(L48&gt;1,INDEX(挂机升级突破!$AI$35:$AI$55,卡牌消耗!L48),"")</f>
        <v>30500</v>
      </c>
      <c r="P48" s="16" t="str">
        <f>IF(L48&gt;1,INDEX(价值概述!$A$4:$A$8,INDEX(挂机升级突破!$W$35:$W$55,卡牌消耗!L48)),"")</f>
        <v>紫色基础材料</v>
      </c>
      <c r="Q48" s="16">
        <f>IF(L48&gt;1,INDEX(挂机升级突破!$Z$35:$AD$55,卡牌消耗!L48,INDEX(挂机升级突破!$W$35:$W$55,卡牌消耗!L48)),"")</f>
        <v>305</v>
      </c>
      <c r="R48" s="16" t="str">
        <f>IF(INDEX(挂机升级突破!$X$35:$X$55,卡牌消耗!L48)&gt;0,INDEX($G$2:$I$2,INDEX(挂机升级突破!$X$35:$X$55,卡牌消耗!L48))&amp;M48,"")</f>
        <v>中级红</v>
      </c>
      <c r="S48" s="16">
        <f>IF(R48="","",INDEX(挂机升级突破!$AE$35:$AG$55,卡牌消耗!L48,INDEX(挂机升级突破!$X$35:$X$55,卡牌消耗!L48)))</f>
        <v>200</v>
      </c>
      <c r="T48" s="16" t="str">
        <f>IF(INDEX(挂机升级突破!$Y$35:$Y$55,卡牌消耗!L48)&gt;0,"灵玉","")</f>
        <v/>
      </c>
      <c r="U48" s="16" t="str">
        <f>IF(INDEX(挂机升级突破!$Y$35:$Y$55,卡牌消耗!L48)&gt;0,INDEX(挂机升级突破!$AH$35:$AH$55,卡牌消耗!L48),"")</f>
        <v/>
      </c>
    </row>
    <row r="49" spans="9:21" ht="16.5" x14ac:dyDescent="0.2">
      <c r="I49" s="36">
        <v>13</v>
      </c>
      <c r="J49" s="16">
        <f t="shared" si="1"/>
        <v>1102001</v>
      </c>
      <c r="K49" s="16">
        <f t="shared" si="2"/>
        <v>4</v>
      </c>
      <c r="L49" s="16">
        <f t="shared" si="4"/>
        <v>13</v>
      </c>
      <c r="M49" s="16" t="str">
        <f t="shared" si="3"/>
        <v>红</v>
      </c>
      <c r="N49" s="16" t="str">
        <f t="shared" si="5"/>
        <v>金币</v>
      </c>
      <c r="O49" s="16">
        <f>IF(L49&gt;1,INDEX(挂机升级突破!$AI$35:$AI$55,卡牌消耗!L49),"")</f>
        <v>38500</v>
      </c>
      <c r="P49" s="16" t="str">
        <f>IF(L49&gt;1,INDEX(价值概述!$A$4:$A$8,INDEX(挂机升级突破!$W$35:$W$55,卡牌消耗!L49)),"")</f>
        <v>橙色基础材料</v>
      </c>
      <c r="Q49" s="16">
        <f>IF(L49&gt;1,INDEX(挂机升级突破!$Z$35:$AD$55,卡牌消耗!L49,INDEX(挂机升级突破!$W$35:$W$55,卡牌消耗!L49)),"")</f>
        <v>115</v>
      </c>
      <c r="R49" s="16" t="str">
        <f>IF(INDEX(挂机升级突破!$X$35:$X$55,卡牌消耗!L49)&gt;0,INDEX($G$2:$I$2,INDEX(挂机升级突破!$X$35:$X$55,卡牌消耗!L49))&amp;M49,"")</f>
        <v>中级红</v>
      </c>
      <c r="S49" s="16">
        <f>IF(R49="","",INDEX(挂机升级突破!$AE$35:$AG$55,卡牌消耗!L49,INDEX(挂机升级突破!$X$35:$X$55,卡牌消耗!L49)))</f>
        <v>225</v>
      </c>
      <c r="T49" s="16" t="str">
        <f>IF(INDEX(挂机升级突破!$Y$35:$Y$55,卡牌消耗!L49)&gt;0,"灵玉","")</f>
        <v/>
      </c>
      <c r="U49" s="16" t="str">
        <f>IF(INDEX(挂机升级突破!$Y$35:$Y$55,卡牌消耗!L49)&gt;0,INDEX(挂机升级突破!$AH$35:$AH$55,卡牌消耗!L49),"")</f>
        <v/>
      </c>
    </row>
    <row r="50" spans="9:21" ht="16.5" x14ac:dyDescent="0.2">
      <c r="I50" s="36">
        <v>14</v>
      </c>
      <c r="J50" s="16">
        <f t="shared" si="1"/>
        <v>1102001</v>
      </c>
      <c r="K50" s="16">
        <f t="shared" si="2"/>
        <v>4</v>
      </c>
      <c r="L50" s="16">
        <f t="shared" si="4"/>
        <v>14</v>
      </c>
      <c r="M50" s="16" t="str">
        <f t="shared" si="3"/>
        <v>红</v>
      </c>
      <c r="N50" s="16" t="str">
        <f t="shared" si="5"/>
        <v>金币</v>
      </c>
      <c r="O50" s="16">
        <f>IF(L50&gt;1,INDEX(挂机升级突破!$AI$35:$AI$55,卡牌消耗!L50),"")</f>
        <v>51000</v>
      </c>
      <c r="P50" s="16" t="str">
        <f>IF(L50&gt;1,INDEX(价值概述!$A$4:$A$8,INDEX(挂机升级突破!$W$35:$W$55,卡牌消耗!L50)),"")</f>
        <v>橙色基础材料</v>
      </c>
      <c r="Q50" s="16">
        <f>IF(L50&gt;1,INDEX(挂机升级突破!$Z$35:$AD$55,卡牌消耗!L50,INDEX(挂机升级突破!$W$35:$W$55,卡牌消耗!L50)),"")</f>
        <v>235</v>
      </c>
      <c r="R50" s="16" t="str">
        <f>IF(INDEX(挂机升级突破!$X$35:$X$55,卡牌消耗!L50)&gt;0,INDEX($G$2:$I$2,INDEX(挂机升级突破!$X$35:$X$55,卡牌消耗!L50))&amp;M50,"")</f>
        <v>中级红</v>
      </c>
      <c r="S50" s="16">
        <f>IF(R50="","",INDEX(挂机升级突破!$AE$35:$AG$55,卡牌消耗!L50,INDEX(挂机升级突破!$X$35:$X$55,卡牌消耗!L50)))</f>
        <v>265</v>
      </c>
      <c r="T50" s="16" t="str">
        <f>IF(INDEX(挂机升级突破!$Y$35:$Y$55,卡牌消耗!L50)&gt;0,"灵玉","")</f>
        <v/>
      </c>
      <c r="U50" s="16" t="str">
        <f>IF(INDEX(挂机升级突破!$Y$35:$Y$55,卡牌消耗!L50)&gt;0,INDEX(挂机升级突破!$AH$35:$AH$55,卡牌消耗!L50),"")</f>
        <v/>
      </c>
    </row>
    <row r="51" spans="9:21" ht="16.5" x14ac:dyDescent="0.2">
      <c r="I51" s="36">
        <v>15</v>
      </c>
      <c r="J51" s="16">
        <f t="shared" si="1"/>
        <v>1102001</v>
      </c>
      <c r="K51" s="16">
        <f t="shared" si="2"/>
        <v>4</v>
      </c>
      <c r="L51" s="16">
        <f t="shared" si="4"/>
        <v>15</v>
      </c>
      <c r="M51" s="16" t="str">
        <f t="shared" si="3"/>
        <v>红</v>
      </c>
      <c r="N51" s="16" t="str">
        <f t="shared" si="5"/>
        <v>金币</v>
      </c>
      <c r="O51" s="16">
        <f>IF(L51&gt;1,INDEX(挂机升级突破!$AI$35:$AI$55,卡牌消耗!L51),"")</f>
        <v>60000</v>
      </c>
      <c r="P51" s="16" t="str">
        <f>IF(L51&gt;1,INDEX(价值概述!$A$4:$A$8,INDEX(挂机升级突破!$W$35:$W$55,卡牌消耗!L51)),"")</f>
        <v>橙色基础材料</v>
      </c>
      <c r="Q51" s="16">
        <f>IF(L51&gt;1,INDEX(挂机升级突破!$Z$35:$AD$55,卡牌消耗!L51,INDEX(挂机升级突破!$W$35:$W$55,卡牌消耗!L51)),"")</f>
        <v>355</v>
      </c>
      <c r="R51" s="16" t="str">
        <f>IF(INDEX(挂机升级突破!$X$35:$X$55,卡牌消耗!L51)&gt;0,INDEX($G$2:$I$2,INDEX(挂机升级突破!$X$35:$X$55,卡牌消耗!L51))&amp;M51,"")</f>
        <v>高级红</v>
      </c>
      <c r="S51" s="16">
        <f>IF(R51="","",INDEX(挂机升级突破!$AE$35:$AG$55,卡牌消耗!L51,INDEX(挂机升级突破!$X$35:$X$55,卡牌消耗!L51)))</f>
        <v>45</v>
      </c>
      <c r="T51" s="16" t="str">
        <f>IF(INDEX(挂机升级突破!$Y$35:$Y$55,卡牌消耗!L51)&gt;0,"灵玉","")</f>
        <v/>
      </c>
      <c r="U51" s="16" t="str">
        <f>IF(INDEX(挂机升级突破!$Y$35:$Y$55,卡牌消耗!L51)&gt;0,INDEX(挂机升级突破!$AH$35:$AH$55,卡牌消耗!L51),"")</f>
        <v/>
      </c>
    </row>
    <row r="52" spans="9:21" ht="16.5" x14ac:dyDescent="0.2">
      <c r="I52" s="36">
        <v>16</v>
      </c>
      <c r="J52" s="16">
        <f t="shared" si="1"/>
        <v>1102001</v>
      </c>
      <c r="K52" s="16">
        <f t="shared" si="2"/>
        <v>4</v>
      </c>
      <c r="L52" s="16">
        <f t="shared" si="4"/>
        <v>16</v>
      </c>
      <c r="M52" s="16" t="str">
        <f t="shared" si="3"/>
        <v>红</v>
      </c>
      <c r="N52" s="16" t="str">
        <f t="shared" si="5"/>
        <v>金币</v>
      </c>
      <c r="O52" s="16">
        <f>IF(L52&gt;1,INDEX(挂机升级突破!$AI$35:$AI$55,卡牌消耗!L52),"")</f>
        <v>69000</v>
      </c>
      <c r="P52" s="16" t="str">
        <f>IF(L52&gt;1,INDEX(价值概述!$A$4:$A$8,INDEX(挂机升级突破!$W$35:$W$55,卡牌消耗!L52)),"")</f>
        <v>橙色基础材料</v>
      </c>
      <c r="Q52" s="16">
        <f>IF(L52&gt;1,INDEX(挂机升级突破!$Z$35:$AD$55,卡牌消耗!L52,INDEX(挂机升级突破!$W$35:$W$55,卡牌消耗!L52)),"")</f>
        <v>475</v>
      </c>
      <c r="R52" s="16" t="str">
        <f>IF(INDEX(挂机升级突破!$X$35:$X$55,卡牌消耗!L52)&gt;0,INDEX($G$2:$I$2,INDEX(挂机升级突破!$X$35:$X$55,卡牌消耗!L52))&amp;M52,"")</f>
        <v>高级红</v>
      </c>
      <c r="S52" s="16">
        <f>IF(R52="","",INDEX(挂机升级突破!$AE$35:$AG$55,卡牌消耗!L52,INDEX(挂机升级突破!$X$35:$X$55,卡牌消耗!L52)))</f>
        <v>70</v>
      </c>
      <c r="T52" s="16" t="str">
        <f>IF(INDEX(挂机升级突破!$Y$35:$Y$55,卡牌消耗!L52)&gt;0,"灵玉","")</f>
        <v/>
      </c>
      <c r="U52" s="16" t="str">
        <f>IF(INDEX(挂机升级突破!$Y$35:$Y$55,卡牌消耗!L52)&gt;0,INDEX(挂机升级突破!$AH$35:$AH$55,卡牌消耗!L52),"")</f>
        <v/>
      </c>
    </row>
    <row r="53" spans="9:21" ht="16.5" x14ac:dyDescent="0.2">
      <c r="I53" s="36">
        <v>17</v>
      </c>
      <c r="J53" s="16">
        <f t="shared" si="1"/>
        <v>1102001</v>
      </c>
      <c r="K53" s="16">
        <f t="shared" si="2"/>
        <v>4</v>
      </c>
      <c r="L53" s="16">
        <f t="shared" si="4"/>
        <v>17</v>
      </c>
      <c r="M53" s="16" t="str">
        <f t="shared" si="3"/>
        <v>红</v>
      </c>
      <c r="N53" s="16" t="str">
        <f t="shared" si="5"/>
        <v>金币</v>
      </c>
      <c r="O53" s="16">
        <f>IF(L53&gt;1,INDEX(挂机升级突破!$AI$35:$AI$55,卡牌消耗!L53),"")</f>
        <v>76500</v>
      </c>
      <c r="P53" s="16" t="str">
        <f>IF(L53&gt;1,INDEX(价值概述!$A$4:$A$8,INDEX(挂机升级突破!$W$35:$W$55,卡牌消耗!L53)),"")</f>
        <v>红色基础材料</v>
      </c>
      <c r="Q53" s="16">
        <f>IF(L53&gt;1,INDEX(挂机升级突破!$Z$35:$AD$55,卡牌消耗!L53,INDEX(挂机升级突破!$W$35:$W$55,卡牌消耗!L53)),"")</f>
        <v>45</v>
      </c>
      <c r="R53" s="16" t="str">
        <f>IF(INDEX(挂机升级突破!$X$35:$X$55,卡牌消耗!L53)&gt;0,INDEX($G$2:$I$2,INDEX(挂机升级突破!$X$35:$X$55,卡牌消耗!L53))&amp;M53,"")</f>
        <v>高级红</v>
      </c>
      <c r="S53" s="16">
        <f>IF(R53="","",INDEX(挂机升级突破!$AE$35:$AG$55,卡牌消耗!L53,INDEX(挂机升级突破!$X$35:$X$55,卡牌消耗!L53)))</f>
        <v>100</v>
      </c>
      <c r="T53" s="16" t="str">
        <f>IF(INDEX(挂机升级突破!$Y$35:$Y$55,卡牌消耗!L53)&gt;0,"灵玉","")</f>
        <v>灵玉</v>
      </c>
      <c r="U53" s="16">
        <f>IF(INDEX(挂机升级突破!$Y$35:$Y$55,卡牌消耗!L53)&gt;0,INDEX(挂机升级突破!$AH$35:$AH$55,卡牌消耗!L53),"")</f>
        <v>25</v>
      </c>
    </row>
    <row r="54" spans="9:21" ht="16.5" x14ac:dyDescent="0.2">
      <c r="I54" s="36">
        <v>18</v>
      </c>
      <c r="J54" s="16">
        <f t="shared" si="1"/>
        <v>1102001</v>
      </c>
      <c r="K54" s="16">
        <f t="shared" si="2"/>
        <v>4</v>
      </c>
      <c r="L54" s="16">
        <f t="shared" si="4"/>
        <v>18</v>
      </c>
      <c r="M54" s="16" t="str">
        <f t="shared" si="3"/>
        <v>红</v>
      </c>
      <c r="N54" s="16" t="str">
        <f t="shared" si="5"/>
        <v>金币</v>
      </c>
      <c r="O54" s="16">
        <f>IF(L54&gt;1,INDEX(挂机升级突破!$AI$35:$AI$55,卡牌消耗!L54),"")</f>
        <v>107000</v>
      </c>
      <c r="P54" s="16" t="str">
        <f>IF(L54&gt;1,INDEX(价值概述!$A$4:$A$8,INDEX(挂机升级突破!$W$35:$W$55,卡牌消耗!L54)),"")</f>
        <v>红色基础材料</v>
      </c>
      <c r="Q54" s="16">
        <f>IF(L54&gt;1,INDEX(挂机升级突破!$Z$35:$AD$55,卡牌消耗!L54,INDEX(挂机升级突破!$W$35:$W$55,卡牌消耗!L54)),"")</f>
        <v>65</v>
      </c>
      <c r="R54" s="16" t="str">
        <f>IF(INDEX(挂机升级突破!$X$35:$X$55,卡牌消耗!L54)&gt;0,INDEX($G$2:$I$2,INDEX(挂机升级突破!$X$35:$X$55,卡牌消耗!L54))&amp;M54,"")</f>
        <v>高级红</v>
      </c>
      <c r="S54" s="16">
        <f>IF(R54="","",INDEX(挂机升级突破!$AE$35:$AG$55,卡牌消耗!L54,INDEX(挂机升级突破!$X$35:$X$55,卡牌消耗!L54)))</f>
        <v>125</v>
      </c>
      <c r="T54" s="16" t="str">
        <f>IF(INDEX(挂机升级突破!$Y$35:$Y$55,卡牌消耗!L54)&gt;0,"灵玉","")</f>
        <v>灵玉</v>
      </c>
      <c r="U54" s="16">
        <f>IF(INDEX(挂机升级突破!$Y$35:$Y$55,卡牌消耗!L54)&gt;0,INDEX(挂机升级突破!$AH$35:$AH$55,卡牌消耗!L54),"")</f>
        <v>35</v>
      </c>
    </row>
    <row r="55" spans="9:21" ht="16.5" x14ac:dyDescent="0.2">
      <c r="I55" s="36">
        <v>19</v>
      </c>
      <c r="J55" s="16">
        <f t="shared" si="1"/>
        <v>1102001</v>
      </c>
      <c r="K55" s="16">
        <f t="shared" si="2"/>
        <v>4</v>
      </c>
      <c r="L55" s="16">
        <f t="shared" si="4"/>
        <v>19</v>
      </c>
      <c r="M55" s="16" t="str">
        <f t="shared" si="3"/>
        <v>红</v>
      </c>
      <c r="N55" s="16" t="str">
        <f t="shared" si="5"/>
        <v>金币</v>
      </c>
      <c r="O55" s="16">
        <f>IF(L55&gt;1,INDEX(挂机升级突破!$AI$35:$AI$55,卡牌消耗!L55),"")</f>
        <v>142500</v>
      </c>
      <c r="P55" s="16" t="str">
        <f>IF(L55&gt;1,INDEX(价值概述!$A$4:$A$8,INDEX(挂机升级突破!$W$35:$W$55,卡牌消耗!L55)),"")</f>
        <v>红色基础材料</v>
      </c>
      <c r="Q55" s="16">
        <f>IF(L55&gt;1,INDEX(挂机升级突破!$Z$35:$AD$55,卡牌消耗!L55,INDEX(挂机升级突破!$W$35:$W$55,卡牌消耗!L55)),"")</f>
        <v>90</v>
      </c>
      <c r="R55" s="16" t="str">
        <f>IF(INDEX(挂机升级突破!$X$35:$X$55,卡牌消耗!L55)&gt;0,INDEX($G$2:$I$2,INDEX(挂机升级突破!$X$35:$X$55,卡牌消耗!L55))&amp;M55,"")</f>
        <v>高级红</v>
      </c>
      <c r="S55" s="16">
        <f>IF(R55="","",INDEX(挂机升级突破!$AE$35:$AG$55,卡牌消耗!L55,INDEX(挂机升级突破!$X$35:$X$55,卡牌消耗!L55)))</f>
        <v>155</v>
      </c>
      <c r="T55" s="16" t="str">
        <f>IF(INDEX(挂机升级突破!$Y$35:$Y$55,卡牌消耗!L55)&gt;0,"灵玉","")</f>
        <v>灵玉</v>
      </c>
      <c r="U55" s="16">
        <f>IF(INDEX(挂机升级突破!$Y$35:$Y$55,卡牌消耗!L55)&gt;0,INDEX(挂机升级突破!$AH$35:$AH$55,卡牌消耗!L55),"")</f>
        <v>50</v>
      </c>
    </row>
    <row r="56" spans="9:21" ht="16.5" x14ac:dyDescent="0.2">
      <c r="I56" s="36">
        <v>20</v>
      </c>
      <c r="J56" s="16">
        <f t="shared" si="1"/>
        <v>1102001</v>
      </c>
      <c r="K56" s="16">
        <f t="shared" si="2"/>
        <v>4</v>
      </c>
      <c r="L56" s="16">
        <f t="shared" si="4"/>
        <v>20</v>
      </c>
      <c r="M56" s="16" t="str">
        <f t="shared" si="3"/>
        <v>红</v>
      </c>
      <c r="N56" s="16" t="str">
        <f t="shared" si="5"/>
        <v>金币</v>
      </c>
      <c r="O56" s="16">
        <f>IF(L56&gt;1,INDEX(挂机升级突破!$AI$35:$AI$55,卡牌消耗!L56),"")</f>
        <v>178500</v>
      </c>
      <c r="P56" s="16" t="str">
        <f>IF(L56&gt;1,INDEX(价值概述!$A$4:$A$8,INDEX(挂机升级突破!$W$35:$W$55,卡牌消耗!L56)),"")</f>
        <v>红色基础材料</v>
      </c>
      <c r="Q56" s="16">
        <f>IF(L56&gt;1,INDEX(挂机升级突破!$Z$35:$AD$55,卡牌消耗!L56,INDEX(挂机升级突破!$W$35:$W$55,卡牌消耗!L56)),"")</f>
        <v>110</v>
      </c>
      <c r="R56" s="16" t="str">
        <f>IF(INDEX(挂机升级突破!$X$35:$X$55,卡牌消耗!L56)&gt;0,INDEX($G$2:$I$2,INDEX(挂机升级突破!$X$35:$X$55,卡牌消耗!L56))&amp;M56,"")</f>
        <v>高级红</v>
      </c>
      <c r="S56" s="16">
        <f>IF(R56="","",INDEX(挂机升级突破!$AE$35:$AG$55,卡牌消耗!L56,INDEX(挂机升级突破!$X$35:$X$55,卡牌消耗!L56)))</f>
        <v>180</v>
      </c>
      <c r="T56" s="16" t="str">
        <f>IF(INDEX(挂机升级突破!$Y$35:$Y$55,卡牌消耗!L56)&gt;0,"灵玉","")</f>
        <v>灵玉</v>
      </c>
      <c r="U56" s="16">
        <f>IF(INDEX(挂机升级突破!$Y$35:$Y$55,卡牌消耗!L56)&gt;0,INDEX(挂机升级突破!$AH$35:$AH$55,卡牌消耗!L56),"")</f>
        <v>65</v>
      </c>
    </row>
    <row r="57" spans="9:21" ht="16.5" x14ac:dyDescent="0.2">
      <c r="I57" s="36">
        <v>21</v>
      </c>
      <c r="J57" s="16">
        <f t="shared" si="1"/>
        <v>1102001</v>
      </c>
      <c r="K57" s="16">
        <f t="shared" si="2"/>
        <v>4</v>
      </c>
      <c r="L57" s="16">
        <f t="shared" si="4"/>
        <v>21</v>
      </c>
      <c r="M57" s="16" t="str">
        <f t="shared" si="3"/>
        <v>红</v>
      </c>
      <c r="N57" s="16" t="str">
        <f t="shared" si="5"/>
        <v>金币</v>
      </c>
      <c r="O57" s="16">
        <f>IF(L57&gt;1,INDEX(挂机升级突破!$AI$35:$AI$55,卡牌消耗!L57),"")</f>
        <v>214000</v>
      </c>
      <c r="P57" s="16" t="str">
        <f>IF(L57&gt;1,INDEX(价值概述!$A$4:$A$8,INDEX(挂机升级突破!$W$35:$W$55,卡牌消耗!L57)),"")</f>
        <v>红色基础材料</v>
      </c>
      <c r="Q57" s="16">
        <f>IF(L57&gt;1,INDEX(挂机升级突破!$Z$35:$AD$55,卡牌消耗!L57,INDEX(挂机升级突破!$W$35:$W$55,卡牌消耗!L57)),"")</f>
        <v>135</v>
      </c>
      <c r="R57" s="16" t="str">
        <f>IF(INDEX(挂机升级突破!$X$35:$X$55,卡牌消耗!L57)&gt;0,INDEX($G$2:$I$2,INDEX(挂机升级突破!$X$35:$X$55,卡牌消耗!L57))&amp;M57,"")</f>
        <v>高级红</v>
      </c>
      <c r="S57" s="16">
        <f>IF(R57="","",INDEX(挂机升级突破!$AE$35:$AG$55,卡牌消耗!L57,INDEX(挂机升级突破!$X$35:$X$55,卡牌消耗!L57)))</f>
        <v>225</v>
      </c>
      <c r="T57" s="16" t="str">
        <f>IF(INDEX(挂机升级突破!$Y$35:$Y$55,卡牌消耗!L57)&gt;0,"灵玉","")</f>
        <v>灵玉</v>
      </c>
      <c r="U57" s="16">
        <f>IF(INDEX(挂机升级突破!$Y$35:$Y$55,卡牌消耗!L57)&gt;0,INDEX(挂机升级突破!$AH$35:$AH$55,卡牌消耗!L57),"")</f>
        <v>75</v>
      </c>
    </row>
    <row r="58" spans="9:21" ht="16.5" x14ac:dyDescent="0.2">
      <c r="I58" s="36">
        <v>22</v>
      </c>
      <c r="J58" s="16">
        <f t="shared" si="1"/>
        <v>1102002</v>
      </c>
      <c r="K58" s="16">
        <f t="shared" si="2"/>
        <v>3</v>
      </c>
      <c r="L58" s="16">
        <f t="shared" si="4"/>
        <v>1</v>
      </c>
      <c r="M58" s="16" t="str">
        <f t="shared" si="3"/>
        <v>红</v>
      </c>
      <c r="N58" s="16" t="str">
        <f t="shared" si="5"/>
        <v/>
      </c>
      <c r="O58" s="16" t="str">
        <f>IF(L58&gt;1,INDEX(挂机升级突破!$AI$35:$AI$55,卡牌消耗!L58),"")</f>
        <v/>
      </c>
      <c r="P58" s="16" t="str">
        <f>IF(L58&gt;1,INDEX(价值概述!$A$4:$A$8,INDEX(挂机升级突破!$W$35:$W$55,卡牌消耗!L58)),"")</f>
        <v/>
      </c>
      <c r="Q58" s="16" t="str">
        <f>IF(L58&gt;1,INDEX(挂机升级突破!$Z$35:$AD$55,卡牌消耗!L58,INDEX(挂机升级突破!$W$35:$W$55,卡牌消耗!L58)),"")</f>
        <v/>
      </c>
      <c r="R58" s="16" t="str">
        <f>IF(INDEX(挂机升级突破!$X$35:$X$55,卡牌消耗!L58)&gt;0,INDEX($G$2:$I$2,INDEX(挂机升级突破!$X$35:$X$55,卡牌消耗!L58))&amp;M58,"")</f>
        <v/>
      </c>
      <c r="S58" s="16" t="str">
        <f>IF(R58="","",INDEX(挂机升级突破!$AE$35:$AG$55,卡牌消耗!L58,INDEX(挂机升级突破!$X$35:$X$55,卡牌消耗!L58)))</f>
        <v/>
      </c>
      <c r="T58" s="16" t="str">
        <f>IF(INDEX(挂机升级突破!$Y$35:$Y$55,卡牌消耗!L58)&gt;0,"灵玉","")</f>
        <v/>
      </c>
      <c r="U58" s="16" t="str">
        <f>IF(INDEX(挂机升级突破!$Y$35:$Y$55,卡牌消耗!L58)&gt;0,INDEX(挂机升级突破!$AH$35:$AH$55,卡牌消耗!L58),"")</f>
        <v/>
      </c>
    </row>
    <row r="59" spans="9:21" ht="16.5" x14ac:dyDescent="0.2">
      <c r="I59" s="36">
        <v>23</v>
      </c>
      <c r="J59" s="16">
        <f t="shared" si="1"/>
        <v>1102002</v>
      </c>
      <c r="K59" s="16">
        <f t="shared" si="2"/>
        <v>3</v>
      </c>
      <c r="L59" s="16">
        <f t="shared" si="4"/>
        <v>2</v>
      </c>
      <c r="M59" s="16" t="str">
        <f t="shared" si="3"/>
        <v>红</v>
      </c>
      <c r="N59" s="16" t="str">
        <f t="shared" si="5"/>
        <v>金币</v>
      </c>
      <c r="O59" s="16">
        <f>IF(L59&gt;1,INDEX(挂机升级突破!$AI$35:$AI$55,卡牌消耗!L59),"")</f>
        <v>2500</v>
      </c>
      <c r="P59" s="16" t="str">
        <f>IF(L59&gt;1,INDEX(价值概述!$A$4:$A$8,INDEX(挂机升级突破!$W$35:$W$55,卡牌消耗!L59)),"")</f>
        <v>绿色基础材料</v>
      </c>
      <c r="Q59" s="16">
        <f>IF(L59&gt;1,INDEX(挂机升级突破!$Z$35:$AD$55,卡牌消耗!L59,INDEX(挂机升级突破!$W$35:$W$55,卡牌消耗!L59)),"")</f>
        <v>40</v>
      </c>
      <c r="R59" s="16" t="str">
        <f>IF(INDEX(挂机升级突破!$X$35:$X$55,卡牌消耗!L59)&gt;0,INDEX($G$2:$I$2,INDEX(挂机升级突破!$X$35:$X$55,卡牌消耗!L59))&amp;M59,"")</f>
        <v/>
      </c>
      <c r="S59" s="16" t="str">
        <f>IF(R59="","",INDEX(挂机升级突破!$AE$35:$AG$55,卡牌消耗!L59,INDEX(挂机升级突破!$X$35:$X$55,卡牌消耗!L59)))</f>
        <v/>
      </c>
      <c r="T59" s="16" t="str">
        <f>IF(INDEX(挂机升级突破!$Y$35:$Y$55,卡牌消耗!L59)&gt;0,"灵玉","")</f>
        <v/>
      </c>
      <c r="U59" s="16" t="str">
        <f>IF(INDEX(挂机升级突破!$Y$35:$Y$55,卡牌消耗!L59)&gt;0,INDEX(挂机升级突破!$AH$35:$AH$55,卡牌消耗!L59),"")</f>
        <v/>
      </c>
    </row>
    <row r="60" spans="9:21" ht="16.5" x14ac:dyDescent="0.2">
      <c r="I60" s="36">
        <v>24</v>
      </c>
      <c r="J60" s="16">
        <f t="shared" si="1"/>
        <v>1102002</v>
      </c>
      <c r="K60" s="16">
        <f t="shared" si="2"/>
        <v>3</v>
      </c>
      <c r="L60" s="16">
        <f t="shared" si="4"/>
        <v>3</v>
      </c>
      <c r="M60" s="16" t="str">
        <f t="shared" si="3"/>
        <v>红</v>
      </c>
      <c r="N60" s="16" t="str">
        <f t="shared" si="5"/>
        <v>金币</v>
      </c>
      <c r="O60" s="16">
        <f>IF(L60&gt;1,INDEX(挂机升级突破!$AI$35:$AI$55,卡牌消耗!L60),"")</f>
        <v>8500</v>
      </c>
      <c r="P60" s="16" t="str">
        <f>IF(L60&gt;1,INDEX(价值概述!$A$4:$A$8,INDEX(挂机升级突破!$W$35:$W$55,卡牌消耗!L60)),"")</f>
        <v>绿色基础材料</v>
      </c>
      <c r="Q60" s="16">
        <f>IF(L60&gt;1,INDEX(挂机升级突破!$Z$35:$AD$55,卡牌消耗!L60,INDEX(挂机升级突破!$W$35:$W$55,卡牌消耗!L60)),"")</f>
        <v>120</v>
      </c>
      <c r="R60" s="16" t="str">
        <f>IF(INDEX(挂机升级突破!$X$35:$X$55,卡牌消耗!L60)&gt;0,INDEX($G$2:$I$2,INDEX(挂机升级突破!$X$35:$X$55,卡牌消耗!L60))&amp;M60,"")</f>
        <v/>
      </c>
      <c r="S60" s="16" t="str">
        <f>IF(R60="","",INDEX(挂机升级突破!$AE$35:$AG$55,卡牌消耗!L60,INDEX(挂机升级突破!$X$35:$X$55,卡牌消耗!L60)))</f>
        <v/>
      </c>
      <c r="T60" s="16" t="str">
        <f>IF(INDEX(挂机升级突破!$Y$35:$Y$55,卡牌消耗!L60)&gt;0,"灵玉","")</f>
        <v/>
      </c>
      <c r="U60" s="16" t="str">
        <f>IF(INDEX(挂机升级突破!$Y$35:$Y$55,卡牌消耗!L60)&gt;0,INDEX(挂机升级突破!$AH$35:$AH$55,卡牌消耗!L60),"")</f>
        <v/>
      </c>
    </row>
    <row r="61" spans="9:21" ht="16.5" x14ac:dyDescent="0.2">
      <c r="I61" s="36">
        <v>25</v>
      </c>
      <c r="J61" s="16">
        <f t="shared" si="1"/>
        <v>1102002</v>
      </c>
      <c r="K61" s="16">
        <f t="shared" si="2"/>
        <v>3</v>
      </c>
      <c r="L61" s="16">
        <f t="shared" si="4"/>
        <v>4</v>
      </c>
      <c r="M61" s="16" t="str">
        <f t="shared" si="3"/>
        <v>红</v>
      </c>
      <c r="N61" s="16" t="str">
        <f t="shared" si="5"/>
        <v>金币</v>
      </c>
      <c r="O61" s="16">
        <f>IF(L61&gt;1,INDEX(挂机升级突破!$AI$35:$AI$55,卡牌消耗!L61),"")</f>
        <v>17000</v>
      </c>
      <c r="P61" s="16" t="str">
        <f>IF(L61&gt;1,INDEX(价值概述!$A$4:$A$8,INDEX(挂机升级突破!$W$35:$W$55,卡牌消耗!L61)),"")</f>
        <v>绿色基础材料</v>
      </c>
      <c r="Q61" s="16">
        <f>IF(L61&gt;1,INDEX(挂机升级突破!$Z$35:$AD$55,卡牌消耗!L61,INDEX(挂机升级突破!$W$35:$W$55,卡牌消耗!L61)),"")</f>
        <v>240</v>
      </c>
      <c r="R61" s="16" t="str">
        <f>IF(INDEX(挂机升级突破!$X$35:$X$55,卡牌消耗!L61)&gt;0,INDEX($G$2:$I$2,INDEX(挂机升级突破!$X$35:$X$55,卡牌消耗!L61))&amp;M61,"")</f>
        <v>初级红</v>
      </c>
      <c r="S61" s="16">
        <f>IF(R61="","",INDEX(挂机升级突破!$AE$35:$AG$55,卡牌消耗!L61,INDEX(挂机升级突破!$X$35:$X$55,卡牌消耗!L61)))</f>
        <v>130</v>
      </c>
      <c r="T61" s="16" t="str">
        <f>IF(INDEX(挂机升级突破!$Y$35:$Y$55,卡牌消耗!L61)&gt;0,"灵玉","")</f>
        <v/>
      </c>
      <c r="U61" s="16" t="str">
        <f>IF(INDEX(挂机升级突破!$Y$35:$Y$55,卡牌消耗!L61)&gt;0,INDEX(挂机升级突破!$AH$35:$AH$55,卡牌消耗!L61),"")</f>
        <v/>
      </c>
    </row>
    <row r="62" spans="9:21" ht="16.5" x14ac:dyDescent="0.2">
      <c r="I62" s="36">
        <v>26</v>
      </c>
      <c r="J62" s="16">
        <f t="shared" si="1"/>
        <v>1102002</v>
      </c>
      <c r="K62" s="16">
        <f t="shared" si="2"/>
        <v>3</v>
      </c>
      <c r="L62" s="16">
        <f t="shared" si="4"/>
        <v>5</v>
      </c>
      <c r="M62" s="16" t="str">
        <f t="shared" si="3"/>
        <v>红</v>
      </c>
      <c r="N62" s="16" t="str">
        <f t="shared" si="5"/>
        <v>金币</v>
      </c>
      <c r="O62" s="16">
        <f>IF(L62&gt;1,INDEX(挂机升级突破!$AI$35:$AI$55,卡牌消耗!L62),"")</f>
        <v>10500</v>
      </c>
      <c r="P62" s="16" t="str">
        <f>IF(L62&gt;1,INDEX(价值概述!$A$4:$A$8,INDEX(挂机升级突破!$W$35:$W$55,卡牌消耗!L62)),"")</f>
        <v>蓝色基础材料</v>
      </c>
      <c r="Q62" s="16">
        <f>IF(L62&gt;1,INDEX(挂机升级突破!$Z$35:$AD$55,卡牌消耗!L62,INDEX(挂机升级突破!$W$35:$W$55,卡牌消耗!L62)),"")</f>
        <v>85</v>
      </c>
      <c r="R62" s="16" t="str">
        <f>IF(INDEX(挂机升级突破!$X$35:$X$55,卡牌消耗!L62)&gt;0,INDEX($G$2:$I$2,INDEX(挂机升级突破!$X$35:$X$55,卡牌消耗!L62))&amp;M62,"")</f>
        <v>初级红</v>
      </c>
      <c r="S62" s="16">
        <f>IF(R62="","",INDEX(挂机升级突破!$AE$35:$AG$55,卡牌消耗!L62,INDEX(挂机升级突破!$X$35:$X$55,卡牌消耗!L62)))</f>
        <v>160</v>
      </c>
      <c r="T62" s="16" t="str">
        <f>IF(INDEX(挂机升级突破!$Y$35:$Y$55,卡牌消耗!L62)&gt;0,"灵玉","")</f>
        <v/>
      </c>
      <c r="U62" s="16" t="str">
        <f>IF(INDEX(挂机升级突破!$Y$35:$Y$55,卡牌消耗!L62)&gt;0,INDEX(挂机升级突破!$AH$35:$AH$55,卡牌消耗!L62),"")</f>
        <v/>
      </c>
    </row>
    <row r="63" spans="9:21" ht="16.5" x14ac:dyDescent="0.2">
      <c r="I63" s="36">
        <v>27</v>
      </c>
      <c r="J63" s="16">
        <f t="shared" si="1"/>
        <v>1102002</v>
      </c>
      <c r="K63" s="16">
        <f t="shared" si="2"/>
        <v>3</v>
      </c>
      <c r="L63" s="16">
        <f t="shared" si="4"/>
        <v>6</v>
      </c>
      <c r="M63" s="16" t="str">
        <f t="shared" si="3"/>
        <v>红</v>
      </c>
      <c r="N63" s="16" t="str">
        <f t="shared" si="5"/>
        <v>金币</v>
      </c>
      <c r="O63" s="16">
        <f>IF(L63&gt;1,INDEX(挂机升级突破!$AI$35:$AI$55,卡牌消耗!L63),"")</f>
        <v>25000</v>
      </c>
      <c r="P63" s="16" t="str">
        <f>IF(L63&gt;1,INDEX(价值概述!$A$4:$A$8,INDEX(挂机升级突破!$W$35:$W$55,卡牌消耗!L63)),"")</f>
        <v>蓝色基础材料</v>
      </c>
      <c r="Q63" s="16">
        <f>IF(L63&gt;1,INDEX(挂机升级突破!$Z$35:$AD$55,卡牌消耗!L63,INDEX(挂机升级突破!$W$35:$W$55,卡牌消耗!L63)),"")</f>
        <v>145</v>
      </c>
      <c r="R63" s="16" t="str">
        <f>IF(INDEX(挂机升级突破!$X$35:$X$55,卡牌消耗!L63)&gt;0,INDEX($G$2:$I$2,INDEX(挂机升级突破!$X$35:$X$55,卡牌消耗!L63))&amp;M63,"")</f>
        <v>初级红</v>
      </c>
      <c r="S63" s="16">
        <f>IF(R63="","",INDEX(挂机升级突破!$AE$35:$AG$55,卡牌消耗!L63,INDEX(挂机升级突破!$X$35:$X$55,卡牌消耗!L63)))</f>
        <v>175</v>
      </c>
      <c r="T63" s="16" t="str">
        <f>IF(INDEX(挂机升级突破!$Y$35:$Y$55,卡牌消耗!L63)&gt;0,"灵玉","")</f>
        <v/>
      </c>
      <c r="U63" s="16" t="str">
        <f>IF(INDEX(挂机升级突破!$Y$35:$Y$55,卡牌消耗!L63)&gt;0,INDEX(挂机升级突破!$AH$35:$AH$55,卡牌消耗!L63),"")</f>
        <v/>
      </c>
    </row>
    <row r="64" spans="9:21" ht="16.5" x14ac:dyDescent="0.2">
      <c r="I64" s="36">
        <v>28</v>
      </c>
      <c r="J64" s="16">
        <f t="shared" si="1"/>
        <v>1102002</v>
      </c>
      <c r="K64" s="16">
        <f t="shared" si="2"/>
        <v>3</v>
      </c>
      <c r="L64" s="16">
        <f t="shared" si="4"/>
        <v>7</v>
      </c>
      <c r="M64" s="16" t="str">
        <f t="shared" si="3"/>
        <v>红</v>
      </c>
      <c r="N64" s="16" t="str">
        <f t="shared" si="5"/>
        <v>金币</v>
      </c>
      <c r="O64" s="16">
        <f>IF(L64&gt;1,INDEX(挂机升级突破!$AI$35:$AI$55,卡牌消耗!L64),"")</f>
        <v>28000</v>
      </c>
      <c r="P64" s="16" t="str">
        <f>IF(L64&gt;1,INDEX(价值概述!$A$4:$A$8,INDEX(挂机升级突破!$W$35:$W$55,卡牌消耗!L64)),"")</f>
        <v>蓝色基础材料</v>
      </c>
      <c r="Q64" s="16">
        <f>IF(L64&gt;1,INDEX(挂机升级突破!$Z$35:$AD$55,卡牌消耗!L64,INDEX(挂机升级突破!$W$35:$W$55,卡牌消耗!L64)),"")</f>
        <v>185</v>
      </c>
      <c r="R64" s="16" t="str">
        <f>IF(INDEX(挂机升级突破!$X$35:$X$55,卡牌消耗!L64)&gt;0,INDEX($G$2:$I$2,INDEX(挂机升级突破!$X$35:$X$55,卡牌消耗!L64))&amp;M64,"")</f>
        <v>初级红</v>
      </c>
      <c r="S64" s="16">
        <f>IF(R64="","",INDEX(挂机升级突破!$AE$35:$AG$55,卡牌消耗!L64,INDEX(挂机升级突破!$X$35:$X$55,卡牌消耗!L64)))</f>
        <v>190</v>
      </c>
      <c r="T64" s="16" t="str">
        <f>IF(INDEX(挂机升级突破!$Y$35:$Y$55,卡牌消耗!L64)&gt;0,"灵玉","")</f>
        <v/>
      </c>
      <c r="U64" s="16" t="str">
        <f>IF(INDEX(挂机升级突破!$Y$35:$Y$55,卡牌消耗!L64)&gt;0,INDEX(挂机升级突破!$AH$35:$AH$55,卡牌消耗!L64),"")</f>
        <v/>
      </c>
    </row>
    <row r="65" spans="9:21" ht="16.5" x14ac:dyDescent="0.2">
      <c r="I65" s="36">
        <v>29</v>
      </c>
      <c r="J65" s="16">
        <f t="shared" si="1"/>
        <v>1102002</v>
      </c>
      <c r="K65" s="16">
        <f t="shared" si="2"/>
        <v>3</v>
      </c>
      <c r="L65" s="16">
        <f t="shared" si="4"/>
        <v>8</v>
      </c>
      <c r="M65" s="16" t="str">
        <f t="shared" si="3"/>
        <v>红</v>
      </c>
      <c r="N65" s="16" t="str">
        <f t="shared" si="5"/>
        <v>金币</v>
      </c>
      <c r="O65" s="16">
        <f>IF(L65&gt;1,INDEX(挂机升级突破!$AI$35:$AI$55,卡牌消耗!L65),"")</f>
        <v>31000</v>
      </c>
      <c r="P65" s="16" t="str">
        <f>IF(L65&gt;1,INDEX(价值概述!$A$4:$A$8,INDEX(挂机升级突破!$W$35:$W$55,卡牌消耗!L65)),"")</f>
        <v>蓝色基础材料</v>
      </c>
      <c r="Q65" s="16">
        <f>IF(L65&gt;1,INDEX(挂机升级突破!$Z$35:$AD$55,卡牌消耗!L65,INDEX(挂机升级突破!$W$35:$W$55,卡牌消耗!L65)),"")</f>
        <v>220</v>
      </c>
      <c r="R65" s="16" t="str">
        <f>IF(INDEX(挂机升级突破!$X$35:$X$55,卡牌消耗!L65)&gt;0,INDEX($G$2:$I$2,INDEX(挂机升级突破!$X$35:$X$55,卡牌消耗!L65))&amp;M65,"")</f>
        <v>初级红</v>
      </c>
      <c r="S65" s="16">
        <f>IF(R65="","",INDEX(挂机升级突破!$AE$35:$AG$55,卡牌消耗!L65,INDEX(挂机升级突破!$X$35:$X$55,卡牌消耗!L65)))</f>
        <v>200</v>
      </c>
      <c r="T65" s="16" t="str">
        <f>IF(INDEX(挂机升级突破!$Y$35:$Y$55,卡牌消耗!L65)&gt;0,"灵玉","")</f>
        <v/>
      </c>
      <c r="U65" s="16" t="str">
        <f>IF(INDEX(挂机升级突破!$Y$35:$Y$55,卡牌消耗!L65)&gt;0,INDEX(挂机升级突破!$AH$35:$AH$55,卡牌消耗!L65),"")</f>
        <v/>
      </c>
    </row>
    <row r="66" spans="9:21" ht="16.5" x14ac:dyDescent="0.2">
      <c r="I66" s="36">
        <v>30</v>
      </c>
      <c r="J66" s="16">
        <f t="shared" si="1"/>
        <v>1102002</v>
      </c>
      <c r="K66" s="16">
        <f t="shared" si="2"/>
        <v>3</v>
      </c>
      <c r="L66" s="16">
        <f t="shared" si="4"/>
        <v>9</v>
      </c>
      <c r="M66" s="16" t="str">
        <f t="shared" si="3"/>
        <v>红</v>
      </c>
      <c r="N66" s="16" t="str">
        <f t="shared" si="5"/>
        <v>金币</v>
      </c>
      <c r="O66" s="16">
        <f>IF(L66&gt;1,INDEX(挂机升级突破!$AI$35:$AI$55,卡牌消耗!L66),"")</f>
        <v>24000</v>
      </c>
      <c r="P66" s="16" t="str">
        <f>IF(L66&gt;1,INDEX(价值概述!$A$4:$A$8,INDEX(挂机升级突破!$W$35:$W$55,卡牌消耗!L66)),"")</f>
        <v>紫色基础材料</v>
      </c>
      <c r="Q66" s="16">
        <f>IF(L66&gt;1,INDEX(挂机升级突破!$Z$35:$AD$55,卡牌消耗!L66,INDEX(挂机升级突破!$W$35:$W$55,卡牌消耗!L66)),"")</f>
        <v>95</v>
      </c>
      <c r="R66" s="16" t="str">
        <f>IF(INDEX(挂机升级突破!$X$35:$X$55,卡牌消耗!L66)&gt;0,INDEX($G$2:$I$2,INDEX(挂机升级突破!$X$35:$X$55,卡牌消耗!L66))&amp;M66,"")</f>
        <v>中级红</v>
      </c>
      <c r="S66" s="16">
        <f>IF(R66="","",INDEX(挂机升级突破!$AE$35:$AG$55,卡牌消耗!L66,INDEX(挂机升级突破!$X$35:$X$55,卡牌消耗!L66)))</f>
        <v>80</v>
      </c>
      <c r="T66" s="16" t="str">
        <f>IF(INDEX(挂机升级突破!$Y$35:$Y$55,卡牌消耗!L66)&gt;0,"灵玉","")</f>
        <v/>
      </c>
      <c r="U66" s="16" t="str">
        <f>IF(INDEX(挂机升级突破!$Y$35:$Y$55,卡牌消耗!L66)&gt;0,INDEX(挂机升级突破!$AH$35:$AH$55,卡牌消耗!L66),"")</f>
        <v/>
      </c>
    </row>
    <row r="67" spans="9:21" ht="16.5" x14ac:dyDescent="0.2">
      <c r="I67" s="36">
        <v>31</v>
      </c>
      <c r="J67" s="16">
        <f t="shared" si="1"/>
        <v>1102002</v>
      </c>
      <c r="K67" s="16">
        <f t="shared" si="2"/>
        <v>3</v>
      </c>
      <c r="L67" s="16">
        <f t="shared" si="4"/>
        <v>10</v>
      </c>
      <c r="M67" s="16" t="str">
        <f t="shared" si="3"/>
        <v>红</v>
      </c>
      <c r="N67" s="16" t="str">
        <f t="shared" si="5"/>
        <v>金币</v>
      </c>
      <c r="O67" s="16">
        <f>IF(L67&gt;1,INDEX(挂机升级突破!$AI$35:$AI$55,卡牌消耗!L67),"")</f>
        <v>26500</v>
      </c>
      <c r="P67" s="16" t="str">
        <f>IF(L67&gt;1,INDEX(价值概述!$A$4:$A$8,INDEX(挂机升级突破!$W$35:$W$55,卡牌消耗!L67)),"")</f>
        <v>紫色基础材料</v>
      </c>
      <c r="Q67" s="16">
        <f>IF(L67&gt;1,INDEX(挂机升级突破!$Z$35:$AD$55,卡牌消耗!L67,INDEX(挂机升级突破!$W$35:$W$55,卡牌消耗!L67)),"")</f>
        <v>175</v>
      </c>
      <c r="R67" s="16" t="str">
        <f>IF(INDEX(挂机升级突破!$X$35:$X$55,卡牌消耗!L67)&gt;0,INDEX($G$2:$I$2,INDEX(挂机升级突破!$X$35:$X$55,卡牌消耗!L67))&amp;M67,"")</f>
        <v>中级红</v>
      </c>
      <c r="S67" s="16">
        <f>IF(R67="","",INDEX(挂机升级突破!$AE$35:$AG$55,卡牌消耗!L67,INDEX(挂机升级突破!$X$35:$X$55,卡牌消耗!L67)))</f>
        <v>120</v>
      </c>
      <c r="T67" s="16" t="str">
        <f>IF(INDEX(挂机升级突破!$Y$35:$Y$55,卡牌消耗!L67)&gt;0,"灵玉","")</f>
        <v/>
      </c>
      <c r="U67" s="16" t="str">
        <f>IF(INDEX(挂机升级突破!$Y$35:$Y$55,卡牌消耗!L67)&gt;0,INDEX(挂机升级突破!$AH$35:$AH$55,卡牌消耗!L67),"")</f>
        <v/>
      </c>
    </row>
    <row r="68" spans="9:21" ht="16.5" x14ac:dyDescent="0.2">
      <c r="I68" s="36">
        <v>32</v>
      </c>
      <c r="J68" s="16">
        <f t="shared" si="1"/>
        <v>1102002</v>
      </c>
      <c r="K68" s="16">
        <f t="shared" si="2"/>
        <v>3</v>
      </c>
      <c r="L68" s="16">
        <f t="shared" si="4"/>
        <v>11</v>
      </c>
      <c r="M68" s="16" t="str">
        <f t="shared" si="3"/>
        <v>红</v>
      </c>
      <c r="N68" s="16" t="str">
        <f t="shared" si="5"/>
        <v>金币</v>
      </c>
      <c r="O68" s="16">
        <f>IF(L68&gt;1,INDEX(挂机升级突破!$AI$35:$AI$55,卡牌消耗!L68),"")</f>
        <v>28500</v>
      </c>
      <c r="P68" s="16" t="str">
        <f>IF(L68&gt;1,INDEX(价值概述!$A$4:$A$8,INDEX(挂机升级突破!$W$35:$W$55,卡牌消耗!L68)),"")</f>
        <v>紫色基础材料</v>
      </c>
      <c r="Q68" s="16">
        <f>IF(L68&gt;1,INDEX(挂机升级突破!$Z$35:$AD$55,卡牌消耗!L68,INDEX(挂机升级突破!$W$35:$W$55,卡牌消耗!L68)),"")</f>
        <v>245</v>
      </c>
      <c r="R68" s="16" t="str">
        <f>IF(INDEX(挂机升级突破!$X$35:$X$55,卡牌消耗!L68)&gt;0,INDEX($G$2:$I$2,INDEX(挂机升级突破!$X$35:$X$55,卡牌消耗!L68))&amp;M68,"")</f>
        <v>中级红</v>
      </c>
      <c r="S68" s="16">
        <f>IF(R68="","",INDEX(挂机升级突破!$AE$35:$AG$55,卡牌消耗!L68,INDEX(挂机升级突破!$X$35:$X$55,卡牌消耗!L68)))</f>
        <v>170</v>
      </c>
      <c r="T68" s="16" t="str">
        <f>IF(INDEX(挂机升级突破!$Y$35:$Y$55,卡牌消耗!L68)&gt;0,"灵玉","")</f>
        <v/>
      </c>
      <c r="U68" s="16" t="str">
        <f>IF(INDEX(挂机升级突破!$Y$35:$Y$55,卡牌消耗!L68)&gt;0,INDEX(挂机升级突破!$AH$35:$AH$55,卡牌消耗!L68),"")</f>
        <v/>
      </c>
    </row>
    <row r="69" spans="9:21" ht="16.5" x14ac:dyDescent="0.2">
      <c r="I69" s="36">
        <v>33</v>
      </c>
      <c r="J69" s="16">
        <f t="shared" si="1"/>
        <v>1102002</v>
      </c>
      <c r="K69" s="16">
        <f t="shared" si="2"/>
        <v>3</v>
      </c>
      <c r="L69" s="16">
        <f t="shared" si="4"/>
        <v>12</v>
      </c>
      <c r="M69" s="16" t="str">
        <f t="shared" si="3"/>
        <v>红</v>
      </c>
      <c r="N69" s="16" t="str">
        <f t="shared" si="5"/>
        <v>金币</v>
      </c>
      <c r="O69" s="16">
        <f>IF(L69&gt;1,INDEX(挂机升级突破!$AI$35:$AI$55,卡牌消耗!L69),"")</f>
        <v>30500</v>
      </c>
      <c r="P69" s="16" t="str">
        <f>IF(L69&gt;1,INDEX(价值概述!$A$4:$A$8,INDEX(挂机升级突破!$W$35:$W$55,卡牌消耗!L69)),"")</f>
        <v>紫色基础材料</v>
      </c>
      <c r="Q69" s="16">
        <f>IF(L69&gt;1,INDEX(挂机升级突破!$Z$35:$AD$55,卡牌消耗!L69,INDEX(挂机升级突破!$W$35:$W$55,卡牌消耗!L69)),"")</f>
        <v>305</v>
      </c>
      <c r="R69" s="16" t="str">
        <f>IF(INDEX(挂机升级突破!$X$35:$X$55,卡牌消耗!L69)&gt;0,INDEX($G$2:$I$2,INDEX(挂机升级突破!$X$35:$X$55,卡牌消耗!L69))&amp;M69,"")</f>
        <v>中级红</v>
      </c>
      <c r="S69" s="16">
        <f>IF(R69="","",INDEX(挂机升级突破!$AE$35:$AG$55,卡牌消耗!L69,INDEX(挂机升级突破!$X$35:$X$55,卡牌消耗!L69)))</f>
        <v>200</v>
      </c>
      <c r="T69" s="16" t="str">
        <f>IF(INDEX(挂机升级突破!$Y$35:$Y$55,卡牌消耗!L69)&gt;0,"灵玉","")</f>
        <v/>
      </c>
      <c r="U69" s="16" t="str">
        <f>IF(INDEX(挂机升级突破!$Y$35:$Y$55,卡牌消耗!L69)&gt;0,INDEX(挂机升级突破!$AH$35:$AH$55,卡牌消耗!L69),"")</f>
        <v/>
      </c>
    </row>
    <row r="70" spans="9:21" ht="16.5" x14ac:dyDescent="0.2">
      <c r="I70" s="36">
        <v>34</v>
      </c>
      <c r="J70" s="16">
        <f t="shared" si="1"/>
        <v>1102002</v>
      </c>
      <c r="K70" s="16">
        <f t="shared" si="2"/>
        <v>3</v>
      </c>
      <c r="L70" s="16">
        <f t="shared" si="4"/>
        <v>13</v>
      </c>
      <c r="M70" s="16" t="str">
        <f t="shared" si="3"/>
        <v>红</v>
      </c>
      <c r="N70" s="16" t="str">
        <f t="shared" si="5"/>
        <v>金币</v>
      </c>
      <c r="O70" s="16">
        <f>IF(L70&gt;1,INDEX(挂机升级突破!$AI$35:$AI$55,卡牌消耗!L70),"")</f>
        <v>38500</v>
      </c>
      <c r="P70" s="16" t="str">
        <f>IF(L70&gt;1,INDEX(价值概述!$A$4:$A$8,INDEX(挂机升级突破!$W$35:$W$55,卡牌消耗!L70)),"")</f>
        <v>橙色基础材料</v>
      </c>
      <c r="Q70" s="16">
        <f>IF(L70&gt;1,INDEX(挂机升级突破!$Z$35:$AD$55,卡牌消耗!L70,INDEX(挂机升级突破!$W$35:$W$55,卡牌消耗!L70)),"")</f>
        <v>115</v>
      </c>
      <c r="R70" s="16" t="str">
        <f>IF(INDEX(挂机升级突破!$X$35:$X$55,卡牌消耗!L70)&gt;0,INDEX($G$2:$I$2,INDEX(挂机升级突破!$X$35:$X$55,卡牌消耗!L70))&amp;M70,"")</f>
        <v>中级红</v>
      </c>
      <c r="S70" s="16">
        <f>IF(R70="","",INDEX(挂机升级突破!$AE$35:$AG$55,卡牌消耗!L70,INDEX(挂机升级突破!$X$35:$X$55,卡牌消耗!L70)))</f>
        <v>225</v>
      </c>
      <c r="T70" s="16" t="str">
        <f>IF(INDEX(挂机升级突破!$Y$35:$Y$55,卡牌消耗!L70)&gt;0,"灵玉","")</f>
        <v/>
      </c>
      <c r="U70" s="16" t="str">
        <f>IF(INDEX(挂机升级突破!$Y$35:$Y$55,卡牌消耗!L70)&gt;0,INDEX(挂机升级突破!$AH$35:$AH$55,卡牌消耗!L70),"")</f>
        <v/>
      </c>
    </row>
    <row r="71" spans="9:21" ht="16.5" x14ac:dyDescent="0.2">
      <c r="I71" s="36">
        <v>35</v>
      </c>
      <c r="J71" s="16">
        <f t="shared" si="1"/>
        <v>1102002</v>
      </c>
      <c r="K71" s="16">
        <f t="shared" si="2"/>
        <v>3</v>
      </c>
      <c r="L71" s="16">
        <f t="shared" si="4"/>
        <v>14</v>
      </c>
      <c r="M71" s="16" t="str">
        <f t="shared" si="3"/>
        <v>红</v>
      </c>
      <c r="N71" s="16" t="str">
        <f t="shared" si="5"/>
        <v>金币</v>
      </c>
      <c r="O71" s="16">
        <f>IF(L71&gt;1,INDEX(挂机升级突破!$AI$35:$AI$55,卡牌消耗!L71),"")</f>
        <v>51000</v>
      </c>
      <c r="P71" s="16" t="str">
        <f>IF(L71&gt;1,INDEX(价值概述!$A$4:$A$8,INDEX(挂机升级突破!$W$35:$W$55,卡牌消耗!L71)),"")</f>
        <v>橙色基础材料</v>
      </c>
      <c r="Q71" s="16">
        <f>IF(L71&gt;1,INDEX(挂机升级突破!$Z$35:$AD$55,卡牌消耗!L71,INDEX(挂机升级突破!$W$35:$W$55,卡牌消耗!L71)),"")</f>
        <v>235</v>
      </c>
      <c r="R71" s="16" t="str">
        <f>IF(INDEX(挂机升级突破!$X$35:$X$55,卡牌消耗!L71)&gt;0,INDEX($G$2:$I$2,INDEX(挂机升级突破!$X$35:$X$55,卡牌消耗!L71))&amp;M71,"")</f>
        <v>中级红</v>
      </c>
      <c r="S71" s="16">
        <f>IF(R71="","",INDEX(挂机升级突破!$AE$35:$AG$55,卡牌消耗!L71,INDEX(挂机升级突破!$X$35:$X$55,卡牌消耗!L71)))</f>
        <v>265</v>
      </c>
      <c r="T71" s="16" t="str">
        <f>IF(INDEX(挂机升级突破!$Y$35:$Y$55,卡牌消耗!L71)&gt;0,"灵玉","")</f>
        <v/>
      </c>
      <c r="U71" s="16" t="str">
        <f>IF(INDEX(挂机升级突破!$Y$35:$Y$55,卡牌消耗!L71)&gt;0,INDEX(挂机升级突破!$AH$35:$AH$55,卡牌消耗!L71),"")</f>
        <v/>
      </c>
    </row>
    <row r="72" spans="9:21" ht="16.5" x14ac:dyDescent="0.2">
      <c r="I72" s="36">
        <v>36</v>
      </c>
      <c r="J72" s="16">
        <f t="shared" si="1"/>
        <v>1102002</v>
      </c>
      <c r="K72" s="16">
        <f t="shared" si="2"/>
        <v>3</v>
      </c>
      <c r="L72" s="16">
        <f t="shared" si="4"/>
        <v>15</v>
      </c>
      <c r="M72" s="16" t="str">
        <f t="shared" si="3"/>
        <v>红</v>
      </c>
      <c r="N72" s="16" t="str">
        <f t="shared" si="5"/>
        <v>金币</v>
      </c>
      <c r="O72" s="16">
        <f>IF(L72&gt;1,INDEX(挂机升级突破!$AI$35:$AI$55,卡牌消耗!L72),"")</f>
        <v>60000</v>
      </c>
      <c r="P72" s="16" t="str">
        <f>IF(L72&gt;1,INDEX(价值概述!$A$4:$A$8,INDEX(挂机升级突破!$W$35:$W$55,卡牌消耗!L72)),"")</f>
        <v>橙色基础材料</v>
      </c>
      <c r="Q72" s="16">
        <f>IF(L72&gt;1,INDEX(挂机升级突破!$Z$35:$AD$55,卡牌消耗!L72,INDEX(挂机升级突破!$W$35:$W$55,卡牌消耗!L72)),"")</f>
        <v>355</v>
      </c>
      <c r="R72" s="16" t="str">
        <f>IF(INDEX(挂机升级突破!$X$35:$X$55,卡牌消耗!L72)&gt;0,INDEX($G$2:$I$2,INDEX(挂机升级突破!$X$35:$X$55,卡牌消耗!L72))&amp;M72,"")</f>
        <v>高级红</v>
      </c>
      <c r="S72" s="16">
        <f>IF(R72="","",INDEX(挂机升级突破!$AE$35:$AG$55,卡牌消耗!L72,INDEX(挂机升级突破!$X$35:$X$55,卡牌消耗!L72)))</f>
        <v>45</v>
      </c>
      <c r="T72" s="16" t="str">
        <f>IF(INDEX(挂机升级突破!$Y$35:$Y$55,卡牌消耗!L72)&gt;0,"灵玉","")</f>
        <v/>
      </c>
      <c r="U72" s="16" t="str">
        <f>IF(INDEX(挂机升级突破!$Y$35:$Y$55,卡牌消耗!L72)&gt;0,INDEX(挂机升级突破!$AH$35:$AH$55,卡牌消耗!L72),"")</f>
        <v/>
      </c>
    </row>
    <row r="73" spans="9:21" ht="16.5" x14ac:dyDescent="0.2">
      <c r="I73" s="36">
        <v>37</v>
      </c>
      <c r="J73" s="16">
        <f t="shared" si="1"/>
        <v>1102002</v>
      </c>
      <c r="K73" s="16">
        <f t="shared" si="2"/>
        <v>3</v>
      </c>
      <c r="L73" s="16">
        <f t="shared" si="4"/>
        <v>16</v>
      </c>
      <c r="M73" s="16" t="str">
        <f t="shared" si="3"/>
        <v>红</v>
      </c>
      <c r="N73" s="16" t="str">
        <f t="shared" si="5"/>
        <v>金币</v>
      </c>
      <c r="O73" s="16">
        <f>IF(L73&gt;1,INDEX(挂机升级突破!$AI$35:$AI$55,卡牌消耗!L73),"")</f>
        <v>69000</v>
      </c>
      <c r="P73" s="16" t="str">
        <f>IF(L73&gt;1,INDEX(价值概述!$A$4:$A$8,INDEX(挂机升级突破!$W$35:$W$55,卡牌消耗!L73)),"")</f>
        <v>橙色基础材料</v>
      </c>
      <c r="Q73" s="16">
        <f>IF(L73&gt;1,INDEX(挂机升级突破!$Z$35:$AD$55,卡牌消耗!L73,INDEX(挂机升级突破!$W$35:$W$55,卡牌消耗!L73)),"")</f>
        <v>475</v>
      </c>
      <c r="R73" s="16" t="str">
        <f>IF(INDEX(挂机升级突破!$X$35:$X$55,卡牌消耗!L73)&gt;0,INDEX($G$2:$I$2,INDEX(挂机升级突破!$X$35:$X$55,卡牌消耗!L73))&amp;M73,"")</f>
        <v>高级红</v>
      </c>
      <c r="S73" s="16">
        <f>IF(R73="","",INDEX(挂机升级突破!$AE$35:$AG$55,卡牌消耗!L73,INDEX(挂机升级突破!$X$35:$X$55,卡牌消耗!L73)))</f>
        <v>70</v>
      </c>
      <c r="T73" s="16" t="str">
        <f>IF(INDEX(挂机升级突破!$Y$35:$Y$55,卡牌消耗!L73)&gt;0,"灵玉","")</f>
        <v/>
      </c>
      <c r="U73" s="16" t="str">
        <f>IF(INDEX(挂机升级突破!$Y$35:$Y$55,卡牌消耗!L73)&gt;0,INDEX(挂机升级突破!$AH$35:$AH$55,卡牌消耗!L73),"")</f>
        <v/>
      </c>
    </row>
    <row r="74" spans="9:21" ht="16.5" x14ac:dyDescent="0.2">
      <c r="I74" s="36">
        <v>38</v>
      </c>
      <c r="J74" s="16">
        <f t="shared" si="1"/>
        <v>1102002</v>
      </c>
      <c r="K74" s="16">
        <f t="shared" si="2"/>
        <v>3</v>
      </c>
      <c r="L74" s="16">
        <f t="shared" si="4"/>
        <v>17</v>
      </c>
      <c r="M74" s="16" t="str">
        <f t="shared" si="3"/>
        <v>红</v>
      </c>
      <c r="N74" s="16" t="str">
        <f t="shared" si="5"/>
        <v>金币</v>
      </c>
      <c r="O74" s="16">
        <f>IF(L74&gt;1,INDEX(挂机升级突破!$AI$35:$AI$55,卡牌消耗!L74),"")</f>
        <v>76500</v>
      </c>
      <c r="P74" s="16" t="str">
        <f>IF(L74&gt;1,INDEX(价值概述!$A$4:$A$8,INDEX(挂机升级突破!$W$35:$W$55,卡牌消耗!L74)),"")</f>
        <v>红色基础材料</v>
      </c>
      <c r="Q74" s="16">
        <f>IF(L74&gt;1,INDEX(挂机升级突破!$Z$35:$AD$55,卡牌消耗!L74,INDEX(挂机升级突破!$W$35:$W$55,卡牌消耗!L74)),"")</f>
        <v>45</v>
      </c>
      <c r="R74" s="16" t="str">
        <f>IF(INDEX(挂机升级突破!$X$35:$X$55,卡牌消耗!L74)&gt;0,INDEX($G$2:$I$2,INDEX(挂机升级突破!$X$35:$X$55,卡牌消耗!L74))&amp;M74,"")</f>
        <v>高级红</v>
      </c>
      <c r="S74" s="16">
        <f>IF(R74="","",INDEX(挂机升级突破!$AE$35:$AG$55,卡牌消耗!L74,INDEX(挂机升级突破!$X$35:$X$55,卡牌消耗!L74)))</f>
        <v>100</v>
      </c>
      <c r="T74" s="16" t="str">
        <f>IF(INDEX(挂机升级突破!$Y$35:$Y$55,卡牌消耗!L74)&gt;0,"灵玉","")</f>
        <v>灵玉</v>
      </c>
      <c r="U74" s="16">
        <f>IF(INDEX(挂机升级突破!$Y$35:$Y$55,卡牌消耗!L74)&gt;0,INDEX(挂机升级突破!$AH$35:$AH$55,卡牌消耗!L74),"")</f>
        <v>25</v>
      </c>
    </row>
    <row r="75" spans="9:21" ht="16.5" x14ac:dyDescent="0.2">
      <c r="I75" s="36">
        <v>39</v>
      </c>
      <c r="J75" s="16">
        <f t="shared" si="1"/>
        <v>1102002</v>
      </c>
      <c r="K75" s="16">
        <f t="shared" si="2"/>
        <v>3</v>
      </c>
      <c r="L75" s="16">
        <f t="shared" si="4"/>
        <v>18</v>
      </c>
      <c r="M75" s="16" t="str">
        <f t="shared" si="3"/>
        <v>红</v>
      </c>
      <c r="N75" s="16" t="str">
        <f t="shared" si="5"/>
        <v>金币</v>
      </c>
      <c r="O75" s="16">
        <f>IF(L75&gt;1,INDEX(挂机升级突破!$AI$35:$AI$55,卡牌消耗!L75),"")</f>
        <v>107000</v>
      </c>
      <c r="P75" s="16" t="str">
        <f>IF(L75&gt;1,INDEX(价值概述!$A$4:$A$8,INDEX(挂机升级突破!$W$35:$W$55,卡牌消耗!L75)),"")</f>
        <v>红色基础材料</v>
      </c>
      <c r="Q75" s="16">
        <f>IF(L75&gt;1,INDEX(挂机升级突破!$Z$35:$AD$55,卡牌消耗!L75,INDEX(挂机升级突破!$W$35:$W$55,卡牌消耗!L75)),"")</f>
        <v>65</v>
      </c>
      <c r="R75" s="16" t="str">
        <f>IF(INDEX(挂机升级突破!$X$35:$X$55,卡牌消耗!L75)&gt;0,INDEX($G$2:$I$2,INDEX(挂机升级突破!$X$35:$X$55,卡牌消耗!L75))&amp;M75,"")</f>
        <v>高级红</v>
      </c>
      <c r="S75" s="16">
        <f>IF(R75="","",INDEX(挂机升级突破!$AE$35:$AG$55,卡牌消耗!L75,INDEX(挂机升级突破!$X$35:$X$55,卡牌消耗!L75)))</f>
        <v>125</v>
      </c>
      <c r="T75" s="16" t="str">
        <f>IF(INDEX(挂机升级突破!$Y$35:$Y$55,卡牌消耗!L75)&gt;0,"灵玉","")</f>
        <v>灵玉</v>
      </c>
      <c r="U75" s="16">
        <f>IF(INDEX(挂机升级突破!$Y$35:$Y$55,卡牌消耗!L75)&gt;0,INDEX(挂机升级突破!$AH$35:$AH$55,卡牌消耗!L75),"")</f>
        <v>35</v>
      </c>
    </row>
    <row r="76" spans="9:21" ht="16.5" x14ac:dyDescent="0.2">
      <c r="I76" s="36">
        <v>40</v>
      </c>
      <c r="J76" s="16">
        <f t="shared" si="1"/>
        <v>1102002</v>
      </c>
      <c r="K76" s="16">
        <f t="shared" si="2"/>
        <v>3</v>
      </c>
      <c r="L76" s="16">
        <f t="shared" si="4"/>
        <v>19</v>
      </c>
      <c r="M76" s="16" t="str">
        <f t="shared" si="3"/>
        <v>红</v>
      </c>
      <c r="N76" s="16" t="str">
        <f t="shared" si="5"/>
        <v>金币</v>
      </c>
      <c r="O76" s="16">
        <f>IF(L76&gt;1,INDEX(挂机升级突破!$AI$35:$AI$55,卡牌消耗!L76),"")</f>
        <v>142500</v>
      </c>
      <c r="P76" s="16" t="str">
        <f>IF(L76&gt;1,INDEX(价值概述!$A$4:$A$8,INDEX(挂机升级突破!$W$35:$W$55,卡牌消耗!L76)),"")</f>
        <v>红色基础材料</v>
      </c>
      <c r="Q76" s="16">
        <f>IF(L76&gt;1,INDEX(挂机升级突破!$Z$35:$AD$55,卡牌消耗!L76,INDEX(挂机升级突破!$W$35:$W$55,卡牌消耗!L76)),"")</f>
        <v>90</v>
      </c>
      <c r="R76" s="16" t="str">
        <f>IF(INDEX(挂机升级突破!$X$35:$X$55,卡牌消耗!L76)&gt;0,INDEX($G$2:$I$2,INDEX(挂机升级突破!$X$35:$X$55,卡牌消耗!L76))&amp;M76,"")</f>
        <v>高级红</v>
      </c>
      <c r="S76" s="16">
        <f>IF(R76="","",INDEX(挂机升级突破!$AE$35:$AG$55,卡牌消耗!L76,INDEX(挂机升级突破!$X$35:$X$55,卡牌消耗!L76)))</f>
        <v>155</v>
      </c>
      <c r="T76" s="16" t="str">
        <f>IF(INDEX(挂机升级突破!$Y$35:$Y$55,卡牌消耗!L76)&gt;0,"灵玉","")</f>
        <v>灵玉</v>
      </c>
      <c r="U76" s="16">
        <f>IF(INDEX(挂机升级突破!$Y$35:$Y$55,卡牌消耗!L76)&gt;0,INDEX(挂机升级突破!$AH$35:$AH$55,卡牌消耗!L76),"")</f>
        <v>50</v>
      </c>
    </row>
    <row r="77" spans="9:21" ht="16.5" x14ac:dyDescent="0.2">
      <c r="I77" s="36">
        <v>41</v>
      </c>
      <c r="J77" s="16">
        <f t="shared" si="1"/>
        <v>1102002</v>
      </c>
      <c r="K77" s="16">
        <f t="shared" si="2"/>
        <v>3</v>
      </c>
      <c r="L77" s="16">
        <f t="shared" si="4"/>
        <v>20</v>
      </c>
      <c r="M77" s="16" t="str">
        <f t="shared" si="3"/>
        <v>红</v>
      </c>
      <c r="N77" s="16" t="str">
        <f t="shared" si="5"/>
        <v>金币</v>
      </c>
      <c r="O77" s="16">
        <f>IF(L77&gt;1,INDEX(挂机升级突破!$AI$35:$AI$55,卡牌消耗!L77),"")</f>
        <v>178500</v>
      </c>
      <c r="P77" s="16" t="str">
        <f>IF(L77&gt;1,INDEX(价值概述!$A$4:$A$8,INDEX(挂机升级突破!$W$35:$W$55,卡牌消耗!L77)),"")</f>
        <v>红色基础材料</v>
      </c>
      <c r="Q77" s="16">
        <f>IF(L77&gt;1,INDEX(挂机升级突破!$Z$35:$AD$55,卡牌消耗!L77,INDEX(挂机升级突破!$W$35:$W$55,卡牌消耗!L77)),"")</f>
        <v>110</v>
      </c>
      <c r="R77" s="16" t="str">
        <f>IF(INDEX(挂机升级突破!$X$35:$X$55,卡牌消耗!L77)&gt;0,INDEX($G$2:$I$2,INDEX(挂机升级突破!$X$35:$X$55,卡牌消耗!L77))&amp;M77,"")</f>
        <v>高级红</v>
      </c>
      <c r="S77" s="16">
        <f>IF(R77="","",INDEX(挂机升级突破!$AE$35:$AG$55,卡牌消耗!L77,INDEX(挂机升级突破!$X$35:$X$55,卡牌消耗!L77)))</f>
        <v>180</v>
      </c>
      <c r="T77" s="16" t="str">
        <f>IF(INDEX(挂机升级突破!$Y$35:$Y$55,卡牌消耗!L77)&gt;0,"灵玉","")</f>
        <v>灵玉</v>
      </c>
      <c r="U77" s="16">
        <f>IF(INDEX(挂机升级突破!$Y$35:$Y$55,卡牌消耗!L77)&gt;0,INDEX(挂机升级突破!$AH$35:$AH$55,卡牌消耗!L77),"")</f>
        <v>65</v>
      </c>
    </row>
    <row r="78" spans="9:21" ht="16.5" x14ac:dyDescent="0.2">
      <c r="I78" s="36">
        <v>42</v>
      </c>
      <c r="J78" s="16">
        <f t="shared" si="1"/>
        <v>1102002</v>
      </c>
      <c r="K78" s="16">
        <f t="shared" si="2"/>
        <v>3</v>
      </c>
      <c r="L78" s="16">
        <f t="shared" si="4"/>
        <v>21</v>
      </c>
      <c r="M78" s="16" t="str">
        <f t="shared" si="3"/>
        <v>红</v>
      </c>
      <c r="N78" s="16" t="str">
        <f t="shared" si="5"/>
        <v>金币</v>
      </c>
      <c r="O78" s="16">
        <f>IF(L78&gt;1,INDEX(挂机升级突破!$AI$35:$AI$55,卡牌消耗!L78),"")</f>
        <v>214000</v>
      </c>
      <c r="P78" s="16" t="str">
        <f>IF(L78&gt;1,INDEX(价值概述!$A$4:$A$8,INDEX(挂机升级突破!$W$35:$W$55,卡牌消耗!L78)),"")</f>
        <v>红色基础材料</v>
      </c>
      <c r="Q78" s="16">
        <f>IF(L78&gt;1,INDEX(挂机升级突破!$Z$35:$AD$55,卡牌消耗!L78,INDEX(挂机升级突破!$W$35:$W$55,卡牌消耗!L78)),"")</f>
        <v>135</v>
      </c>
      <c r="R78" s="16" t="str">
        <f>IF(INDEX(挂机升级突破!$X$35:$X$55,卡牌消耗!L78)&gt;0,INDEX($G$2:$I$2,INDEX(挂机升级突破!$X$35:$X$55,卡牌消耗!L78))&amp;M78,"")</f>
        <v>高级红</v>
      </c>
      <c r="S78" s="16">
        <f>IF(R78="","",INDEX(挂机升级突破!$AE$35:$AG$55,卡牌消耗!L78,INDEX(挂机升级突破!$X$35:$X$55,卡牌消耗!L78)))</f>
        <v>225</v>
      </c>
      <c r="T78" s="16" t="str">
        <f>IF(INDEX(挂机升级突破!$Y$35:$Y$55,卡牌消耗!L78)&gt;0,"灵玉","")</f>
        <v>灵玉</v>
      </c>
      <c r="U78" s="16">
        <f>IF(INDEX(挂机升级突破!$Y$35:$Y$55,卡牌消耗!L78)&gt;0,INDEX(挂机升级突破!$AH$35:$AH$55,卡牌消耗!L78),"")</f>
        <v>75</v>
      </c>
    </row>
    <row r="79" spans="9:21" ht="16.5" x14ac:dyDescent="0.2">
      <c r="I79" s="36">
        <v>43</v>
      </c>
      <c r="J79" s="16">
        <f t="shared" si="1"/>
        <v>1102003</v>
      </c>
      <c r="K79" s="16">
        <f t="shared" si="2"/>
        <v>3</v>
      </c>
      <c r="L79" s="16">
        <f t="shared" si="4"/>
        <v>1</v>
      </c>
      <c r="M79" s="16" t="str">
        <f t="shared" si="3"/>
        <v>黄</v>
      </c>
      <c r="N79" s="16" t="str">
        <f t="shared" si="5"/>
        <v/>
      </c>
      <c r="O79" s="16" t="str">
        <f>IF(L79&gt;1,INDEX(挂机升级突破!$AI$35:$AI$55,卡牌消耗!L79),"")</f>
        <v/>
      </c>
      <c r="P79" s="16" t="str">
        <f>IF(L79&gt;1,INDEX(价值概述!$A$4:$A$8,INDEX(挂机升级突破!$W$35:$W$55,卡牌消耗!L79)),"")</f>
        <v/>
      </c>
      <c r="Q79" s="16" t="str">
        <f>IF(L79&gt;1,INDEX(挂机升级突破!$Z$35:$AD$55,卡牌消耗!L79,INDEX(挂机升级突破!$W$35:$W$55,卡牌消耗!L79)),"")</f>
        <v/>
      </c>
      <c r="R79" s="16" t="str">
        <f>IF(INDEX(挂机升级突破!$X$35:$X$55,卡牌消耗!L79)&gt;0,INDEX($G$2:$I$2,INDEX(挂机升级突破!$X$35:$X$55,卡牌消耗!L79))&amp;M79,"")</f>
        <v/>
      </c>
      <c r="S79" s="16" t="str">
        <f>IF(R79="","",INDEX(挂机升级突破!$AE$35:$AG$55,卡牌消耗!L79,INDEX(挂机升级突破!$X$35:$X$55,卡牌消耗!L79)))</f>
        <v/>
      </c>
      <c r="T79" s="16" t="str">
        <f>IF(INDEX(挂机升级突破!$Y$35:$Y$55,卡牌消耗!L79)&gt;0,"灵玉","")</f>
        <v/>
      </c>
      <c r="U79" s="16" t="str">
        <f>IF(INDEX(挂机升级突破!$Y$35:$Y$55,卡牌消耗!L79)&gt;0,INDEX(挂机升级突破!$AH$35:$AH$55,卡牌消耗!L79),"")</f>
        <v/>
      </c>
    </row>
    <row r="80" spans="9:21" ht="16.5" x14ac:dyDescent="0.2">
      <c r="I80" s="36">
        <v>44</v>
      </c>
      <c r="J80" s="16">
        <f t="shared" si="1"/>
        <v>1102003</v>
      </c>
      <c r="K80" s="16">
        <f t="shared" si="2"/>
        <v>3</v>
      </c>
      <c r="L80" s="16">
        <f t="shared" si="4"/>
        <v>2</v>
      </c>
      <c r="M80" s="16" t="str">
        <f t="shared" si="3"/>
        <v>黄</v>
      </c>
      <c r="N80" s="16" t="str">
        <f t="shared" si="5"/>
        <v>金币</v>
      </c>
      <c r="O80" s="16">
        <f>IF(L80&gt;1,INDEX(挂机升级突破!$AI$35:$AI$55,卡牌消耗!L80),"")</f>
        <v>2500</v>
      </c>
      <c r="P80" s="16" t="str">
        <f>IF(L80&gt;1,INDEX(价值概述!$A$4:$A$8,INDEX(挂机升级突破!$W$35:$W$55,卡牌消耗!L80)),"")</f>
        <v>绿色基础材料</v>
      </c>
      <c r="Q80" s="16">
        <f>IF(L80&gt;1,INDEX(挂机升级突破!$Z$35:$AD$55,卡牌消耗!L80,INDEX(挂机升级突破!$W$35:$W$55,卡牌消耗!L80)),"")</f>
        <v>40</v>
      </c>
      <c r="R80" s="16" t="str">
        <f>IF(INDEX(挂机升级突破!$X$35:$X$55,卡牌消耗!L80)&gt;0,INDEX($G$2:$I$2,INDEX(挂机升级突破!$X$35:$X$55,卡牌消耗!L80))&amp;M80,"")</f>
        <v/>
      </c>
      <c r="S80" s="16" t="str">
        <f>IF(R80="","",INDEX(挂机升级突破!$AE$35:$AG$55,卡牌消耗!L80,INDEX(挂机升级突破!$X$35:$X$55,卡牌消耗!L80)))</f>
        <v/>
      </c>
      <c r="T80" s="16" t="str">
        <f>IF(INDEX(挂机升级突破!$Y$35:$Y$55,卡牌消耗!L80)&gt;0,"灵玉","")</f>
        <v/>
      </c>
      <c r="U80" s="16" t="str">
        <f>IF(INDEX(挂机升级突破!$Y$35:$Y$55,卡牌消耗!L80)&gt;0,INDEX(挂机升级突破!$AH$35:$AH$55,卡牌消耗!L80),"")</f>
        <v/>
      </c>
    </row>
    <row r="81" spans="9:21" ht="16.5" x14ac:dyDescent="0.2">
      <c r="I81" s="36">
        <v>45</v>
      </c>
      <c r="J81" s="16">
        <f t="shared" si="1"/>
        <v>1102003</v>
      </c>
      <c r="K81" s="16">
        <f t="shared" si="2"/>
        <v>3</v>
      </c>
      <c r="L81" s="16">
        <f t="shared" si="4"/>
        <v>3</v>
      </c>
      <c r="M81" s="16" t="str">
        <f t="shared" si="3"/>
        <v>黄</v>
      </c>
      <c r="N81" s="16" t="str">
        <f t="shared" si="5"/>
        <v>金币</v>
      </c>
      <c r="O81" s="16">
        <f>IF(L81&gt;1,INDEX(挂机升级突破!$AI$35:$AI$55,卡牌消耗!L81),"")</f>
        <v>8500</v>
      </c>
      <c r="P81" s="16" t="str">
        <f>IF(L81&gt;1,INDEX(价值概述!$A$4:$A$8,INDEX(挂机升级突破!$W$35:$W$55,卡牌消耗!L81)),"")</f>
        <v>绿色基础材料</v>
      </c>
      <c r="Q81" s="16">
        <f>IF(L81&gt;1,INDEX(挂机升级突破!$Z$35:$AD$55,卡牌消耗!L81,INDEX(挂机升级突破!$W$35:$W$55,卡牌消耗!L81)),"")</f>
        <v>120</v>
      </c>
      <c r="R81" s="16" t="str">
        <f>IF(INDEX(挂机升级突破!$X$35:$X$55,卡牌消耗!L81)&gt;0,INDEX($G$2:$I$2,INDEX(挂机升级突破!$X$35:$X$55,卡牌消耗!L81))&amp;M81,"")</f>
        <v/>
      </c>
      <c r="S81" s="16" t="str">
        <f>IF(R81="","",INDEX(挂机升级突破!$AE$35:$AG$55,卡牌消耗!L81,INDEX(挂机升级突破!$X$35:$X$55,卡牌消耗!L81)))</f>
        <v/>
      </c>
      <c r="T81" s="16" t="str">
        <f>IF(INDEX(挂机升级突破!$Y$35:$Y$55,卡牌消耗!L81)&gt;0,"灵玉","")</f>
        <v/>
      </c>
      <c r="U81" s="16" t="str">
        <f>IF(INDEX(挂机升级突破!$Y$35:$Y$55,卡牌消耗!L81)&gt;0,INDEX(挂机升级突破!$AH$35:$AH$55,卡牌消耗!L81),"")</f>
        <v/>
      </c>
    </row>
    <row r="82" spans="9:21" ht="16.5" x14ac:dyDescent="0.2">
      <c r="I82" s="36">
        <v>46</v>
      </c>
      <c r="J82" s="16">
        <f t="shared" si="1"/>
        <v>1102003</v>
      </c>
      <c r="K82" s="16">
        <f t="shared" si="2"/>
        <v>3</v>
      </c>
      <c r="L82" s="16">
        <f t="shared" si="4"/>
        <v>4</v>
      </c>
      <c r="M82" s="16" t="str">
        <f t="shared" si="3"/>
        <v>黄</v>
      </c>
      <c r="N82" s="16" t="str">
        <f t="shared" si="5"/>
        <v>金币</v>
      </c>
      <c r="O82" s="16">
        <f>IF(L82&gt;1,INDEX(挂机升级突破!$AI$35:$AI$55,卡牌消耗!L82),"")</f>
        <v>17000</v>
      </c>
      <c r="P82" s="16" t="str">
        <f>IF(L82&gt;1,INDEX(价值概述!$A$4:$A$8,INDEX(挂机升级突破!$W$35:$W$55,卡牌消耗!L82)),"")</f>
        <v>绿色基础材料</v>
      </c>
      <c r="Q82" s="16">
        <f>IF(L82&gt;1,INDEX(挂机升级突破!$Z$35:$AD$55,卡牌消耗!L82,INDEX(挂机升级突破!$W$35:$W$55,卡牌消耗!L82)),"")</f>
        <v>240</v>
      </c>
      <c r="R82" s="16" t="str">
        <f>IF(INDEX(挂机升级突破!$X$35:$X$55,卡牌消耗!L82)&gt;0,INDEX($G$2:$I$2,INDEX(挂机升级突破!$X$35:$X$55,卡牌消耗!L82))&amp;M82,"")</f>
        <v>初级黄</v>
      </c>
      <c r="S82" s="16">
        <f>IF(R82="","",INDEX(挂机升级突破!$AE$35:$AG$55,卡牌消耗!L82,INDEX(挂机升级突破!$X$35:$X$55,卡牌消耗!L82)))</f>
        <v>130</v>
      </c>
      <c r="T82" s="16" t="str">
        <f>IF(INDEX(挂机升级突破!$Y$35:$Y$55,卡牌消耗!L82)&gt;0,"灵玉","")</f>
        <v/>
      </c>
      <c r="U82" s="16" t="str">
        <f>IF(INDEX(挂机升级突破!$Y$35:$Y$55,卡牌消耗!L82)&gt;0,INDEX(挂机升级突破!$AH$35:$AH$55,卡牌消耗!L82),"")</f>
        <v/>
      </c>
    </row>
    <row r="83" spans="9:21" ht="16.5" x14ac:dyDescent="0.2">
      <c r="I83" s="36">
        <v>47</v>
      </c>
      <c r="J83" s="16">
        <f t="shared" si="1"/>
        <v>1102003</v>
      </c>
      <c r="K83" s="16">
        <f t="shared" si="2"/>
        <v>3</v>
      </c>
      <c r="L83" s="16">
        <f t="shared" si="4"/>
        <v>5</v>
      </c>
      <c r="M83" s="16" t="str">
        <f t="shared" si="3"/>
        <v>黄</v>
      </c>
      <c r="N83" s="16" t="str">
        <f t="shared" si="5"/>
        <v>金币</v>
      </c>
      <c r="O83" s="16">
        <f>IF(L83&gt;1,INDEX(挂机升级突破!$AI$35:$AI$55,卡牌消耗!L83),"")</f>
        <v>10500</v>
      </c>
      <c r="P83" s="16" t="str">
        <f>IF(L83&gt;1,INDEX(价值概述!$A$4:$A$8,INDEX(挂机升级突破!$W$35:$W$55,卡牌消耗!L83)),"")</f>
        <v>蓝色基础材料</v>
      </c>
      <c r="Q83" s="16">
        <f>IF(L83&gt;1,INDEX(挂机升级突破!$Z$35:$AD$55,卡牌消耗!L83,INDEX(挂机升级突破!$W$35:$W$55,卡牌消耗!L83)),"")</f>
        <v>85</v>
      </c>
      <c r="R83" s="16" t="str">
        <f>IF(INDEX(挂机升级突破!$X$35:$X$55,卡牌消耗!L83)&gt;0,INDEX($G$2:$I$2,INDEX(挂机升级突破!$X$35:$X$55,卡牌消耗!L83))&amp;M83,"")</f>
        <v>初级黄</v>
      </c>
      <c r="S83" s="16">
        <f>IF(R83="","",INDEX(挂机升级突破!$AE$35:$AG$55,卡牌消耗!L83,INDEX(挂机升级突破!$X$35:$X$55,卡牌消耗!L83)))</f>
        <v>160</v>
      </c>
      <c r="T83" s="16" t="str">
        <f>IF(INDEX(挂机升级突破!$Y$35:$Y$55,卡牌消耗!L83)&gt;0,"灵玉","")</f>
        <v/>
      </c>
      <c r="U83" s="16" t="str">
        <f>IF(INDEX(挂机升级突破!$Y$35:$Y$55,卡牌消耗!L83)&gt;0,INDEX(挂机升级突破!$AH$35:$AH$55,卡牌消耗!L83),"")</f>
        <v/>
      </c>
    </row>
    <row r="84" spans="9:21" ht="16.5" x14ac:dyDescent="0.2">
      <c r="I84" s="36">
        <v>48</v>
      </c>
      <c r="J84" s="16">
        <f t="shared" si="1"/>
        <v>1102003</v>
      </c>
      <c r="K84" s="16">
        <f t="shared" si="2"/>
        <v>3</v>
      </c>
      <c r="L84" s="16">
        <f t="shared" si="4"/>
        <v>6</v>
      </c>
      <c r="M84" s="16" t="str">
        <f t="shared" si="3"/>
        <v>黄</v>
      </c>
      <c r="N84" s="16" t="str">
        <f t="shared" si="5"/>
        <v>金币</v>
      </c>
      <c r="O84" s="16">
        <f>IF(L84&gt;1,INDEX(挂机升级突破!$AI$35:$AI$55,卡牌消耗!L84),"")</f>
        <v>25000</v>
      </c>
      <c r="P84" s="16" t="str">
        <f>IF(L84&gt;1,INDEX(价值概述!$A$4:$A$8,INDEX(挂机升级突破!$W$35:$W$55,卡牌消耗!L84)),"")</f>
        <v>蓝色基础材料</v>
      </c>
      <c r="Q84" s="16">
        <f>IF(L84&gt;1,INDEX(挂机升级突破!$Z$35:$AD$55,卡牌消耗!L84,INDEX(挂机升级突破!$W$35:$W$55,卡牌消耗!L84)),"")</f>
        <v>145</v>
      </c>
      <c r="R84" s="16" t="str">
        <f>IF(INDEX(挂机升级突破!$X$35:$X$55,卡牌消耗!L84)&gt;0,INDEX($G$2:$I$2,INDEX(挂机升级突破!$X$35:$X$55,卡牌消耗!L84))&amp;M84,"")</f>
        <v>初级黄</v>
      </c>
      <c r="S84" s="16">
        <f>IF(R84="","",INDEX(挂机升级突破!$AE$35:$AG$55,卡牌消耗!L84,INDEX(挂机升级突破!$X$35:$X$55,卡牌消耗!L84)))</f>
        <v>175</v>
      </c>
      <c r="T84" s="16" t="str">
        <f>IF(INDEX(挂机升级突破!$Y$35:$Y$55,卡牌消耗!L84)&gt;0,"灵玉","")</f>
        <v/>
      </c>
      <c r="U84" s="16" t="str">
        <f>IF(INDEX(挂机升级突破!$Y$35:$Y$55,卡牌消耗!L84)&gt;0,INDEX(挂机升级突破!$AH$35:$AH$55,卡牌消耗!L84),"")</f>
        <v/>
      </c>
    </row>
    <row r="85" spans="9:21" ht="16.5" x14ac:dyDescent="0.2">
      <c r="I85" s="36">
        <v>49</v>
      </c>
      <c r="J85" s="16">
        <f t="shared" si="1"/>
        <v>1102003</v>
      </c>
      <c r="K85" s="16">
        <f t="shared" si="2"/>
        <v>3</v>
      </c>
      <c r="L85" s="16">
        <f t="shared" si="4"/>
        <v>7</v>
      </c>
      <c r="M85" s="16" t="str">
        <f t="shared" si="3"/>
        <v>黄</v>
      </c>
      <c r="N85" s="16" t="str">
        <f t="shared" si="5"/>
        <v>金币</v>
      </c>
      <c r="O85" s="16">
        <f>IF(L85&gt;1,INDEX(挂机升级突破!$AI$35:$AI$55,卡牌消耗!L85),"")</f>
        <v>28000</v>
      </c>
      <c r="P85" s="16" t="str">
        <f>IF(L85&gt;1,INDEX(价值概述!$A$4:$A$8,INDEX(挂机升级突破!$W$35:$W$55,卡牌消耗!L85)),"")</f>
        <v>蓝色基础材料</v>
      </c>
      <c r="Q85" s="16">
        <f>IF(L85&gt;1,INDEX(挂机升级突破!$Z$35:$AD$55,卡牌消耗!L85,INDEX(挂机升级突破!$W$35:$W$55,卡牌消耗!L85)),"")</f>
        <v>185</v>
      </c>
      <c r="R85" s="16" t="str">
        <f>IF(INDEX(挂机升级突破!$X$35:$X$55,卡牌消耗!L85)&gt;0,INDEX($G$2:$I$2,INDEX(挂机升级突破!$X$35:$X$55,卡牌消耗!L85))&amp;M85,"")</f>
        <v>初级黄</v>
      </c>
      <c r="S85" s="16">
        <f>IF(R85="","",INDEX(挂机升级突破!$AE$35:$AG$55,卡牌消耗!L85,INDEX(挂机升级突破!$X$35:$X$55,卡牌消耗!L85)))</f>
        <v>190</v>
      </c>
      <c r="T85" s="16" t="str">
        <f>IF(INDEX(挂机升级突破!$Y$35:$Y$55,卡牌消耗!L85)&gt;0,"灵玉","")</f>
        <v/>
      </c>
      <c r="U85" s="16" t="str">
        <f>IF(INDEX(挂机升级突破!$Y$35:$Y$55,卡牌消耗!L85)&gt;0,INDEX(挂机升级突破!$AH$35:$AH$55,卡牌消耗!L85),"")</f>
        <v/>
      </c>
    </row>
    <row r="86" spans="9:21" ht="16.5" x14ac:dyDescent="0.2">
      <c r="I86" s="36">
        <v>50</v>
      </c>
      <c r="J86" s="16">
        <f t="shared" si="1"/>
        <v>1102003</v>
      </c>
      <c r="K86" s="16">
        <f t="shared" si="2"/>
        <v>3</v>
      </c>
      <c r="L86" s="16">
        <f t="shared" si="4"/>
        <v>8</v>
      </c>
      <c r="M86" s="16" t="str">
        <f t="shared" si="3"/>
        <v>黄</v>
      </c>
      <c r="N86" s="16" t="str">
        <f t="shared" si="5"/>
        <v>金币</v>
      </c>
      <c r="O86" s="16">
        <f>IF(L86&gt;1,INDEX(挂机升级突破!$AI$35:$AI$55,卡牌消耗!L86),"")</f>
        <v>31000</v>
      </c>
      <c r="P86" s="16" t="str">
        <f>IF(L86&gt;1,INDEX(价值概述!$A$4:$A$8,INDEX(挂机升级突破!$W$35:$W$55,卡牌消耗!L86)),"")</f>
        <v>蓝色基础材料</v>
      </c>
      <c r="Q86" s="16">
        <f>IF(L86&gt;1,INDEX(挂机升级突破!$Z$35:$AD$55,卡牌消耗!L86,INDEX(挂机升级突破!$W$35:$W$55,卡牌消耗!L86)),"")</f>
        <v>220</v>
      </c>
      <c r="R86" s="16" t="str">
        <f>IF(INDEX(挂机升级突破!$X$35:$X$55,卡牌消耗!L86)&gt;0,INDEX($G$2:$I$2,INDEX(挂机升级突破!$X$35:$X$55,卡牌消耗!L86))&amp;M86,"")</f>
        <v>初级黄</v>
      </c>
      <c r="S86" s="16">
        <f>IF(R86="","",INDEX(挂机升级突破!$AE$35:$AG$55,卡牌消耗!L86,INDEX(挂机升级突破!$X$35:$X$55,卡牌消耗!L86)))</f>
        <v>200</v>
      </c>
      <c r="T86" s="16" t="str">
        <f>IF(INDEX(挂机升级突破!$Y$35:$Y$55,卡牌消耗!L86)&gt;0,"灵玉","")</f>
        <v/>
      </c>
      <c r="U86" s="16" t="str">
        <f>IF(INDEX(挂机升级突破!$Y$35:$Y$55,卡牌消耗!L86)&gt;0,INDEX(挂机升级突破!$AH$35:$AH$55,卡牌消耗!L86),"")</f>
        <v/>
      </c>
    </row>
    <row r="87" spans="9:21" ht="16.5" x14ac:dyDescent="0.2">
      <c r="I87" s="36">
        <v>51</v>
      </c>
      <c r="J87" s="16">
        <f t="shared" si="1"/>
        <v>1102003</v>
      </c>
      <c r="K87" s="16">
        <f t="shared" si="2"/>
        <v>3</v>
      </c>
      <c r="L87" s="16">
        <f t="shared" si="4"/>
        <v>9</v>
      </c>
      <c r="M87" s="16" t="str">
        <f t="shared" si="3"/>
        <v>黄</v>
      </c>
      <c r="N87" s="16" t="str">
        <f t="shared" si="5"/>
        <v>金币</v>
      </c>
      <c r="O87" s="16">
        <f>IF(L87&gt;1,INDEX(挂机升级突破!$AI$35:$AI$55,卡牌消耗!L87),"")</f>
        <v>24000</v>
      </c>
      <c r="P87" s="16" t="str">
        <f>IF(L87&gt;1,INDEX(价值概述!$A$4:$A$8,INDEX(挂机升级突破!$W$35:$W$55,卡牌消耗!L87)),"")</f>
        <v>紫色基础材料</v>
      </c>
      <c r="Q87" s="16">
        <f>IF(L87&gt;1,INDEX(挂机升级突破!$Z$35:$AD$55,卡牌消耗!L87,INDEX(挂机升级突破!$W$35:$W$55,卡牌消耗!L87)),"")</f>
        <v>95</v>
      </c>
      <c r="R87" s="16" t="str">
        <f>IF(INDEX(挂机升级突破!$X$35:$X$55,卡牌消耗!L87)&gt;0,INDEX($G$2:$I$2,INDEX(挂机升级突破!$X$35:$X$55,卡牌消耗!L87))&amp;M87,"")</f>
        <v>中级黄</v>
      </c>
      <c r="S87" s="16">
        <f>IF(R87="","",INDEX(挂机升级突破!$AE$35:$AG$55,卡牌消耗!L87,INDEX(挂机升级突破!$X$35:$X$55,卡牌消耗!L87)))</f>
        <v>80</v>
      </c>
      <c r="T87" s="16" t="str">
        <f>IF(INDEX(挂机升级突破!$Y$35:$Y$55,卡牌消耗!L87)&gt;0,"灵玉","")</f>
        <v/>
      </c>
      <c r="U87" s="16" t="str">
        <f>IF(INDEX(挂机升级突破!$Y$35:$Y$55,卡牌消耗!L87)&gt;0,INDEX(挂机升级突破!$AH$35:$AH$55,卡牌消耗!L87),"")</f>
        <v/>
      </c>
    </row>
    <row r="88" spans="9:21" ht="16.5" x14ac:dyDescent="0.2">
      <c r="I88" s="36">
        <v>52</v>
      </c>
      <c r="J88" s="16">
        <f t="shared" si="1"/>
        <v>1102003</v>
      </c>
      <c r="K88" s="16">
        <f t="shared" si="2"/>
        <v>3</v>
      </c>
      <c r="L88" s="16">
        <f t="shared" si="4"/>
        <v>10</v>
      </c>
      <c r="M88" s="16" t="str">
        <f t="shared" si="3"/>
        <v>黄</v>
      </c>
      <c r="N88" s="16" t="str">
        <f t="shared" si="5"/>
        <v>金币</v>
      </c>
      <c r="O88" s="16">
        <f>IF(L88&gt;1,INDEX(挂机升级突破!$AI$35:$AI$55,卡牌消耗!L88),"")</f>
        <v>26500</v>
      </c>
      <c r="P88" s="16" t="str">
        <f>IF(L88&gt;1,INDEX(价值概述!$A$4:$A$8,INDEX(挂机升级突破!$W$35:$W$55,卡牌消耗!L88)),"")</f>
        <v>紫色基础材料</v>
      </c>
      <c r="Q88" s="16">
        <f>IF(L88&gt;1,INDEX(挂机升级突破!$Z$35:$AD$55,卡牌消耗!L88,INDEX(挂机升级突破!$W$35:$W$55,卡牌消耗!L88)),"")</f>
        <v>175</v>
      </c>
      <c r="R88" s="16" t="str">
        <f>IF(INDEX(挂机升级突破!$X$35:$X$55,卡牌消耗!L88)&gt;0,INDEX($G$2:$I$2,INDEX(挂机升级突破!$X$35:$X$55,卡牌消耗!L88))&amp;M88,"")</f>
        <v>中级黄</v>
      </c>
      <c r="S88" s="16">
        <f>IF(R88="","",INDEX(挂机升级突破!$AE$35:$AG$55,卡牌消耗!L88,INDEX(挂机升级突破!$X$35:$X$55,卡牌消耗!L88)))</f>
        <v>120</v>
      </c>
      <c r="T88" s="16" t="str">
        <f>IF(INDEX(挂机升级突破!$Y$35:$Y$55,卡牌消耗!L88)&gt;0,"灵玉","")</f>
        <v/>
      </c>
      <c r="U88" s="16" t="str">
        <f>IF(INDEX(挂机升级突破!$Y$35:$Y$55,卡牌消耗!L88)&gt;0,INDEX(挂机升级突破!$AH$35:$AH$55,卡牌消耗!L88),"")</f>
        <v/>
      </c>
    </row>
    <row r="89" spans="9:21" ht="16.5" x14ac:dyDescent="0.2">
      <c r="I89" s="36">
        <v>53</v>
      </c>
      <c r="J89" s="16">
        <f t="shared" si="1"/>
        <v>1102003</v>
      </c>
      <c r="K89" s="16">
        <f t="shared" si="2"/>
        <v>3</v>
      </c>
      <c r="L89" s="16">
        <f t="shared" si="4"/>
        <v>11</v>
      </c>
      <c r="M89" s="16" t="str">
        <f t="shared" si="3"/>
        <v>黄</v>
      </c>
      <c r="N89" s="16" t="str">
        <f t="shared" si="5"/>
        <v>金币</v>
      </c>
      <c r="O89" s="16">
        <f>IF(L89&gt;1,INDEX(挂机升级突破!$AI$35:$AI$55,卡牌消耗!L89),"")</f>
        <v>28500</v>
      </c>
      <c r="P89" s="16" t="str">
        <f>IF(L89&gt;1,INDEX(价值概述!$A$4:$A$8,INDEX(挂机升级突破!$W$35:$W$55,卡牌消耗!L89)),"")</f>
        <v>紫色基础材料</v>
      </c>
      <c r="Q89" s="16">
        <f>IF(L89&gt;1,INDEX(挂机升级突破!$Z$35:$AD$55,卡牌消耗!L89,INDEX(挂机升级突破!$W$35:$W$55,卡牌消耗!L89)),"")</f>
        <v>245</v>
      </c>
      <c r="R89" s="16" t="str">
        <f>IF(INDEX(挂机升级突破!$X$35:$X$55,卡牌消耗!L89)&gt;0,INDEX($G$2:$I$2,INDEX(挂机升级突破!$X$35:$X$55,卡牌消耗!L89))&amp;M89,"")</f>
        <v>中级黄</v>
      </c>
      <c r="S89" s="16">
        <f>IF(R89="","",INDEX(挂机升级突破!$AE$35:$AG$55,卡牌消耗!L89,INDEX(挂机升级突破!$X$35:$X$55,卡牌消耗!L89)))</f>
        <v>170</v>
      </c>
      <c r="T89" s="16" t="str">
        <f>IF(INDEX(挂机升级突破!$Y$35:$Y$55,卡牌消耗!L89)&gt;0,"灵玉","")</f>
        <v/>
      </c>
      <c r="U89" s="16" t="str">
        <f>IF(INDEX(挂机升级突破!$Y$35:$Y$55,卡牌消耗!L89)&gt;0,INDEX(挂机升级突破!$AH$35:$AH$55,卡牌消耗!L89),"")</f>
        <v/>
      </c>
    </row>
    <row r="90" spans="9:21" ht="16.5" x14ac:dyDescent="0.2">
      <c r="I90" s="36">
        <v>54</v>
      </c>
      <c r="J90" s="16">
        <f t="shared" si="1"/>
        <v>1102003</v>
      </c>
      <c r="K90" s="16">
        <f t="shared" si="2"/>
        <v>3</v>
      </c>
      <c r="L90" s="16">
        <f t="shared" si="4"/>
        <v>12</v>
      </c>
      <c r="M90" s="16" t="str">
        <f t="shared" si="3"/>
        <v>黄</v>
      </c>
      <c r="N90" s="16" t="str">
        <f t="shared" si="5"/>
        <v>金币</v>
      </c>
      <c r="O90" s="16">
        <f>IF(L90&gt;1,INDEX(挂机升级突破!$AI$35:$AI$55,卡牌消耗!L90),"")</f>
        <v>30500</v>
      </c>
      <c r="P90" s="16" t="str">
        <f>IF(L90&gt;1,INDEX(价值概述!$A$4:$A$8,INDEX(挂机升级突破!$W$35:$W$55,卡牌消耗!L90)),"")</f>
        <v>紫色基础材料</v>
      </c>
      <c r="Q90" s="16">
        <f>IF(L90&gt;1,INDEX(挂机升级突破!$Z$35:$AD$55,卡牌消耗!L90,INDEX(挂机升级突破!$W$35:$W$55,卡牌消耗!L90)),"")</f>
        <v>305</v>
      </c>
      <c r="R90" s="16" t="str">
        <f>IF(INDEX(挂机升级突破!$X$35:$X$55,卡牌消耗!L90)&gt;0,INDEX($G$2:$I$2,INDEX(挂机升级突破!$X$35:$X$55,卡牌消耗!L90))&amp;M90,"")</f>
        <v>中级黄</v>
      </c>
      <c r="S90" s="16">
        <f>IF(R90="","",INDEX(挂机升级突破!$AE$35:$AG$55,卡牌消耗!L90,INDEX(挂机升级突破!$X$35:$X$55,卡牌消耗!L90)))</f>
        <v>200</v>
      </c>
      <c r="T90" s="16" t="str">
        <f>IF(INDEX(挂机升级突破!$Y$35:$Y$55,卡牌消耗!L90)&gt;0,"灵玉","")</f>
        <v/>
      </c>
      <c r="U90" s="16" t="str">
        <f>IF(INDEX(挂机升级突破!$Y$35:$Y$55,卡牌消耗!L90)&gt;0,INDEX(挂机升级突破!$AH$35:$AH$55,卡牌消耗!L90),"")</f>
        <v/>
      </c>
    </row>
    <row r="91" spans="9:21" ht="16.5" x14ac:dyDescent="0.2">
      <c r="I91" s="36">
        <v>55</v>
      </c>
      <c r="J91" s="16">
        <f t="shared" si="1"/>
        <v>1102003</v>
      </c>
      <c r="K91" s="16">
        <f t="shared" si="2"/>
        <v>3</v>
      </c>
      <c r="L91" s="16">
        <f t="shared" si="4"/>
        <v>13</v>
      </c>
      <c r="M91" s="16" t="str">
        <f t="shared" si="3"/>
        <v>黄</v>
      </c>
      <c r="N91" s="16" t="str">
        <f t="shared" si="5"/>
        <v>金币</v>
      </c>
      <c r="O91" s="16">
        <f>IF(L91&gt;1,INDEX(挂机升级突破!$AI$35:$AI$55,卡牌消耗!L91),"")</f>
        <v>38500</v>
      </c>
      <c r="P91" s="16" t="str">
        <f>IF(L91&gt;1,INDEX(价值概述!$A$4:$A$8,INDEX(挂机升级突破!$W$35:$W$55,卡牌消耗!L91)),"")</f>
        <v>橙色基础材料</v>
      </c>
      <c r="Q91" s="16">
        <f>IF(L91&gt;1,INDEX(挂机升级突破!$Z$35:$AD$55,卡牌消耗!L91,INDEX(挂机升级突破!$W$35:$W$55,卡牌消耗!L91)),"")</f>
        <v>115</v>
      </c>
      <c r="R91" s="16" t="str">
        <f>IF(INDEX(挂机升级突破!$X$35:$X$55,卡牌消耗!L91)&gt;0,INDEX($G$2:$I$2,INDEX(挂机升级突破!$X$35:$X$55,卡牌消耗!L91))&amp;M91,"")</f>
        <v>中级黄</v>
      </c>
      <c r="S91" s="16">
        <f>IF(R91="","",INDEX(挂机升级突破!$AE$35:$AG$55,卡牌消耗!L91,INDEX(挂机升级突破!$X$35:$X$55,卡牌消耗!L91)))</f>
        <v>225</v>
      </c>
      <c r="T91" s="16" t="str">
        <f>IF(INDEX(挂机升级突破!$Y$35:$Y$55,卡牌消耗!L91)&gt;0,"灵玉","")</f>
        <v/>
      </c>
      <c r="U91" s="16" t="str">
        <f>IF(INDEX(挂机升级突破!$Y$35:$Y$55,卡牌消耗!L91)&gt;0,INDEX(挂机升级突破!$AH$35:$AH$55,卡牌消耗!L91),"")</f>
        <v/>
      </c>
    </row>
    <row r="92" spans="9:21" ht="16.5" x14ac:dyDescent="0.2">
      <c r="I92" s="36">
        <v>56</v>
      </c>
      <c r="J92" s="16">
        <f t="shared" si="1"/>
        <v>1102003</v>
      </c>
      <c r="K92" s="16">
        <f t="shared" si="2"/>
        <v>3</v>
      </c>
      <c r="L92" s="16">
        <f t="shared" si="4"/>
        <v>14</v>
      </c>
      <c r="M92" s="16" t="str">
        <f t="shared" si="3"/>
        <v>黄</v>
      </c>
      <c r="N92" s="16" t="str">
        <f t="shared" si="5"/>
        <v>金币</v>
      </c>
      <c r="O92" s="16">
        <f>IF(L92&gt;1,INDEX(挂机升级突破!$AI$35:$AI$55,卡牌消耗!L92),"")</f>
        <v>51000</v>
      </c>
      <c r="P92" s="16" t="str">
        <f>IF(L92&gt;1,INDEX(价值概述!$A$4:$A$8,INDEX(挂机升级突破!$W$35:$W$55,卡牌消耗!L92)),"")</f>
        <v>橙色基础材料</v>
      </c>
      <c r="Q92" s="16">
        <f>IF(L92&gt;1,INDEX(挂机升级突破!$Z$35:$AD$55,卡牌消耗!L92,INDEX(挂机升级突破!$W$35:$W$55,卡牌消耗!L92)),"")</f>
        <v>235</v>
      </c>
      <c r="R92" s="16" t="str">
        <f>IF(INDEX(挂机升级突破!$X$35:$X$55,卡牌消耗!L92)&gt;0,INDEX($G$2:$I$2,INDEX(挂机升级突破!$X$35:$X$55,卡牌消耗!L92))&amp;M92,"")</f>
        <v>中级黄</v>
      </c>
      <c r="S92" s="16">
        <f>IF(R92="","",INDEX(挂机升级突破!$AE$35:$AG$55,卡牌消耗!L92,INDEX(挂机升级突破!$X$35:$X$55,卡牌消耗!L92)))</f>
        <v>265</v>
      </c>
      <c r="T92" s="16" t="str">
        <f>IF(INDEX(挂机升级突破!$Y$35:$Y$55,卡牌消耗!L92)&gt;0,"灵玉","")</f>
        <v/>
      </c>
      <c r="U92" s="16" t="str">
        <f>IF(INDEX(挂机升级突破!$Y$35:$Y$55,卡牌消耗!L92)&gt;0,INDEX(挂机升级突破!$AH$35:$AH$55,卡牌消耗!L92),"")</f>
        <v/>
      </c>
    </row>
    <row r="93" spans="9:21" ht="16.5" x14ac:dyDescent="0.2">
      <c r="I93" s="36">
        <v>57</v>
      </c>
      <c r="J93" s="16">
        <f t="shared" si="1"/>
        <v>1102003</v>
      </c>
      <c r="K93" s="16">
        <f t="shared" si="2"/>
        <v>3</v>
      </c>
      <c r="L93" s="16">
        <f t="shared" si="4"/>
        <v>15</v>
      </c>
      <c r="M93" s="16" t="str">
        <f t="shared" si="3"/>
        <v>黄</v>
      </c>
      <c r="N93" s="16" t="str">
        <f t="shared" si="5"/>
        <v>金币</v>
      </c>
      <c r="O93" s="16">
        <f>IF(L93&gt;1,INDEX(挂机升级突破!$AI$35:$AI$55,卡牌消耗!L93),"")</f>
        <v>60000</v>
      </c>
      <c r="P93" s="16" t="str">
        <f>IF(L93&gt;1,INDEX(价值概述!$A$4:$A$8,INDEX(挂机升级突破!$W$35:$W$55,卡牌消耗!L93)),"")</f>
        <v>橙色基础材料</v>
      </c>
      <c r="Q93" s="16">
        <f>IF(L93&gt;1,INDEX(挂机升级突破!$Z$35:$AD$55,卡牌消耗!L93,INDEX(挂机升级突破!$W$35:$W$55,卡牌消耗!L93)),"")</f>
        <v>355</v>
      </c>
      <c r="R93" s="16" t="str">
        <f>IF(INDEX(挂机升级突破!$X$35:$X$55,卡牌消耗!L93)&gt;0,INDEX($G$2:$I$2,INDEX(挂机升级突破!$X$35:$X$55,卡牌消耗!L93))&amp;M93,"")</f>
        <v>高级黄</v>
      </c>
      <c r="S93" s="16">
        <f>IF(R93="","",INDEX(挂机升级突破!$AE$35:$AG$55,卡牌消耗!L93,INDEX(挂机升级突破!$X$35:$X$55,卡牌消耗!L93)))</f>
        <v>45</v>
      </c>
      <c r="T93" s="16" t="str">
        <f>IF(INDEX(挂机升级突破!$Y$35:$Y$55,卡牌消耗!L93)&gt;0,"灵玉","")</f>
        <v/>
      </c>
      <c r="U93" s="16" t="str">
        <f>IF(INDEX(挂机升级突破!$Y$35:$Y$55,卡牌消耗!L93)&gt;0,INDEX(挂机升级突破!$AH$35:$AH$55,卡牌消耗!L93),"")</f>
        <v/>
      </c>
    </row>
    <row r="94" spans="9:21" ht="16.5" x14ac:dyDescent="0.2">
      <c r="I94" s="36">
        <v>58</v>
      </c>
      <c r="J94" s="16">
        <f t="shared" si="1"/>
        <v>1102003</v>
      </c>
      <c r="K94" s="16">
        <f t="shared" si="2"/>
        <v>3</v>
      </c>
      <c r="L94" s="16">
        <f t="shared" si="4"/>
        <v>16</v>
      </c>
      <c r="M94" s="16" t="str">
        <f t="shared" si="3"/>
        <v>黄</v>
      </c>
      <c r="N94" s="16" t="str">
        <f t="shared" si="5"/>
        <v>金币</v>
      </c>
      <c r="O94" s="16">
        <f>IF(L94&gt;1,INDEX(挂机升级突破!$AI$35:$AI$55,卡牌消耗!L94),"")</f>
        <v>69000</v>
      </c>
      <c r="P94" s="16" t="str">
        <f>IF(L94&gt;1,INDEX(价值概述!$A$4:$A$8,INDEX(挂机升级突破!$W$35:$W$55,卡牌消耗!L94)),"")</f>
        <v>橙色基础材料</v>
      </c>
      <c r="Q94" s="16">
        <f>IF(L94&gt;1,INDEX(挂机升级突破!$Z$35:$AD$55,卡牌消耗!L94,INDEX(挂机升级突破!$W$35:$W$55,卡牌消耗!L94)),"")</f>
        <v>475</v>
      </c>
      <c r="R94" s="16" t="str">
        <f>IF(INDEX(挂机升级突破!$X$35:$X$55,卡牌消耗!L94)&gt;0,INDEX($G$2:$I$2,INDEX(挂机升级突破!$X$35:$X$55,卡牌消耗!L94))&amp;M94,"")</f>
        <v>高级黄</v>
      </c>
      <c r="S94" s="16">
        <f>IF(R94="","",INDEX(挂机升级突破!$AE$35:$AG$55,卡牌消耗!L94,INDEX(挂机升级突破!$X$35:$X$55,卡牌消耗!L94)))</f>
        <v>70</v>
      </c>
      <c r="T94" s="16" t="str">
        <f>IF(INDEX(挂机升级突破!$Y$35:$Y$55,卡牌消耗!L94)&gt;0,"灵玉","")</f>
        <v/>
      </c>
      <c r="U94" s="16" t="str">
        <f>IF(INDEX(挂机升级突破!$Y$35:$Y$55,卡牌消耗!L94)&gt;0,INDEX(挂机升级突破!$AH$35:$AH$55,卡牌消耗!L94),"")</f>
        <v/>
      </c>
    </row>
    <row r="95" spans="9:21" ht="16.5" x14ac:dyDescent="0.2">
      <c r="I95" s="36">
        <v>59</v>
      </c>
      <c r="J95" s="16">
        <f t="shared" si="1"/>
        <v>1102003</v>
      </c>
      <c r="K95" s="16">
        <f t="shared" si="2"/>
        <v>3</v>
      </c>
      <c r="L95" s="16">
        <f t="shared" si="4"/>
        <v>17</v>
      </c>
      <c r="M95" s="16" t="str">
        <f t="shared" si="3"/>
        <v>黄</v>
      </c>
      <c r="N95" s="16" t="str">
        <f t="shared" si="5"/>
        <v>金币</v>
      </c>
      <c r="O95" s="16">
        <f>IF(L95&gt;1,INDEX(挂机升级突破!$AI$35:$AI$55,卡牌消耗!L95),"")</f>
        <v>76500</v>
      </c>
      <c r="P95" s="16" t="str">
        <f>IF(L95&gt;1,INDEX(价值概述!$A$4:$A$8,INDEX(挂机升级突破!$W$35:$W$55,卡牌消耗!L95)),"")</f>
        <v>红色基础材料</v>
      </c>
      <c r="Q95" s="16">
        <f>IF(L95&gt;1,INDEX(挂机升级突破!$Z$35:$AD$55,卡牌消耗!L95,INDEX(挂机升级突破!$W$35:$W$55,卡牌消耗!L95)),"")</f>
        <v>45</v>
      </c>
      <c r="R95" s="16" t="str">
        <f>IF(INDEX(挂机升级突破!$X$35:$X$55,卡牌消耗!L95)&gt;0,INDEX($G$2:$I$2,INDEX(挂机升级突破!$X$35:$X$55,卡牌消耗!L95))&amp;M95,"")</f>
        <v>高级黄</v>
      </c>
      <c r="S95" s="16">
        <f>IF(R95="","",INDEX(挂机升级突破!$AE$35:$AG$55,卡牌消耗!L95,INDEX(挂机升级突破!$X$35:$X$55,卡牌消耗!L95)))</f>
        <v>100</v>
      </c>
      <c r="T95" s="16" t="str">
        <f>IF(INDEX(挂机升级突破!$Y$35:$Y$55,卡牌消耗!L95)&gt;0,"灵玉","")</f>
        <v>灵玉</v>
      </c>
      <c r="U95" s="16">
        <f>IF(INDEX(挂机升级突破!$Y$35:$Y$55,卡牌消耗!L95)&gt;0,INDEX(挂机升级突破!$AH$35:$AH$55,卡牌消耗!L95),"")</f>
        <v>25</v>
      </c>
    </row>
    <row r="96" spans="9:21" ht="16.5" x14ac:dyDescent="0.2">
      <c r="I96" s="36">
        <v>60</v>
      </c>
      <c r="J96" s="16">
        <f t="shared" si="1"/>
        <v>1102003</v>
      </c>
      <c r="K96" s="16">
        <f t="shared" si="2"/>
        <v>3</v>
      </c>
      <c r="L96" s="16">
        <f t="shared" si="4"/>
        <v>18</v>
      </c>
      <c r="M96" s="16" t="str">
        <f t="shared" si="3"/>
        <v>黄</v>
      </c>
      <c r="N96" s="16" t="str">
        <f t="shared" si="5"/>
        <v>金币</v>
      </c>
      <c r="O96" s="16">
        <f>IF(L96&gt;1,INDEX(挂机升级突破!$AI$35:$AI$55,卡牌消耗!L96),"")</f>
        <v>107000</v>
      </c>
      <c r="P96" s="16" t="str">
        <f>IF(L96&gt;1,INDEX(价值概述!$A$4:$A$8,INDEX(挂机升级突破!$W$35:$W$55,卡牌消耗!L96)),"")</f>
        <v>红色基础材料</v>
      </c>
      <c r="Q96" s="16">
        <f>IF(L96&gt;1,INDEX(挂机升级突破!$Z$35:$AD$55,卡牌消耗!L96,INDEX(挂机升级突破!$W$35:$W$55,卡牌消耗!L96)),"")</f>
        <v>65</v>
      </c>
      <c r="R96" s="16" t="str">
        <f>IF(INDEX(挂机升级突破!$X$35:$X$55,卡牌消耗!L96)&gt;0,INDEX($G$2:$I$2,INDEX(挂机升级突破!$X$35:$X$55,卡牌消耗!L96))&amp;M96,"")</f>
        <v>高级黄</v>
      </c>
      <c r="S96" s="16">
        <f>IF(R96="","",INDEX(挂机升级突破!$AE$35:$AG$55,卡牌消耗!L96,INDEX(挂机升级突破!$X$35:$X$55,卡牌消耗!L96)))</f>
        <v>125</v>
      </c>
      <c r="T96" s="16" t="str">
        <f>IF(INDEX(挂机升级突破!$Y$35:$Y$55,卡牌消耗!L96)&gt;0,"灵玉","")</f>
        <v>灵玉</v>
      </c>
      <c r="U96" s="16">
        <f>IF(INDEX(挂机升级突破!$Y$35:$Y$55,卡牌消耗!L96)&gt;0,INDEX(挂机升级突破!$AH$35:$AH$55,卡牌消耗!L96),"")</f>
        <v>35</v>
      </c>
    </row>
    <row r="97" spans="9:21" ht="16.5" x14ac:dyDescent="0.2">
      <c r="I97" s="36">
        <v>61</v>
      </c>
      <c r="J97" s="16">
        <f t="shared" si="1"/>
        <v>1102003</v>
      </c>
      <c r="K97" s="16">
        <f t="shared" si="2"/>
        <v>3</v>
      </c>
      <c r="L97" s="16">
        <f t="shared" si="4"/>
        <v>19</v>
      </c>
      <c r="M97" s="16" t="str">
        <f t="shared" si="3"/>
        <v>黄</v>
      </c>
      <c r="N97" s="16" t="str">
        <f t="shared" si="5"/>
        <v>金币</v>
      </c>
      <c r="O97" s="16">
        <f>IF(L97&gt;1,INDEX(挂机升级突破!$AI$35:$AI$55,卡牌消耗!L97),"")</f>
        <v>142500</v>
      </c>
      <c r="P97" s="16" t="str">
        <f>IF(L97&gt;1,INDEX(价值概述!$A$4:$A$8,INDEX(挂机升级突破!$W$35:$W$55,卡牌消耗!L97)),"")</f>
        <v>红色基础材料</v>
      </c>
      <c r="Q97" s="16">
        <f>IF(L97&gt;1,INDEX(挂机升级突破!$Z$35:$AD$55,卡牌消耗!L97,INDEX(挂机升级突破!$W$35:$W$55,卡牌消耗!L97)),"")</f>
        <v>90</v>
      </c>
      <c r="R97" s="16" t="str">
        <f>IF(INDEX(挂机升级突破!$X$35:$X$55,卡牌消耗!L97)&gt;0,INDEX($G$2:$I$2,INDEX(挂机升级突破!$X$35:$X$55,卡牌消耗!L97))&amp;M97,"")</f>
        <v>高级黄</v>
      </c>
      <c r="S97" s="16">
        <f>IF(R97="","",INDEX(挂机升级突破!$AE$35:$AG$55,卡牌消耗!L97,INDEX(挂机升级突破!$X$35:$X$55,卡牌消耗!L97)))</f>
        <v>155</v>
      </c>
      <c r="T97" s="16" t="str">
        <f>IF(INDEX(挂机升级突破!$Y$35:$Y$55,卡牌消耗!L97)&gt;0,"灵玉","")</f>
        <v>灵玉</v>
      </c>
      <c r="U97" s="16">
        <f>IF(INDEX(挂机升级突破!$Y$35:$Y$55,卡牌消耗!L97)&gt;0,INDEX(挂机升级突破!$AH$35:$AH$55,卡牌消耗!L97),"")</f>
        <v>50</v>
      </c>
    </row>
    <row r="98" spans="9:21" ht="16.5" x14ac:dyDescent="0.2">
      <c r="I98" s="36">
        <v>62</v>
      </c>
      <c r="J98" s="16">
        <f t="shared" si="1"/>
        <v>1102003</v>
      </c>
      <c r="K98" s="16">
        <f t="shared" si="2"/>
        <v>3</v>
      </c>
      <c r="L98" s="16">
        <f t="shared" si="4"/>
        <v>20</v>
      </c>
      <c r="M98" s="16" t="str">
        <f t="shared" si="3"/>
        <v>黄</v>
      </c>
      <c r="N98" s="16" t="str">
        <f t="shared" si="5"/>
        <v>金币</v>
      </c>
      <c r="O98" s="16">
        <f>IF(L98&gt;1,INDEX(挂机升级突破!$AI$35:$AI$55,卡牌消耗!L98),"")</f>
        <v>178500</v>
      </c>
      <c r="P98" s="16" t="str">
        <f>IF(L98&gt;1,INDEX(价值概述!$A$4:$A$8,INDEX(挂机升级突破!$W$35:$W$55,卡牌消耗!L98)),"")</f>
        <v>红色基础材料</v>
      </c>
      <c r="Q98" s="16">
        <f>IF(L98&gt;1,INDEX(挂机升级突破!$Z$35:$AD$55,卡牌消耗!L98,INDEX(挂机升级突破!$W$35:$W$55,卡牌消耗!L98)),"")</f>
        <v>110</v>
      </c>
      <c r="R98" s="16" t="str">
        <f>IF(INDEX(挂机升级突破!$X$35:$X$55,卡牌消耗!L98)&gt;0,INDEX($G$2:$I$2,INDEX(挂机升级突破!$X$35:$X$55,卡牌消耗!L98))&amp;M98,"")</f>
        <v>高级黄</v>
      </c>
      <c r="S98" s="16">
        <f>IF(R98="","",INDEX(挂机升级突破!$AE$35:$AG$55,卡牌消耗!L98,INDEX(挂机升级突破!$X$35:$X$55,卡牌消耗!L98)))</f>
        <v>180</v>
      </c>
      <c r="T98" s="16" t="str">
        <f>IF(INDEX(挂机升级突破!$Y$35:$Y$55,卡牌消耗!L98)&gt;0,"灵玉","")</f>
        <v>灵玉</v>
      </c>
      <c r="U98" s="16">
        <f>IF(INDEX(挂机升级突破!$Y$35:$Y$55,卡牌消耗!L98)&gt;0,INDEX(挂机升级突破!$AH$35:$AH$55,卡牌消耗!L98),"")</f>
        <v>65</v>
      </c>
    </row>
    <row r="99" spans="9:21" ht="16.5" x14ac:dyDescent="0.2">
      <c r="I99" s="36">
        <v>63</v>
      </c>
      <c r="J99" s="16">
        <f t="shared" si="1"/>
        <v>1102003</v>
      </c>
      <c r="K99" s="16">
        <f t="shared" si="2"/>
        <v>3</v>
      </c>
      <c r="L99" s="16">
        <f t="shared" si="4"/>
        <v>21</v>
      </c>
      <c r="M99" s="16" t="str">
        <f t="shared" si="3"/>
        <v>黄</v>
      </c>
      <c r="N99" s="16" t="str">
        <f t="shared" si="5"/>
        <v>金币</v>
      </c>
      <c r="O99" s="16">
        <f>IF(L99&gt;1,INDEX(挂机升级突破!$AI$35:$AI$55,卡牌消耗!L99),"")</f>
        <v>214000</v>
      </c>
      <c r="P99" s="16" t="str">
        <f>IF(L99&gt;1,INDEX(价值概述!$A$4:$A$8,INDEX(挂机升级突破!$W$35:$W$55,卡牌消耗!L99)),"")</f>
        <v>红色基础材料</v>
      </c>
      <c r="Q99" s="16">
        <f>IF(L99&gt;1,INDEX(挂机升级突破!$Z$35:$AD$55,卡牌消耗!L99,INDEX(挂机升级突破!$W$35:$W$55,卡牌消耗!L99)),"")</f>
        <v>135</v>
      </c>
      <c r="R99" s="16" t="str">
        <f>IF(INDEX(挂机升级突破!$X$35:$X$55,卡牌消耗!L99)&gt;0,INDEX($G$2:$I$2,INDEX(挂机升级突破!$X$35:$X$55,卡牌消耗!L99))&amp;M99,"")</f>
        <v>高级黄</v>
      </c>
      <c r="S99" s="16">
        <f>IF(R99="","",INDEX(挂机升级突破!$AE$35:$AG$55,卡牌消耗!L99,INDEX(挂机升级突破!$X$35:$X$55,卡牌消耗!L99)))</f>
        <v>225</v>
      </c>
      <c r="T99" s="16" t="str">
        <f>IF(INDEX(挂机升级突破!$Y$35:$Y$55,卡牌消耗!L99)&gt;0,"灵玉","")</f>
        <v>灵玉</v>
      </c>
      <c r="U99" s="16">
        <f>IF(INDEX(挂机升级突破!$Y$35:$Y$55,卡牌消耗!L99)&gt;0,INDEX(挂机升级突破!$AH$35:$AH$55,卡牌消耗!L99),"")</f>
        <v>75</v>
      </c>
    </row>
    <row r="100" spans="9:21" ht="16.5" x14ac:dyDescent="0.2">
      <c r="I100" s="36">
        <v>64</v>
      </c>
      <c r="J100" s="16">
        <f t="shared" si="1"/>
        <v>1102004</v>
      </c>
      <c r="K100" s="16">
        <f t="shared" si="2"/>
        <v>2</v>
      </c>
      <c r="L100" s="16">
        <f t="shared" si="4"/>
        <v>1</v>
      </c>
      <c r="M100" s="16" t="str">
        <f t="shared" si="3"/>
        <v>黄</v>
      </c>
      <c r="N100" s="16" t="str">
        <f t="shared" si="5"/>
        <v/>
      </c>
      <c r="O100" s="16" t="str">
        <f>IF(L100&gt;1,INDEX(挂机升级突破!$AI$35:$AI$55,卡牌消耗!L100),"")</f>
        <v/>
      </c>
      <c r="P100" s="16" t="str">
        <f>IF(L100&gt;1,INDEX(价值概述!$A$4:$A$8,INDEX(挂机升级突破!$W$35:$W$55,卡牌消耗!L100)),"")</f>
        <v/>
      </c>
      <c r="Q100" s="16" t="str">
        <f>IF(L100&gt;1,INDEX(挂机升级突破!$Z$35:$AD$55,卡牌消耗!L100,INDEX(挂机升级突破!$W$35:$W$55,卡牌消耗!L100)),"")</f>
        <v/>
      </c>
      <c r="R100" s="16" t="str">
        <f>IF(INDEX(挂机升级突破!$X$35:$X$55,卡牌消耗!L100)&gt;0,INDEX($G$2:$I$2,INDEX(挂机升级突破!$X$35:$X$55,卡牌消耗!L100))&amp;M100,"")</f>
        <v/>
      </c>
      <c r="S100" s="16" t="str">
        <f>IF(R100="","",INDEX(挂机升级突破!$AE$35:$AG$55,卡牌消耗!L100,INDEX(挂机升级突破!$X$35:$X$55,卡牌消耗!L100)))</f>
        <v/>
      </c>
      <c r="T100" s="16" t="str">
        <f>IF(INDEX(挂机升级突破!$Y$35:$Y$55,卡牌消耗!L100)&gt;0,"灵玉","")</f>
        <v/>
      </c>
      <c r="U100" s="16" t="str">
        <f>IF(INDEX(挂机升级突破!$Y$35:$Y$55,卡牌消耗!L100)&gt;0,INDEX(挂机升级突破!$AH$35:$AH$55,卡牌消耗!L100),"")</f>
        <v/>
      </c>
    </row>
    <row r="101" spans="9:21" ht="16.5" x14ac:dyDescent="0.2">
      <c r="I101" s="36">
        <v>65</v>
      </c>
      <c r="J101" s="16">
        <f t="shared" ref="J101:J164" si="6">INDEX($A$13:$A$33,INT((I101-1)/21)+1)</f>
        <v>1102004</v>
      </c>
      <c r="K101" s="16">
        <f t="shared" ref="K101:K164" si="7">VLOOKUP(J101,$A$13:$D$33,3)</f>
        <v>2</v>
      </c>
      <c r="L101" s="16">
        <f t="shared" si="4"/>
        <v>2</v>
      </c>
      <c r="M101" s="16" t="str">
        <f t="shared" ref="M101:M164" si="8">INDEX($J$2:$L$2,INDEX($E$13:$E$33,INT((I101-1)/21)+1))</f>
        <v>黄</v>
      </c>
      <c r="N101" s="16" t="str">
        <f t="shared" si="5"/>
        <v>金币</v>
      </c>
      <c r="O101" s="16">
        <f>IF(L101&gt;1,INDEX(挂机升级突破!$AI$35:$AI$55,卡牌消耗!L101),"")</f>
        <v>2500</v>
      </c>
      <c r="P101" s="16" t="str">
        <f>IF(L101&gt;1,INDEX(价值概述!$A$4:$A$8,INDEX(挂机升级突破!$W$35:$W$55,卡牌消耗!L101)),"")</f>
        <v>绿色基础材料</v>
      </c>
      <c r="Q101" s="16">
        <f>IF(L101&gt;1,INDEX(挂机升级突破!$Z$35:$AD$55,卡牌消耗!L101,INDEX(挂机升级突破!$W$35:$W$55,卡牌消耗!L101)),"")</f>
        <v>40</v>
      </c>
      <c r="R101" s="16" t="str">
        <f>IF(INDEX(挂机升级突破!$X$35:$X$55,卡牌消耗!L101)&gt;0,INDEX($G$2:$I$2,INDEX(挂机升级突破!$X$35:$X$55,卡牌消耗!L101))&amp;M101,"")</f>
        <v/>
      </c>
      <c r="S101" s="16" t="str">
        <f>IF(R101="","",INDEX(挂机升级突破!$AE$35:$AG$55,卡牌消耗!L101,INDEX(挂机升级突破!$X$35:$X$55,卡牌消耗!L101)))</f>
        <v/>
      </c>
      <c r="T101" s="16" t="str">
        <f>IF(INDEX(挂机升级突破!$Y$35:$Y$55,卡牌消耗!L101)&gt;0,"灵玉","")</f>
        <v/>
      </c>
      <c r="U101" s="16" t="str">
        <f>IF(INDEX(挂机升级突破!$Y$35:$Y$55,卡牌消耗!L101)&gt;0,INDEX(挂机升级突破!$AH$35:$AH$55,卡牌消耗!L101),"")</f>
        <v/>
      </c>
    </row>
    <row r="102" spans="9:21" ht="16.5" x14ac:dyDescent="0.2">
      <c r="I102" s="36">
        <v>66</v>
      </c>
      <c r="J102" s="16">
        <f t="shared" si="6"/>
        <v>1102004</v>
      </c>
      <c r="K102" s="16">
        <f t="shared" si="7"/>
        <v>2</v>
      </c>
      <c r="L102" s="16">
        <f t="shared" ref="L102:L165" si="9">MOD((I102-1),21)+1</f>
        <v>3</v>
      </c>
      <c r="M102" s="16" t="str">
        <f t="shared" si="8"/>
        <v>黄</v>
      </c>
      <c r="N102" s="16" t="str">
        <f t="shared" ref="N102:N165" si="10">IF(L102&gt;1,"金币","")</f>
        <v>金币</v>
      </c>
      <c r="O102" s="16">
        <f>IF(L102&gt;1,INDEX(挂机升级突破!$AI$35:$AI$55,卡牌消耗!L102),"")</f>
        <v>8500</v>
      </c>
      <c r="P102" s="16" t="str">
        <f>IF(L102&gt;1,INDEX(价值概述!$A$4:$A$8,INDEX(挂机升级突破!$W$35:$W$55,卡牌消耗!L102)),"")</f>
        <v>绿色基础材料</v>
      </c>
      <c r="Q102" s="16">
        <f>IF(L102&gt;1,INDEX(挂机升级突破!$Z$35:$AD$55,卡牌消耗!L102,INDEX(挂机升级突破!$W$35:$W$55,卡牌消耗!L102)),"")</f>
        <v>120</v>
      </c>
      <c r="R102" s="16" t="str">
        <f>IF(INDEX(挂机升级突破!$X$35:$X$55,卡牌消耗!L102)&gt;0,INDEX($G$2:$I$2,INDEX(挂机升级突破!$X$35:$X$55,卡牌消耗!L102))&amp;M102,"")</f>
        <v/>
      </c>
      <c r="S102" s="16" t="str">
        <f>IF(R102="","",INDEX(挂机升级突破!$AE$35:$AG$55,卡牌消耗!L102,INDEX(挂机升级突破!$X$35:$X$55,卡牌消耗!L102)))</f>
        <v/>
      </c>
      <c r="T102" s="16" t="str">
        <f>IF(INDEX(挂机升级突破!$Y$35:$Y$55,卡牌消耗!L102)&gt;0,"灵玉","")</f>
        <v/>
      </c>
      <c r="U102" s="16" t="str">
        <f>IF(INDEX(挂机升级突破!$Y$35:$Y$55,卡牌消耗!L102)&gt;0,INDEX(挂机升级突破!$AH$35:$AH$55,卡牌消耗!L102),"")</f>
        <v/>
      </c>
    </row>
    <row r="103" spans="9:21" ht="16.5" x14ac:dyDescent="0.2">
      <c r="I103" s="36">
        <v>67</v>
      </c>
      <c r="J103" s="16">
        <f t="shared" si="6"/>
        <v>1102004</v>
      </c>
      <c r="K103" s="16">
        <f t="shared" si="7"/>
        <v>2</v>
      </c>
      <c r="L103" s="16">
        <f t="shared" si="9"/>
        <v>4</v>
      </c>
      <c r="M103" s="16" t="str">
        <f t="shared" si="8"/>
        <v>黄</v>
      </c>
      <c r="N103" s="16" t="str">
        <f t="shared" si="10"/>
        <v>金币</v>
      </c>
      <c r="O103" s="16">
        <f>IF(L103&gt;1,INDEX(挂机升级突破!$AI$35:$AI$55,卡牌消耗!L103),"")</f>
        <v>17000</v>
      </c>
      <c r="P103" s="16" t="str">
        <f>IF(L103&gt;1,INDEX(价值概述!$A$4:$A$8,INDEX(挂机升级突破!$W$35:$W$55,卡牌消耗!L103)),"")</f>
        <v>绿色基础材料</v>
      </c>
      <c r="Q103" s="16">
        <f>IF(L103&gt;1,INDEX(挂机升级突破!$Z$35:$AD$55,卡牌消耗!L103,INDEX(挂机升级突破!$W$35:$W$55,卡牌消耗!L103)),"")</f>
        <v>240</v>
      </c>
      <c r="R103" s="16" t="str">
        <f>IF(INDEX(挂机升级突破!$X$35:$X$55,卡牌消耗!L103)&gt;0,INDEX($G$2:$I$2,INDEX(挂机升级突破!$X$35:$X$55,卡牌消耗!L103))&amp;M103,"")</f>
        <v>初级黄</v>
      </c>
      <c r="S103" s="16">
        <f>IF(R103="","",INDEX(挂机升级突破!$AE$35:$AG$55,卡牌消耗!L103,INDEX(挂机升级突破!$X$35:$X$55,卡牌消耗!L103)))</f>
        <v>130</v>
      </c>
      <c r="T103" s="16" t="str">
        <f>IF(INDEX(挂机升级突破!$Y$35:$Y$55,卡牌消耗!L103)&gt;0,"灵玉","")</f>
        <v/>
      </c>
      <c r="U103" s="16" t="str">
        <f>IF(INDEX(挂机升级突破!$Y$35:$Y$55,卡牌消耗!L103)&gt;0,INDEX(挂机升级突破!$AH$35:$AH$55,卡牌消耗!L103),"")</f>
        <v/>
      </c>
    </row>
    <row r="104" spans="9:21" ht="16.5" x14ac:dyDescent="0.2">
      <c r="I104" s="36">
        <v>68</v>
      </c>
      <c r="J104" s="16">
        <f t="shared" si="6"/>
        <v>1102004</v>
      </c>
      <c r="K104" s="16">
        <f t="shared" si="7"/>
        <v>2</v>
      </c>
      <c r="L104" s="16">
        <f t="shared" si="9"/>
        <v>5</v>
      </c>
      <c r="M104" s="16" t="str">
        <f t="shared" si="8"/>
        <v>黄</v>
      </c>
      <c r="N104" s="16" t="str">
        <f t="shared" si="10"/>
        <v>金币</v>
      </c>
      <c r="O104" s="16">
        <f>IF(L104&gt;1,INDEX(挂机升级突破!$AI$35:$AI$55,卡牌消耗!L104),"")</f>
        <v>10500</v>
      </c>
      <c r="P104" s="16" t="str">
        <f>IF(L104&gt;1,INDEX(价值概述!$A$4:$A$8,INDEX(挂机升级突破!$W$35:$W$55,卡牌消耗!L104)),"")</f>
        <v>蓝色基础材料</v>
      </c>
      <c r="Q104" s="16">
        <f>IF(L104&gt;1,INDEX(挂机升级突破!$Z$35:$AD$55,卡牌消耗!L104,INDEX(挂机升级突破!$W$35:$W$55,卡牌消耗!L104)),"")</f>
        <v>85</v>
      </c>
      <c r="R104" s="16" t="str">
        <f>IF(INDEX(挂机升级突破!$X$35:$X$55,卡牌消耗!L104)&gt;0,INDEX($G$2:$I$2,INDEX(挂机升级突破!$X$35:$X$55,卡牌消耗!L104))&amp;M104,"")</f>
        <v>初级黄</v>
      </c>
      <c r="S104" s="16">
        <f>IF(R104="","",INDEX(挂机升级突破!$AE$35:$AG$55,卡牌消耗!L104,INDEX(挂机升级突破!$X$35:$X$55,卡牌消耗!L104)))</f>
        <v>160</v>
      </c>
      <c r="T104" s="16" t="str">
        <f>IF(INDEX(挂机升级突破!$Y$35:$Y$55,卡牌消耗!L104)&gt;0,"灵玉","")</f>
        <v/>
      </c>
      <c r="U104" s="16" t="str">
        <f>IF(INDEX(挂机升级突破!$Y$35:$Y$55,卡牌消耗!L104)&gt;0,INDEX(挂机升级突破!$AH$35:$AH$55,卡牌消耗!L104),"")</f>
        <v/>
      </c>
    </row>
    <row r="105" spans="9:21" ht="16.5" x14ac:dyDescent="0.2">
      <c r="I105" s="36">
        <v>69</v>
      </c>
      <c r="J105" s="16">
        <f t="shared" si="6"/>
        <v>1102004</v>
      </c>
      <c r="K105" s="16">
        <f t="shared" si="7"/>
        <v>2</v>
      </c>
      <c r="L105" s="16">
        <f t="shared" si="9"/>
        <v>6</v>
      </c>
      <c r="M105" s="16" t="str">
        <f t="shared" si="8"/>
        <v>黄</v>
      </c>
      <c r="N105" s="16" t="str">
        <f t="shared" si="10"/>
        <v>金币</v>
      </c>
      <c r="O105" s="16">
        <f>IF(L105&gt;1,INDEX(挂机升级突破!$AI$35:$AI$55,卡牌消耗!L105),"")</f>
        <v>25000</v>
      </c>
      <c r="P105" s="16" t="str">
        <f>IF(L105&gt;1,INDEX(价值概述!$A$4:$A$8,INDEX(挂机升级突破!$W$35:$W$55,卡牌消耗!L105)),"")</f>
        <v>蓝色基础材料</v>
      </c>
      <c r="Q105" s="16">
        <f>IF(L105&gt;1,INDEX(挂机升级突破!$Z$35:$AD$55,卡牌消耗!L105,INDEX(挂机升级突破!$W$35:$W$55,卡牌消耗!L105)),"")</f>
        <v>145</v>
      </c>
      <c r="R105" s="16" t="str">
        <f>IF(INDEX(挂机升级突破!$X$35:$X$55,卡牌消耗!L105)&gt;0,INDEX($G$2:$I$2,INDEX(挂机升级突破!$X$35:$X$55,卡牌消耗!L105))&amp;M105,"")</f>
        <v>初级黄</v>
      </c>
      <c r="S105" s="16">
        <f>IF(R105="","",INDEX(挂机升级突破!$AE$35:$AG$55,卡牌消耗!L105,INDEX(挂机升级突破!$X$35:$X$55,卡牌消耗!L105)))</f>
        <v>175</v>
      </c>
      <c r="T105" s="16" t="str">
        <f>IF(INDEX(挂机升级突破!$Y$35:$Y$55,卡牌消耗!L105)&gt;0,"灵玉","")</f>
        <v/>
      </c>
      <c r="U105" s="16" t="str">
        <f>IF(INDEX(挂机升级突破!$Y$35:$Y$55,卡牌消耗!L105)&gt;0,INDEX(挂机升级突破!$AH$35:$AH$55,卡牌消耗!L105),"")</f>
        <v/>
      </c>
    </row>
    <row r="106" spans="9:21" ht="16.5" x14ac:dyDescent="0.2">
      <c r="I106" s="36">
        <v>70</v>
      </c>
      <c r="J106" s="16">
        <f t="shared" si="6"/>
        <v>1102004</v>
      </c>
      <c r="K106" s="16">
        <f t="shared" si="7"/>
        <v>2</v>
      </c>
      <c r="L106" s="16">
        <f t="shared" si="9"/>
        <v>7</v>
      </c>
      <c r="M106" s="16" t="str">
        <f t="shared" si="8"/>
        <v>黄</v>
      </c>
      <c r="N106" s="16" t="str">
        <f t="shared" si="10"/>
        <v>金币</v>
      </c>
      <c r="O106" s="16">
        <f>IF(L106&gt;1,INDEX(挂机升级突破!$AI$35:$AI$55,卡牌消耗!L106),"")</f>
        <v>28000</v>
      </c>
      <c r="P106" s="16" t="str">
        <f>IF(L106&gt;1,INDEX(价值概述!$A$4:$A$8,INDEX(挂机升级突破!$W$35:$W$55,卡牌消耗!L106)),"")</f>
        <v>蓝色基础材料</v>
      </c>
      <c r="Q106" s="16">
        <f>IF(L106&gt;1,INDEX(挂机升级突破!$Z$35:$AD$55,卡牌消耗!L106,INDEX(挂机升级突破!$W$35:$W$55,卡牌消耗!L106)),"")</f>
        <v>185</v>
      </c>
      <c r="R106" s="16" t="str">
        <f>IF(INDEX(挂机升级突破!$X$35:$X$55,卡牌消耗!L106)&gt;0,INDEX($G$2:$I$2,INDEX(挂机升级突破!$X$35:$X$55,卡牌消耗!L106))&amp;M106,"")</f>
        <v>初级黄</v>
      </c>
      <c r="S106" s="16">
        <f>IF(R106="","",INDEX(挂机升级突破!$AE$35:$AG$55,卡牌消耗!L106,INDEX(挂机升级突破!$X$35:$X$55,卡牌消耗!L106)))</f>
        <v>190</v>
      </c>
      <c r="T106" s="16" t="str">
        <f>IF(INDEX(挂机升级突破!$Y$35:$Y$55,卡牌消耗!L106)&gt;0,"灵玉","")</f>
        <v/>
      </c>
      <c r="U106" s="16" t="str">
        <f>IF(INDEX(挂机升级突破!$Y$35:$Y$55,卡牌消耗!L106)&gt;0,INDEX(挂机升级突破!$AH$35:$AH$55,卡牌消耗!L106),"")</f>
        <v/>
      </c>
    </row>
    <row r="107" spans="9:21" ht="16.5" x14ac:dyDescent="0.2">
      <c r="I107" s="36">
        <v>71</v>
      </c>
      <c r="J107" s="16">
        <f t="shared" si="6"/>
        <v>1102004</v>
      </c>
      <c r="K107" s="16">
        <f t="shared" si="7"/>
        <v>2</v>
      </c>
      <c r="L107" s="16">
        <f t="shared" si="9"/>
        <v>8</v>
      </c>
      <c r="M107" s="16" t="str">
        <f t="shared" si="8"/>
        <v>黄</v>
      </c>
      <c r="N107" s="16" t="str">
        <f t="shared" si="10"/>
        <v>金币</v>
      </c>
      <c r="O107" s="16">
        <f>IF(L107&gt;1,INDEX(挂机升级突破!$AI$35:$AI$55,卡牌消耗!L107),"")</f>
        <v>31000</v>
      </c>
      <c r="P107" s="16" t="str">
        <f>IF(L107&gt;1,INDEX(价值概述!$A$4:$A$8,INDEX(挂机升级突破!$W$35:$W$55,卡牌消耗!L107)),"")</f>
        <v>蓝色基础材料</v>
      </c>
      <c r="Q107" s="16">
        <f>IF(L107&gt;1,INDEX(挂机升级突破!$Z$35:$AD$55,卡牌消耗!L107,INDEX(挂机升级突破!$W$35:$W$55,卡牌消耗!L107)),"")</f>
        <v>220</v>
      </c>
      <c r="R107" s="16" t="str">
        <f>IF(INDEX(挂机升级突破!$X$35:$X$55,卡牌消耗!L107)&gt;0,INDEX($G$2:$I$2,INDEX(挂机升级突破!$X$35:$X$55,卡牌消耗!L107))&amp;M107,"")</f>
        <v>初级黄</v>
      </c>
      <c r="S107" s="16">
        <f>IF(R107="","",INDEX(挂机升级突破!$AE$35:$AG$55,卡牌消耗!L107,INDEX(挂机升级突破!$X$35:$X$55,卡牌消耗!L107)))</f>
        <v>200</v>
      </c>
      <c r="T107" s="16" t="str">
        <f>IF(INDEX(挂机升级突破!$Y$35:$Y$55,卡牌消耗!L107)&gt;0,"灵玉","")</f>
        <v/>
      </c>
      <c r="U107" s="16" t="str">
        <f>IF(INDEX(挂机升级突破!$Y$35:$Y$55,卡牌消耗!L107)&gt;0,INDEX(挂机升级突破!$AH$35:$AH$55,卡牌消耗!L107),"")</f>
        <v/>
      </c>
    </row>
    <row r="108" spans="9:21" ht="16.5" x14ac:dyDescent="0.2">
      <c r="I108" s="36">
        <v>72</v>
      </c>
      <c r="J108" s="16">
        <f t="shared" si="6"/>
        <v>1102004</v>
      </c>
      <c r="K108" s="16">
        <f t="shared" si="7"/>
        <v>2</v>
      </c>
      <c r="L108" s="16">
        <f t="shared" si="9"/>
        <v>9</v>
      </c>
      <c r="M108" s="16" t="str">
        <f t="shared" si="8"/>
        <v>黄</v>
      </c>
      <c r="N108" s="16" t="str">
        <f t="shared" si="10"/>
        <v>金币</v>
      </c>
      <c r="O108" s="16">
        <f>IF(L108&gt;1,INDEX(挂机升级突破!$AI$35:$AI$55,卡牌消耗!L108),"")</f>
        <v>24000</v>
      </c>
      <c r="P108" s="16" t="str">
        <f>IF(L108&gt;1,INDEX(价值概述!$A$4:$A$8,INDEX(挂机升级突破!$W$35:$W$55,卡牌消耗!L108)),"")</f>
        <v>紫色基础材料</v>
      </c>
      <c r="Q108" s="16">
        <f>IF(L108&gt;1,INDEX(挂机升级突破!$Z$35:$AD$55,卡牌消耗!L108,INDEX(挂机升级突破!$W$35:$W$55,卡牌消耗!L108)),"")</f>
        <v>95</v>
      </c>
      <c r="R108" s="16" t="str">
        <f>IF(INDEX(挂机升级突破!$X$35:$X$55,卡牌消耗!L108)&gt;0,INDEX($G$2:$I$2,INDEX(挂机升级突破!$X$35:$X$55,卡牌消耗!L108))&amp;M108,"")</f>
        <v>中级黄</v>
      </c>
      <c r="S108" s="16">
        <f>IF(R108="","",INDEX(挂机升级突破!$AE$35:$AG$55,卡牌消耗!L108,INDEX(挂机升级突破!$X$35:$X$55,卡牌消耗!L108)))</f>
        <v>80</v>
      </c>
      <c r="T108" s="16" t="str">
        <f>IF(INDEX(挂机升级突破!$Y$35:$Y$55,卡牌消耗!L108)&gt;0,"灵玉","")</f>
        <v/>
      </c>
      <c r="U108" s="16" t="str">
        <f>IF(INDEX(挂机升级突破!$Y$35:$Y$55,卡牌消耗!L108)&gt;0,INDEX(挂机升级突破!$AH$35:$AH$55,卡牌消耗!L108),"")</f>
        <v/>
      </c>
    </row>
    <row r="109" spans="9:21" ht="16.5" x14ac:dyDescent="0.2">
      <c r="I109" s="36">
        <v>73</v>
      </c>
      <c r="J109" s="16">
        <f t="shared" si="6"/>
        <v>1102004</v>
      </c>
      <c r="K109" s="16">
        <f t="shared" si="7"/>
        <v>2</v>
      </c>
      <c r="L109" s="16">
        <f t="shared" si="9"/>
        <v>10</v>
      </c>
      <c r="M109" s="16" t="str">
        <f t="shared" si="8"/>
        <v>黄</v>
      </c>
      <c r="N109" s="16" t="str">
        <f t="shared" si="10"/>
        <v>金币</v>
      </c>
      <c r="O109" s="16">
        <f>IF(L109&gt;1,INDEX(挂机升级突破!$AI$35:$AI$55,卡牌消耗!L109),"")</f>
        <v>26500</v>
      </c>
      <c r="P109" s="16" t="str">
        <f>IF(L109&gt;1,INDEX(价值概述!$A$4:$A$8,INDEX(挂机升级突破!$W$35:$W$55,卡牌消耗!L109)),"")</f>
        <v>紫色基础材料</v>
      </c>
      <c r="Q109" s="16">
        <f>IF(L109&gt;1,INDEX(挂机升级突破!$Z$35:$AD$55,卡牌消耗!L109,INDEX(挂机升级突破!$W$35:$W$55,卡牌消耗!L109)),"")</f>
        <v>175</v>
      </c>
      <c r="R109" s="16" t="str">
        <f>IF(INDEX(挂机升级突破!$X$35:$X$55,卡牌消耗!L109)&gt;0,INDEX($G$2:$I$2,INDEX(挂机升级突破!$X$35:$X$55,卡牌消耗!L109))&amp;M109,"")</f>
        <v>中级黄</v>
      </c>
      <c r="S109" s="16">
        <f>IF(R109="","",INDEX(挂机升级突破!$AE$35:$AG$55,卡牌消耗!L109,INDEX(挂机升级突破!$X$35:$X$55,卡牌消耗!L109)))</f>
        <v>120</v>
      </c>
      <c r="T109" s="16" t="str">
        <f>IF(INDEX(挂机升级突破!$Y$35:$Y$55,卡牌消耗!L109)&gt;0,"灵玉","")</f>
        <v/>
      </c>
      <c r="U109" s="16" t="str">
        <f>IF(INDEX(挂机升级突破!$Y$35:$Y$55,卡牌消耗!L109)&gt;0,INDEX(挂机升级突破!$AH$35:$AH$55,卡牌消耗!L109),"")</f>
        <v/>
      </c>
    </row>
    <row r="110" spans="9:21" ht="16.5" x14ac:dyDescent="0.2">
      <c r="I110" s="36">
        <v>74</v>
      </c>
      <c r="J110" s="16">
        <f t="shared" si="6"/>
        <v>1102004</v>
      </c>
      <c r="K110" s="16">
        <f t="shared" si="7"/>
        <v>2</v>
      </c>
      <c r="L110" s="16">
        <f t="shared" si="9"/>
        <v>11</v>
      </c>
      <c r="M110" s="16" t="str">
        <f t="shared" si="8"/>
        <v>黄</v>
      </c>
      <c r="N110" s="16" t="str">
        <f t="shared" si="10"/>
        <v>金币</v>
      </c>
      <c r="O110" s="16">
        <f>IF(L110&gt;1,INDEX(挂机升级突破!$AI$35:$AI$55,卡牌消耗!L110),"")</f>
        <v>28500</v>
      </c>
      <c r="P110" s="16" t="str">
        <f>IF(L110&gt;1,INDEX(价值概述!$A$4:$A$8,INDEX(挂机升级突破!$W$35:$W$55,卡牌消耗!L110)),"")</f>
        <v>紫色基础材料</v>
      </c>
      <c r="Q110" s="16">
        <f>IF(L110&gt;1,INDEX(挂机升级突破!$Z$35:$AD$55,卡牌消耗!L110,INDEX(挂机升级突破!$W$35:$W$55,卡牌消耗!L110)),"")</f>
        <v>245</v>
      </c>
      <c r="R110" s="16" t="str">
        <f>IF(INDEX(挂机升级突破!$X$35:$X$55,卡牌消耗!L110)&gt;0,INDEX($G$2:$I$2,INDEX(挂机升级突破!$X$35:$X$55,卡牌消耗!L110))&amp;M110,"")</f>
        <v>中级黄</v>
      </c>
      <c r="S110" s="16">
        <f>IF(R110="","",INDEX(挂机升级突破!$AE$35:$AG$55,卡牌消耗!L110,INDEX(挂机升级突破!$X$35:$X$55,卡牌消耗!L110)))</f>
        <v>170</v>
      </c>
      <c r="T110" s="16" t="str">
        <f>IF(INDEX(挂机升级突破!$Y$35:$Y$55,卡牌消耗!L110)&gt;0,"灵玉","")</f>
        <v/>
      </c>
      <c r="U110" s="16" t="str">
        <f>IF(INDEX(挂机升级突破!$Y$35:$Y$55,卡牌消耗!L110)&gt;0,INDEX(挂机升级突破!$AH$35:$AH$55,卡牌消耗!L110),"")</f>
        <v/>
      </c>
    </row>
    <row r="111" spans="9:21" ht="16.5" x14ac:dyDescent="0.2">
      <c r="I111" s="36">
        <v>75</v>
      </c>
      <c r="J111" s="16">
        <f t="shared" si="6"/>
        <v>1102004</v>
      </c>
      <c r="K111" s="16">
        <f t="shared" si="7"/>
        <v>2</v>
      </c>
      <c r="L111" s="16">
        <f t="shared" si="9"/>
        <v>12</v>
      </c>
      <c r="M111" s="16" t="str">
        <f t="shared" si="8"/>
        <v>黄</v>
      </c>
      <c r="N111" s="16" t="str">
        <f t="shared" si="10"/>
        <v>金币</v>
      </c>
      <c r="O111" s="16">
        <f>IF(L111&gt;1,INDEX(挂机升级突破!$AI$35:$AI$55,卡牌消耗!L111),"")</f>
        <v>30500</v>
      </c>
      <c r="P111" s="16" t="str">
        <f>IF(L111&gt;1,INDEX(价值概述!$A$4:$A$8,INDEX(挂机升级突破!$W$35:$W$55,卡牌消耗!L111)),"")</f>
        <v>紫色基础材料</v>
      </c>
      <c r="Q111" s="16">
        <f>IF(L111&gt;1,INDEX(挂机升级突破!$Z$35:$AD$55,卡牌消耗!L111,INDEX(挂机升级突破!$W$35:$W$55,卡牌消耗!L111)),"")</f>
        <v>305</v>
      </c>
      <c r="R111" s="16" t="str">
        <f>IF(INDEX(挂机升级突破!$X$35:$X$55,卡牌消耗!L111)&gt;0,INDEX($G$2:$I$2,INDEX(挂机升级突破!$X$35:$X$55,卡牌消耗!L111))&amp;M111,"")</f>
        <v>中级黄</v>
      </c>
      <c r="S111" s="16">
        <f>IF(R111="","",INDEX(挂机升级突破!$AE$35:$AG$55,卡牌消耗!L111,INDEX(挂机升级突破!$X$35:$X$55,卡牌消耗!L111)))</f>
        <v>200</v>
      </c>
      <c r="T111" s="16" t="str">
        <f>IF(INDEX(挂机升级突破!$Y$35:$Y$55,卡牌消耗!L111)&gt;0,"灵玉","")</f>
        <v/>
      </c>
      <c r="U111" s="16" t="str">
        <f>IF(INDEX(挂机升级突破!$Y$35:$Y$55,卡牌消耗!L111)&gt;0,INDEX(挂机升级突破!$AH$35:$AH$55,卡牌消耗!L111),"")</f>
        <v/>
      </c>
    </row>
    <row r="112" spans="9:21" ht="16.5" x14ac:dyDescent="0.2">
      <c r="I112" s="36">
        <v>76</v>
      </c>
      <c r="J112" s="16">
        <f t="shared" si="6"/>
        <v>1102004</v>
      </c>
      <c r="K112" s="16">
        <f t="shared" si="7"/>
        <v>2</v>
      </c>
      <c r="L112" s="16">
        <f t="shared" si="9"/>
        <v>13</v>
      </c>
      <c r="M112" s="16" t="str">
        <f t="shared" si="8"/>
        <v>黄</v>
      </c>
      <c r="N112" s="16" t="str">
        <f t="shared" si="10"/>
        <v>金币</v>
      </c>
      <c r="O112" s="16">
        <f>IF(L112&gt;1,INDEX(挂机升级突破!$AI$35:$AI$55,卡牌消耗!L112),"")</f>
        <v>38500</v>
      </c>
      <c r="P112" s="16" t="str">
        <f>IF(L112&gt;1,INDEX(价值概述!$A$4:$A$8,INDEX(挂机升级突破!$W$35:$W$55,卡牌消耗!L112)),"")</f>
        <v>橙色基础材料</v>
      </c>
      <c r="Q112" s="16">
        <f>IF(L112&gt;1,INDEX(挂机升级突破!$Z$35:$AD$55,卡牌消耗!L112,INDEX(挂机升级突破!$W$35:$W$55,卡牌消耗!L112)),"")</f>
        <v>115</v>
      </c>
      <c r="R112" s="16" t="str">
        <f>IF(INDEX(挂机升级突破!$X$35:$X$55,卡牌消耗!L112)&gt;0,INDEX($G$2:$I$2,INDEX(挂机升级突破!$X$35:$X$55,卡牌消耗!L112))&amp;M112,"")</f>
        <v>中级黄</v>
      </c>
      <c r="S112" s="16">
        <f>IF(R112="","",INDEX(挂机升级突破!$AE$35:$AG$55,卡牌消耗!L112,INDEX(挂机升级突破!$X$35:$X$55,卡牌消耗!L112)))</f>
        <v>225</v>
      </c>
      <c r="T112" s="16" t="str">
        <f>IF(INDEX(挂机升级突破!$Y$35:$Y$55,卡牌消耗!L112)&gt;0,"灵玉","")</f>
        <v/>
      </c>
      <c r="U112" s="16" t="str">
        <f>IF(INDEX(挂机升级突破!$Y$35:$Y$55,卡牌消耗!L112)&gt;0,INDEX(挂机升级突破!$AH$35:$AH$55,卡牌消耗!L112),"")</f>
        <v/>
      </c>
    </row>
    <row r="113" spans="9:21" ht="16.5" x14ac:dyDescent="0.2">
      <c r="I113" s="36">
        <v>77</v>
      </c>
      <c r="J113" s="16">
        <f t="shared" si="6"/>
        <v>1102004</v>
      </c>
      <c r="K113" s="16">
        <f t="shared" si="7"/>
        <v>2</v>
      </c>
      <c r="L113" s="16">
        <f t="shared" si="9"/>
        <v>14</v>
      </c>
      <c r="M113" s="16" t="str">
        <f t="shared" si="8"/>
        <v>黄</v>
      </c>
      <c r="N113" s="16" t="str">
        <f t="shared" si="10"/>
        <v>金币</v>
      </c>
      <c r="O113" s="16">
        <f>IF(L113&gt;1,INDEX(挂机升级突破!$AI$35:$AI$55,卡牌消耗!L113),"")</f>
        <v>51000</v>
      </c>
      <c r="P113" s="16" t="str">
        <f>IF(L113&gt;1,INDEX(价值概述!$A$4:$A$8,INDEX(挂机升级突破!$W$35:$W$55,卡牌消耗!L113)),"")</f>
        <v>橙色基础材料</v>
      </c>
      <c r="Q113" s="16">
        <f>IF(L113&gt;1,INDEX(挂机升级突破!$Z$35:$AD$55,卡牌消耗!L113,INDEX(挂机升级突破!$W$35:$W$55,卡牌消耗!L113)),"")</f>
        <v>235</v>
      </c>
      <c r="R113" s="16" t="str">
        <f>IF(INDEX(挂机升级突破!$X$35:$X$55,卡牌消耗!L113)&gt;0,INDEX($G$2:$I$2,INDEX(挂机升级突破!$X$35:$X$55,卡牌消耗!L113))&amp;M113,"")</f>
        <v>中级黄</v>
      </c>
      <c r="S113" s="16">
        <f>IF(R113="","",INDEX(挂机升级突破!$AE$35:$AG$55,卡牌消耗!L113,INDEX(挂机升级突破!$X$35:$X$55,卡牌消耗!L113)))</f>
        <v>265</v>
      </c>
      <c r="T113" s="16" t="str">
        <f>IF(INDEX(挂机升级突破!$Y$35:$Y$55,卡牌消耗!L113)&gt;0,"灵玉","")</f>
        <v/>
      </c>
      <c r="U113" s="16" t="str">
        <f>IF(INDEX(挂机升级突破!$Y$35:$Y$55,卡牌消耗!L113)&gt;0,INDEX(挂机升级突破!$AH$35:$AH$55,卡牌消耗!L113),"")</f>
        <v/>
      </c>
    </row>
    <row r="114" spans="9:21" ht="16.5" x14ac:dyDescent="0.2">
      <c r="I114" s="36">
        <v>78</v>
      </c>
      <c r="J114" s="16">
        <f t="shared" si="6"/>
        <v>1102004</v>
      </c>
      <c r="K114" s="16">
        <f t="shared" si="7"/>
        <v>2</v>
      </c>
      <c r="L114" s="16">
        <f t="shared" si="9"/>
        <v>15</v>
      </c>
      <c r="M114" s="16" t="str">
        <f t="shared" si="8"/>
        <v>黄</v>
      </c>
      <c r="N114" s="16" t="str">
        <f t="shared" si="10"/>
        <v>金币</v>
      </c>
      <c r="O114" s="16">
        <f>IF(L114&gt;1,INDEX(挂机升级突破!$AI$35:$AI$55,卡牌消耗!L114),"")</f>
        <v>60000</v>
      </c>
      <c r="P114" s="16" t="str">
        <f>IF(L114&gt;1,INDEX(价值概述!$A$4:$A$8,INDEX(挂机升级突破!$W$35:$W$55,卡牌消耗!L114)),"")</f>
        <v>橙色基础材料</v>
      </c>
      <c r="Q114" s="16">
        <f>IF(L114&gt;1,INDEX(挂机升级突破!$Z$35:$AD$55,卡牌消耗!L114,INDEX(挂机升级突破!$W$35:$W$55,卡牌消耗!L114)),"")</f>
        <v>355</v>
      </c>
      <c r="R114" s="16" t="str">
        <f>IF(INDEX(挂机升级突破!$X$35:$X$55,卡牌消耗!L114)&gt;0,INDEX($G$2:$I$2,INDEX(挂机升级突破!$X$35:$X$55,卡牌消耗!L114))&amp;M114,"")</f>
        <v>高级黄</v>
      </c>
      <c r="S114" s="16">
        <f>IF(R114="","",INDEX(挂机升级突破!$AE$35:$AG$55,卡牌消耗!L114,INDEX(挂机升级突破!$X$35:$X$55,卡牌消耗!L114)))</f>
        <v>45</v>
      </c>
      <c r="T114" s="16" t="str">
        <f>IF(INDEX(挂机升级突破!$Y$35:$Y$55,卡牌消耗!L114)&gt;0,"灵玉","")</f>
        <v/>
      </c>
      <c r="U114" s="16" t="str">
        <f>IF(INDEX(挂机升级突破!$Y$35:$Y$55,卡牌消耗!L114)&gt;0,INDEX(挂机升级突破!$AH$35:$AH$55,卡牌消耗!L114),"")</f>
        <v/>
      </c>
    </row>
    <row r="115" spans="9:21" ht="16.5" x14ac:dyDescent="0.2">
      <c r="I115" s="36">
        <v>79</v>
      </c>
      <c r="J115" s="16">
        <f t="shared" si="6"/>
        <v>1102004</v>
      </c>
      <c r="K115" s="16">
        <f t="shared" si="7"/>
        <v>2</v>
      </c>
      <c r="L115" s="16">
        <f t="shared" si="9"/>
        <v>16</v>
      </c>
      <c r="M115" s="16" t="str">
        <f t="shared" si="8"/>
        <v>黄</v>
      </c>
      <c r="N115" s="16" t="str">
        <f t="shared" si="10"/>
        <v>金币</v>
      </c>
      <c r="O115" s="16">
        <f>IF(L115&gt;1,INDEX(挂机升级突破!$AI$35:$AI$55,卡牌消耗!L115),"")</f>
        <v>69000</v>
      </c>
      <c r="P115" s="16" t="str">
        <f>IF(L115&gt;1,INDEX(价值概述!$A$4:$A$8,INDEX(挂机升级突破!$W$35:$W$55,卡牌消耗!L115)),"")</f>
        <v>橙色基础材料</v>
      </c>
      <c r="Q115" s="16">
        <f>IF(L115&gt;1,INDEX(挂机升级突破!$Z$35:$AD$55,卡牌消耗!L115,INDEX(挂机升级突破!$W$35:$W$55,卡牌消耗!L115)),"")</f>
        <v>475</v>
      </c>
      <c r="R115" s="16" t="str">
        <f>IF(INDEX(挂机升级突破!$X$35:$X$55,卡牌消耗!L115)&gt;0,INDEX($G$2:$I$2,INDEX(挂机升级突破!$X$35:$X$55,卡牌消耗!L115))&amp;M115,"")</f>
        <v>高级黄</v>
      </c>
      <c r="S115" s="16">
        <f>IF(R115="","",INDEX(挂机升级突破!$AE$35:$AG$55,卡牌消耗!L115,INDEX(挂机升级突破!$X$35:$X$55,卡牌消耗!L115)))</f>
        <v>70</v>
      </c>
      <c r="T115" s="16" t="str">
        <f>IF(INDEX(挂机升级突破!$Y$35:$Y$55,卡牌消耗!L115)&gt;0,"灵玉","")</f>
        <v/>
      </c>
      <c r="U115" s="16" t="str">
        <f>IF(INDEX(挂机升级突破!$Y$35:$Y$55,卡牌消耗!L115)&gt;0,INDEX(挂机升级突破!$AH$35:$AH$55,卡牌消耗!L115),"")</f>
        <v/>
      </c>
    </row>
    <row r="116" spans="9:21" ht="16.5" x14ac:dyDescent="0.2">
      <c r="I116" s="36">
        <v>80</v>
      </c>
      <c r="J116" s="16">
        <f t="shared" si="6"/>
        <v>1102004</v>
      </c>
      <c r="K116" s="16">
        <f t="shared" si="7"/>
        <v>2</v>
      </c>
      <c r="L116" s="16">
        <f t="shared" si="9"/>
        <v>17</v>
      </c>
      <c r="M116" s="16" t="str">
        <f t="shared" si="8"/>
        <v>黄</v>
      </c>
      <c r="N116" s="16" t="str">
        <f t="shared" si="10"/>
        <v>金币</v>
      </c>
      <c r="O116" s="16">
        <f>IF(L116&gt;1,INDEX(挂机升级突破!$AI$35:$AI$55,卡牌消耗!L116),"")</f>
        <v>76500</v>
      </c>
      <c r="P116" s="16" t="str">
        <f>IF(L116&gt;1,INDEX(价值概述!$A$4:$A$8,INDEX(挂机升级突破!$W$35:$W$55,卡牌消耗!L116)),"")</f>
        <v>红色基础材料</v>
      </c>
      <c r="Q116" s="16">
        <f>IF(L116&gt;1,INDEX(挂机升级突破!$Z$35:$AD$55,卡牌消耗!L116,INDEX(挂机升级突破!$W$35:$W$55,卡牌消耗!L116)),"")</f>
        <v>45</v>
      </c>
      <c r="R116" s="16" t="str">
        <f>IF(INDEX(挂机升级突破!$X$35:$X$55,卡牌消耗!L116)&gt;0,INDEX($G$2:$I$2,INDEX(挂机升级突破!$X$35:$X$55,卡牌消耗!L116))&amp;M116,"")</f>
        <v>高级黄</v>
      </c>
      <c r="S116" s="16">
        <f>IF(R116="","",INDEX(挂机升级突破!$AE$35:$AG$55,卡牌消耗!L116,INDEX(挂机升级突破!$X$35:$X$55,卡牌消耗!L116)))</f>
        <v>100</v>
      </c>
      <c r="T116" s="16" t="str">
        <f>IF(INDEX(挂机升级突破!$Y$35:$Y$55,卡牌消耗!L116)&gt;0,"灵玉","")</f>
        <v>灵玉</v>
      </c>
      <c r="U116" s="16">
        <f>IF(INDEX(挂机升级突破!$Y$35:$Y$55,卡牌消耗!L116)&gt;0,INDEX(挂机升级突破!$AH$35:$AH$55,卡牌消耗!L116),"")</f>
        <v>25</v>
      </c>
    </row>
    <row r="117" spans="9:21" ht="16.5" x14ac:dyDescent="0.2">
      <c r="I117" s="36">
        <v>81</v>
      </c>
      <c r="J117" s="16">
        <f t="shared" si="6"/>
        <v>1102004</v>
      </c>
      <c r="K117" s="16">
        <f t="shared" si="7"/>
        <v>2</v>
      </c>
      <c r="L117" s="16">
        <f t="shared" si="9"/>
        <v>18</v>
      </c>
      <c r="M117" s="16" t="str">
        <f t="shared" si="8"/>
        <v>黄</v>
      </c>
      <c r="N117" s="16" t="str">
        <f t="shared" si="10"/>
        <v>金币</v>
      </c>
      <c r="O117" s="16">
        <f>IF(L117&gt;1,INDEX(挂机升级突破!$AI$35:$AI$55,卡牌消耗!L117),"")</f>
        <v>107000</v>
      </c>
      <c r="P117" s="16" t="str">
        <f>IF(L117&gt;1,INDEX(价值概述!$A$4:$A$8,INDEX(挂机升级突破!$W$35:$W$55,卡牌消耗!L117)),"")</f>
        <v>红色基础材料</v>
      </c>
      <c r="Q117" s="16">
        <f>IF(L117&gt;1,INDEX(挂机升级突破!$Z$35:$AD$55,卡牌消耗!L117,INDEX(挂机升级突破!$W$35:$W$55,卡牌消耗!L117)),"")</f>
        <v>65</v>
      </c>
      <c r="R117" s="16" t="str">
        <f>IF(INDEX(挂机升级突破!$X$35:$X$55,卡牌消耗!L117)&gt;0,INDEX($G$2:$I$2,INDEX(挂机升级突破!$X$35:$X$55,卡牌消耗!L117))&amp;M117,"")</f>
        <v>高级黄</v>
      </c>
      <c r="S117" s="16">
        <f>IF(R117="","",INDEX(挂机升级突破!$AE$35:$AG$55,卡牌消耗!L117,INDEX(挂机升级突破!$X$35:$X$55,卡牌消耗!L117)))</f>
        <v>125</v>
      </c>
      <c r="T117" s="16" t="str">
        <f>IF(INDEX(挂机升级突破!$Y$35:$Y$55,卡牌消耗!L117)&gt;0,"灵玉","")</f>
        <v>灵玉</v>
      </c>
      <c r="U117" s="16">
        <f>IF(INDEX(挂机升级突破!$Y$35:$Y$55,卡牌消耗!L117)&gt;0,INDEX(挂机升级突破!$AH$35:$AH$55,卡牌消耗!L117),"")</f>
        <v>35</v>
      </c>
    </row>
    <row r="118" spans="9:21" ht="16.5" x14ac:dyDescent="0.2">
      <c r="I118" s="36">
        <v>82</v>
      </c>
      <c r="J118" s="16">
        <f t="shared" si="6"/>
        <v>1102004</v>
      </c>
      <c r="K118" s="16">
        <f t="shared" si="7"/>
        <v>2</v>
      </c>
      <c r="L118" s="16">
        <f t="shared" si="9"/>
        <v>19</v>
      </c>
      <c r="M118" s="16" t="str">
        <f t="shared" si="8"/>
        <v>黄</v>
      </c>
      <c r="N118" s="16" t="str">
        <f t="shared" si="10"/>
        <v>金币</v>
      </c>
      <c r="O118" s="16">
        <f>IF(L118&gt;1,INDEX(挂机升级突破!$AI$35:$AI$55,卡牌消耗!L118),"")</f>
        <v>142500</v>
      </c>
      <c r="P118" s="16" t="str">
        <f>IF(L118&gt;1,INDEX(价值概述!$A$4:$A$8,INDEX(挂机升级突破!$W$35:$W$55,卡牌消耗!L118)),"")</f>
        <v>红色基础材料</v>
      </c>
      <c r="Q118" s="16">
        <f>IF(L118&gt;1,INDEX(挂机升级突破!$Z$35:$AD$55,卡牌消耗!L118,INDEX(挂机升级突破!$W$35:$W$55,卡牌消耗!L118)),"")</f>
        <v>90</v>
      </c>
      <c r="R118" s="16" t="str">
        <f>IF(INDEX(挂机升级突破!$X$35:$X$55,卡牌消耗!L118)&gt;0,INDEX($G$2:$I$2,INDEX(挂机升级突破!$X$35:$X$55,卡牌消耗!L118))&amp;M118,"")</f>
        <v>高级黄</v>
      </c>
      <c r="S118" s="16">
        <f>IF(R118="","",INDEX(挂机升级突破!$AE$35:$AG$55,卡牌消耗!L118,INDEX(挂机升级突破!$X$35:$X$55,卡牌消耗!L118)))</f>
        <v>155</v>
      </c>
      <c r="T118" s="16" t="str">
        <f>IF(INDEX(挂机升级突破!$Y$35:$Y$55,卡牌消耗!L118)&gt;0,"灵玉","")</f>
        <v>灵玉</v>
      </c>
      <c r="U118" s="16">
        <f>IF(INDEX(挂机升级突破!$Y$35:$Y$55,卡牌消耗!L118)&gt;0,INDEX(挂机升级突破!$AH$35:$AH$55,卡牌消耗!L118),"")</f>
        <v>50</v>
      </c>
    </row>
    <row r="119" spans="9:21" ht="16.5" x14ac:dyDescent="0.2">
      <c r="I119" s="36">
        <v>83</v>
      </c>
      <c r="J119" s="16">
        <f t="shared" si="6"/>
        <v>1102004</v>
      </c>
      <c r="K119" s="16">
        <f t="shared" si="7"/>
        <v>2</v>
      </c>
      <c r="L119" s="16">
        <f t="shared" si="9"/>
        <v>20</v>
      </c>
      <c r="M119" s="16" t="str">
        <f t="shared" si="8"/>
        <v>黄</v>
      </c>
      <c r="N119" s="16" t="str">
        <f t="shared" si="10"/>
        <v>金币</v>
      </c>
      <c r="O119" s="16">
        <f>IF(L119&gt;1,INDEX(挂机升级突破!$AI$35:$AI$55,卡牌消耗!L119),"")</f>
        <v>178500</v>
      </c>
      <c r="P119" s="16" t="str">
        <f>IF(L119&gt;1,INDEX(价值概述!$A$4:$A$8,INDEX(挂机升级突破!$W$35:$W$55,卡牌消耗!L119)),"")</f>
        <v>红色基础材料</v>
      </c>
      <c r="Q119" s="16">
        <f>IF(L119&gt;1,INDEX(挂机升级突破!$Z$35:$AD$55,卡牌消耗!L119,INDEX(挂机升级突破!$W$35:$W$55,卡牌消耗!L119)),"")</f>
        <v>110</v>
      </c>
      <c r="R119" s="16" t="str">
        <f>IF(INDEX(挂机升级突破!$X$35:$X$55,卡牌消耗!L119)&gt;0,INDEX($G$2:$I$2,INDEX(挂机升级突破!$X$35:$X$55,卡牌消耗!L119))&amp;M119,"")</f>
        <v>高级黄</v>
      </c>
      <c r="S119" s="16">
        <f>IF(R119="","",INDEX(挂机升级突破!$AE$35:$AG$55,卡牌消耗!L119,INDEX(挂机升级突破!$X$35:$X$55,卡牌消耗!L119)))</f>
        <v>180</v>
      </c>
      <c r="T119" s="16" t="str">
        <f>IF(INDEX(挂机升级突破!$Y$35:$Y$55,卡牌消耗!L119)&gt;0,"灵玉","")</f>
        <v>灵玉</v>
      </c>
      <c r="U119" s="16">
        <f>IF(INDEX(挂机升级突破!$Y$35:$Y$55,卡牌消耗!L119)&gt;0,INDEX(挂机升级突破!$AH$35:$AH$55,卡牌消耗!L119),"")</f>
        <v>65</v>
      </c>
    </row>
    <row r="120" spans="9:21" ht="16.5" x14ac:dyDescent="0.2">
      <c r="I120" s="36">
        <v>84</v>
      </c>
      <c r="J120" s="16">
        <f t="shared" si="6"/>
        <v>1102004</v>
      </c>
      <c r="K120" s="16">
        <f t="shared" si="7"/>
        <v>2</v>
      </c>
      <c r="L120" s="16">
        <f t="shared" si="9"/>
        <v>21</v>
      </c>
      <c r="M120" s="16" t="str">
        <f t="shared" si="8"/>
        <v>黄</v>
      </c>
      <c r="N120" s="16" t="str">
        <f t="shared" si="10"/>
        <v>金币</v>
      </c>
      <c r="O120" s="16">
        <f>IF(L120&gt;1,INDEX(挂机升级突破!$AI$35:$AI$55,卡牌消耗!L120),"")</f>
        <v>214000</v>
      </c>
      <c r="P120" s="16" t="str">
        <f>IF(L120&gt;1,INDEX(价值概述!$A$4:$A$8,INDEX(挂机升级突破!$W$35:$W$55,卡牌消耗!L120)),"")</f>
        <v>红色基础材料</v>
      </c>
      <c r="Q120" s="16">
        <f>IF(L120&gt;1,INDEX(挂机升级突破!$Z$35:$AD$55,卡牌消耗!L120,INDEX(挂机升级突破!$W$35:$W$55,卡牌消耗!L120)),"")</f>
        <v>135</v>
      </c>
      <c r="R120" s="16" t="str">
        <f>IF(INDEX(挂机升级突破!$X$35:$X$55,卡牌消耗!L120)&gt;0,INDEX($G$2:$I$2,INDEX(挂机升级突破!$X$35:$X$55,卡牌消耗!L120))&amp;M120,"")</f>
        <v>高级黄</v>
      </c>
      <c r="S120" s="16">
        <f>IF(R120="","",INDEX(挂机升级突破!$AE$35:$AG$55,卡牌消耗!L120,INDEX(挂机升级突破!$X$35:$X$55,卡牌消耗!L120)))</f>
        <v>225</v>
      </c>
      <c r="T120" s="16" t="str">
        <f>IF(INDEX(挂机升级突破!$Y$35:$Y$55,卡牌消耗!L120)&gt;0,"灵玉","")</f>
        <v>灵玉</v>
      </c>
      <c r="U120" s="16">
        <f>IF(INDEX(挂机升级突破!$Y$35:$Y$55,卡牌消耗!L120)&gt;0,INDEX(挂机升级突破!$AH$35:$AH$55,卡牌消耗!L120),"")</f>
        <v>75</v>
      </c>
    </row>
    <row r="121" spans="9:21" ht="16.5" x14ac:dyDescent="0.2">
      <c r="I121" s="36">
        <v>85</v>
      </c>
      <c r="J121" s="16">
        <f t="shared" si="6"/>
        <v>1102005</v>
      </c>
      <c r="K121" s="16">
        <f t="shared" si="7"/>
        <v>3</v>
      </c>
      <c r="L121" s="16">
        <f t="shared" si="9"/>
        <v>1</v>
      </c>
      <c r="M121" s="16" t="str">
        <f t="shared" si="8"/>
        <v>蓝</v>
      </c>
      <c r="N121" s="16" t="str">
        <f t="shared" si="10"/>
        <v/>
      </c>
      <c r="O121" s="16" t="str">
        <f>IF(L121&gt;1,INDEX(挂机升级突破!$AI$35:$AI$55,卡牌消耗!L121),"")</f>
        <v/>
      </c>
      <c r="P121" s="16" t="str">
        <f>IF(L121&gt;1,INDEX(价值概述!$A$4:$A$8,INDEX(挂机升级突破!$W$35:$W$55,卡牌消耗!L121)),"")</f>
        <v/>
      </c>
      <c r="Q121" s="16" t="str">
        <f>IF(L121&gt;1,INDEX(挂机升级突破!$Z$35:$AD$55,卡牌消耗!L121,INDEX(挂机升级突破!$W$35:$W$55,卡牌消耗!L121)),"")</f>
        <v/>
      </c>
      <c r="R121" s="16" t="str">
        <f>IF(INDEX(挂机升级突破!$X$35:$X$55,卡牌消耗!L121)&gt;0,INDEX($G$2:$I$2,INDEX(挂机升级突破!$X$35:$X$55,卡牌消耗!L121))&amp;M121,"")</f>
        <v/>
      </c>
      <c r="S121" s="16" t="str">
        <f>IF(R121="","",INDEX(挂机升级突破!$AE$35:$AG$55,卡牌消耗!L121,INDEX(挂机升级突破!$X$35:$X$55,卡牌消耗!L121)))</f>
        <v/>
      </c>
      <c r="T121" s="16" t="str">
        <f>IF(INDEX(挂机升级突破!$Y$35:$Y$55,卡牌消耗!L121)&gt;0,"灵玉","")</f>
        <v/>
      </c>
      <c r="U121" s="16" t="str">
        <f>IF(INDEX(挂机升级突破!$Y$35:$Y$55,卡牌消耗!L121)&gt;0,INDEX(挂机升级突破!$AH$35:$AH$55,卡牌消耗!L121),"")</f>
        <v/>
      </c>
    </row>
    <row r="122" spans="9:21" ht="16.5" x14ac:dyDescent="0.2">
      <c r="I122" s="36">
        <v>86</v>
      </c>
      <c r="J122" s="16">
        <f t="shared" si="6"/>
        <v>1102005</v>
      </c>
      <c r="K122" s="16">
        <f t="shared" si="7"/>
        <v>3</v>
      </c>
      <c r="L122" s="16">
        <f t="shared" si="9"/>
        <v>2</v>
      </c>
      <c r="M122" s="16" t="str">
        <f t="shared" si="8"/>
        <v>蓝</v>
      </c>
      <c r="N122" s="16" t="str">
        <f t="shared" si="10"/>
        <v>金币</v>
      </c>
      <c r="O122" s="16">
        <f>IF(L122&gt;1,INDEX(挂机升级突破!$AI$35:$AI$55,卡牌消耗!L122),"")</f>
        <v>2500</v>
      </c>
      <c r="P122" s="16" t="str">
        <f>IF(L122&gt;1,INDEX(价值概述!$A$4:$A$8,INDEX(挂机升级突破!$W$35:$W$55,卡牌消耗!L122)),"")</f>
        <v>绿色基础材料</v>
      </c>
      <c r="Q122" s="16">
        <f>IF(L122&gt;1,INDEX(挂机升级突破!$Z$35:$AD$55,卡牌消耗!L122,INDEX(挂机升级突破!$W$35:$W$55,卡牌消耗!L122)),"")</f>
        <v>40</v>
      </c>
      <c r="R122" s="16" t="str">
        <f>IF(INDEX(挂机升级突破!$X$35:$X$55,卡牌消耗!L122)&gt;0,INDEX($G$2:$I$2,INDEX(挂机升级突破!$X$35:$X$55,卡牌消耗!L122))&amp;M122,"")</f>
        <v/>
      </c>
      <c r="S122" s="16" t="str">
        <f>IF(R122="","",INDEX(挂机升级突破!$AE$35:$AG$55,卡牌消耗!L122,INDEX(挂机升级突破!$X$35:$X$55,卡牌消耗!L122)))</f>
        <v/>
      </c>
      <c r="T122" s="16" t="str">
        <f>IF(INDEX(挂机升级突破!$Y$35:$Y$55,卡牌消耗!L122)&gt;0,"灵玉","")</f>
        <v/>
      </c>
      <c r="U122" s="16" t="str">
        <f>IF(INDEX(挂机升级突破!$Y$35:$Y$55,卡牌消耗!L122)&gt;0,INDEX(挂机升级突破!$AH$35:$AH$55,卡牌消耗!L122),"")</f>
        <v/>
      </c>
    </row>
    <row r="123" spans="9:21" ht="16.5" x14ac:dyDescent="0.2">
      <c r="I123" s="36">
        <v>87</v>
      </c>
      <c r="J123" s="16">
        <f t="shared" si="6"/>
        <v>1102005</v>
      </c>
      <c r="K123" s="16">
        <f t="shared" si="7"/>
        <v>3</v>
      </c>
      <c r="L123" s="16">
        <f t="shared" si="9"/>
        <v>3</v>
      </c>
      <c r="M123" s="16" t="str">
        <f t="shared" si="8"/>
        <v>蓝</v>
      </c>
      <c r="N123" s="16" t="str">
        <f t="shared" si="10"/>
        <v>金币</v>
      </c>
      <c r="O123" s="16">
        <f>IF(L123&gt;1,INDEX(挂机升级突破!$AI$35:$AI$55,卡牌消耗!L123),"")</f>
        <v>8500</v>
      </c>
      <c r="P123" s="16" t="str">
        <f>IF(L123&gt;1,INDEX(价值概述!$A$4:$A$8,INDEX(挂机升级突破!$W$35:$W$55,卡牌消耗!L123)),"")</f>
        <v>绿色基础材料</v>
      </c>
      <c r="Q123" s="16">
        <f>IF(L123&gt;1,INDEX(挂机升级突破!$Z$35:$AD$55,卡牌消耗!L123,INDEX(挂机升级突破!$W$35:$W$55,卡牌消耗!L123)),"")</f>
        <v>120</v>
      </c>
      <c r="R123" s="16" t="str">
        <f>IF(INDEX(挂机升级突破!$X$35:$X$55,卡牌消耗!L123)&gt;0,INDEX($G$2:$I$2,INDEX(挂机升级突破!$X$35:$X$55,卡牌消耗!L123))&amp;M123,"")</f>
        <v/>
      </c>
      <c r="S123" s="16" t="str">
        <f>IF(R123="","",INDEX(挂机升级突破!$AE$35:$AG$55,卡牌消耗!L123,INDEX(挂机升级突破!$X$35:$X$55,卡牌消耗!L123)))</f>
        <v/>
      </c>
      <c r="T123" s="16" t="str">
        <f>IF(INDEX(挂机升级突破!$Y$35:$Y$55,卡牌消耗!L123)&gt;0,"灵玉","")</f>
        <v/>
      </c>
      <c r="U123" s="16" t="str">
        <f>IF(INDEX(挂机升级突破!$Y$35:$Y$55,卡牌消耗!L123)&gt;0,INDEX(挂机升级突破!$AH$35:$AH$55,卡牌消耗!L123),"")</f>
        <v/>
      </c>
    </row>
    <row r="124" spans="9:21" ht="16.5" x14ac:dyDescent="0.2">
      <c r="I124" s="36">
        <v>88</v>
      </c>
      <c r="J124" s="16">
        <f t="shared" si="6"/>
        <v>1102005</v>
      </c>
      <c r="K124" s="16">
        <f t="shared" si="7"/>
        <v>3</v>
      </c>
      <c r="L124" s="16">
        <f t="shared" si="9"/>
        <v>4</v>
      </c>
      <c r="M124" s="16" t="str">
        <f t="shared" si="8"/>
        <v>蓝</v>
      </c>
      <c r="N124" s="16" t="str">
        <f t="shared" si="10"/>
        <v>金币</v>
      </c>
      <c r="O124" s="16">
        <f>IF(L124&gt;1,INDEX(挂机升级突破!$AI$35:$AI$55,卡牌消耗!L124),"")</f>
        <v>17000</v>
      </c>
      <c r="P124" s="16" t="str">
        <f>IF(L124&gt;1,INDEX(价值概述!$A$4:$A$8,INDEX(挂机升级突破!$W$35:$W$55,卡牌消耗!L124)),"")</f>
        <v>绿色基础材料</v>
      </c>
      <c r="Q124" s="16">
        <f>IF(L124&gt;1,INDEX(挂机升级突破!$Z$35:$AD$55,卡牌消耗!L124,INDEX(挂机升级突破!$W$35:$W$55,卡牌消耗!L124)),"")</f>
        <v>240</v>
      </c>
      <c r="R124" s="16" t="str">
        <f>IF(INDEX(挂机升级突破!$X$35:$X$55,卡牌消耗!L124)&gt;0,INDEX($G$2:$I$2,INDEX(挂机升级突破!$X$35:$X$55,卡牌消耗!L124))&amp;M124,"")</f>
        <v>初级蓝</v>
      </c>
      <c r="S124" s="16">
        <f>IF(R124="","",INDEX(挂机升级突破!$AE$35:$AG$55,卡牌消耗!L124,INDEX(挂机升级突破!$X$35:$X$55,卡牌消耗!L124)))</f>
        <v>130</v>
      </c>
      <c r="T124" s="16" t="str">
        <f>IF(INDEX(挂机升级突破!$Y$35:$Y$55,卡牌消耗!L124)&gt;0,"灵玉","")</f>
        <v/>
      </c>
      <c r="U124" s="16" t="str">
        <f>IF(INDEX(挂机升级突破!$Y$35:$Y$55,卡牌消耗!L124)&gt;0,INDEX(挂机升级突破!$AH$35:$AH$55,卡牌消耗!L124),"")</f>
        <v/>
      </c>
    </row>
    <row r="125" spans="9:21" ht="16.5" x14ac:dyDescent="0.2">
      <c r="I125" s="36">
        <v>89</v>
      </c>
      <c r="J125" s="16">
        <f t="shared" si="6"/>
        <v>1102005</v>
      </c>
      <c r="K125" s="16">
        <f t="shared" si="7"/>
        <v>3</v>
      </c>
      <c r="L125" s="16">
        <f t="shared" si="9"/>
        <v>5</v>
      </c>
      <c r="M125" s="16" t="str">
        <f t="shared" si="8"/>
        <v>蓝</v>
      </c>
      <c r="N125" s="16" t="str">
        <f t="shared" si="10"/>
        <v>金币</v>
      </c>
      <c r="O125" s="16">
        <f>IF(L125&gt;1,INDEX(挂机升级突破!$AI$35:$AI$55,卡牌消耗!L125),"")</f>
        <v>10500</v>
      </c>
      <c r="P125" s="16" t="str">
        <f>IF(L125&gt;1,INDEX(价值概述!$A$4:$A$8,INDEX(挂机升级突破!$W$35:$W$55,卡牌消耗!L125)),"")</f>
        <v>蓝色基础材料</v>
      </c>
      <c r="Q125" s="16">
        <f>IF(L125&gt;1,INDEX(挂机升级突破!$Z$35:$AD$55,卡牌消耗!L125,INDEX(挂机升级突破!$W$35:$W$55,卡牌消耗!L125)),"")</f>
        <v>85</v>
      </c>
      <c r="R125" s="16" t="str">
        <f>IF(INDEX(挂机升级突破!$X$35:$X$55,卡牌消耗!L125)&gt;0,INDEX($G$2:$I$2,INDEX(挂机升级突破!$X$35:$X$55,卡牌消耗!L125))&amp;M125,"")</f>
        <v>初级蓝</v>
      </c>
      <c r="S125" s="16">
        <f>IF(R125="","",INDEX(挂机升级突破!$AE$35:$AG$55,卡牌消耗!L125,INDEX(挂机升级突破!$X$35:$X$55,卡牌消耗!L125)))</f>
        <v>160</v>
      </c>
      <c r="T125" s="16" t="str">
        <f>IF(INDEX(挂机升级突破!$Y$35:$Y$55,卡牌消耗!L125)&gt;0,"灵玉","")</f>
        <v/>
      </c>
      <c r="U125" s="16" t="str">
        <f>IF(INDEX(挂机升级突破!$Y$35:$Y$55,卡牌消耗!L125)&gt;0,INDEX(挂机升级突破!$AH$35:$AH$55,卡牌消耗!L125),"")</f>
        <v/>
      </c>
    </row>
    <row r="126" spans="9:21" ht="16.5" x14ac:dyDescent="0.2">
      <c r="I126" s="36">
        <v>90</v>
      </c>
      <c r="J126" s="16">
        <f t="shared" si="6"/>
        <v>1102005</v>
      </c>
      <c r="K126" s="16">
        <f t="shared" si="7"/>
        <v>3</v>
      </c>
      <c r="L126" s="16">
        <f t="shared" si="9"/>
        <v>6</v>
      </c>
      <c r="M126" s="16" t="str">
        <f t="shared" si="8"/>
        <v>蓝</v>
      </c>
      <c r="N126" s="16" t="str">
        <f t="shared" si="10"/>
        <v>金币</v>
      </c>
      <c r="O126" s="16">
        <f>IF(L126&gt;1,INDEX(挂机升级突破!$AI$35:$AI$55,卡牌消耗!L126),"")</f>
        <v>25000</v>
      </c>
      <c r="P126" s="16" t="str">
        <f>IF(L126&gt;1,INDEX(价值概述!$A$4:$A$8,INDEX(挂机升级突破!$W$35:$W$55,卡牌消耗!L126)),"")</f>
        <v>蓝色基础材料</v>
      </c>
      <c r="Q126" s="16">
        <f>IF(L126&gt;1,INDEX(挂机升级突破!$Z$35:$AD$55,卡牌消耗!L126,INDEX(挂机升级突破!$W$35:$W$55,卡牌消耗!L126)),"")</f>
        <v>145</v>
      </c>
      <c r="R126" s="16" t="str">
        <f>IF(INDEX(挂机升级突破!$X$35:$X$55,卡牌消耗!L126)&gt;0,INDEX($G$2:$I$2,INDEX(挂机升级突破!$X$35:$X$55,卡牌消耗!L126))&amp;M126,"")</f>
        <v>初级蓝</v>
      </c>
      <c r="S126" s="16">
        <f>IF(R126="","",INDEX(挂机升级突破!$AE$35:$AG$55,卡牌消耗!L126,INDEX(挂机升级突破!$X$35:$X$55,卡牌消耗!L126)))</f>
        <v>175</v>
      </c>
      <c r="T126" s="16" t="str">
        <f>IF(INDEX(挂机升级突破!$Y$35:$Y$55,卡牌消耗!L126)&gt;0,"灵玉","")</f>
        <v/>
      </c>
      <c r="U126" s="16" t="str">
        <f>IF(INDEX(挂机升级突破!$Y$35:$Y$55,卡牌消耗!L126)&gt;0,INDEX(挂机升级突破!$AH$35:$AH$55,卡牌消耗!L126),"")</f>
        <v/>
      </c>
    </row>
    <row r="127" spans="9:21" ht="16.5" x14ac:dyDescent="0.2">
      <c r="I127" s="36">
        <v>91</v>
      </c>
      <c r="J127" s="16">
        <f t="shared" si="6"/>
        <v>1102005</v>
      </c>
      <c r="K127" s="16">
        <f t="shared" si="7"/>
        <v>3</v>
      </c>
      <c r="L127" s="16">
        <f t="shared" si="9"/>
        <v>7</v>
      </c>
      <c r="M127" s="16" t="str">
        <f t="shared" si="8"/>
        <v>蓝</v>
      </c>
      <c r="N127" s="16" t="str">
        <f t="shared" si="10"/>
        <v>金币</v>
      </c>
      <c r="O127" s="16">
        <f>IF(L127&gt;1,INDEX(挂机升级突破!$AI$35:$AI$55,卡牌消耗!L127),"")</f>
        <v>28000</v>
      </c>
      <c r="P127" s="16" t="str">
        <f>IF(L127&gt;1,INDEX(价值概述!$A$4:$A$8,INDEX(挂机升级突破!$W$35:$W$55,卡牌消耗!L127)),"")</f>
        <v>蓝色基础材料</v>
      </c>
      <c r="Q127" s="16">
        <f>IF(L127&gt;1,INDEX(挂机升级突破!$Z$35:$AD$55,卡牌消耗!L127,INDEX(挂机升级突破!$W$35:$W$55,卡牌消耗!L127)),"")</f>
        <v>185</v>
      </c>
      <c r="R127" s="16" t="str">
        <f>IF(INDEX(挂机升级突破!$X$35:$X$55,卡牌消耗!L127)&gt;0,INDEX($G$2:$I$2,INDEX(挂机升级突破!$X$35:$X$55,卡牌消耗!L127))&amp;M127,"")</f>
        <v>初级蓝</v>
      </c>
      <c r="S127" s="16">
        <f>IF(R127="","",INDEX(挂机升级突破!$AE$35:$AG$55,卡牌消耗!L127,INDEX(挂机升级突破!$X$35:$X$55,卡牌消耗!L127)))</f>
        <v>190</v>
      </c>
      <c r="T127" s="16" t="str">
        <f>IF(INDEX(挂机升级突破!$Y$35:$Y$55,卡牌消耗!L127)&gt;0,"灵玉","")</f>
        <v/>
      </c>
      <c r="U127" s="16" t="str">
        <f>IF(INDEX(挂机升级突破!$Y$35:$Y$55,卡牌消耗!L127)&gt;0,INDEX(挂机升级突破!$AH$35:$AH$55,卡牌消耗!L127),"")</f>
        <v/>
      </c>
    </row>
    <row r="128" spans="9:21" ht="16.5" x14ac:dyDescent="0.2">
      <c r="I128" s="36">
        <v>92</v>
      </c>
      <c r="J128" s="16">
        <f t="shared" si="6"/>
        <v>1102005</v>
      </c>
      <c r="K128" s="16">
        <f t="shared" si="7"/>
        <v>3</v>
      </c>
      <c r="L128" s="16">
        <f t="shared" si="9"/>
        <v>8</v>
      </c>
      <c r="M128" s="16" t="str">
        <f t="shared" si="8"/>
        <v>蓝</v>
      </c>
      <c r="N128" s="16" t="str">
        <f t="shared" si="10"/>
        <v>金币</v>
      </c>
      <c r="O128" s="16">
        <f>IF(L128&gt;1,INDEX(挂机升级突破!$AI$35:$AI$55,卡牌消耗!L128),"")</f>
        <v>31000</v>
      </c>
      <c r="P128" s="16" t="str">
        <f>IF(L128&gt;1,INDEX(价值概述!$A$4:$A$8,INDEX(挂机升级突破!$W$35:$W$55,卡牌消耗!L128)),"")</f>
        <v>蓝色基础材料</v>
      </c>
      <c r="Q128" s="16">
        <f>IF(L128&gt;1,INDEX(挂机升级突破!$Z$35:$AD$55,卡牌消耗!L128,INDEX(挂机升级突破!$W$35:$W$55,卡牌消耗!L128)),"")</f>
        <v>220</v>
      </c>
      <c r="R128" s="16" t="str">
        <f>IF(INDEX(挂机升级突破!$X$35:$X$55,卡牌消耗!L128)&gt;0,INDEX($G$2:$I$2,INDEX(挂机升级突破!$X$35:$X$55,卡牌消耗!L128))&amp;M128,"")</f>
        <v>初级蓝</v>
      </c>
      <c r="S128" s="16">
        <f>IF(R128="","",INDEX(挂机升级突破!$AE$35:$AG$55,卡牌消耗!L128,INDEX(挂机升级突破!$X$35:$X$55,卡牌消耗!L128)))</f>
        <v>200</v>
      </c>
      <c r="T128" s="16" t="str">
        <f>IF(INDEX(挂机升级突破!$Y$35:$Y$55,卡牌消耗!L128)&gt;0,"灵玉","")</f>
        <v/>
      </c>
      <c r="U128" s="16" t="str">
        <f>IF(INDEX(挂机升级突破!$Y$35:$Y$55,卡牌消耗!L128)&gt;0,INDEX(挂机升级突破!$AH$35:$AH$55,卡牌消耗!L128),"")</f>
        <v/>
      </c>
    </row>
    <row r="129" spans="9:21" ht="16.5" x14ac:dyDescent="0.2">
      <c r="I129" s="36">
        <v>93</v>
      </c>
      <c r="J129" s="16">
        <f t="shared" si="6"/>
        <v>1102005</v>
      </c>
      <c r="K129" s="16">
        <f t="shared" si="7"/>
        <v>3</v>
      </c>
      <c r="L129" s="16">
        <f t="shared" si="9"/>
        <v>9</v>
      </c>
      <c r="M129" s="16" t="str">
        <f t="shared" si="8"/>
        <v>蓝</v>
      </c>
      <c r="N129" s="16" t="str">
        <f t="shared" si="10"/>
        <v>金币</v>
      </c>
      <c r="O129" s="16">
        <f>IF(L129&gt;1,INDEX(挂机升级突破!$AI$35:$AI$55,卡牌消耗!L129),"")</f>
        <v>24000</v>
      </c>
      <c r="P129" s="16" t="str">
        <f>IF(L129&gt;1,INDEX(价值概述!$A$4:$A$8,INDEX(挂机升级突破!$W$35:$W$55,卡牌消耗!L129)),"")</f>
        <v>紫色基础材料</v>
      </c>
      <c r="Q129" s="16">
        <f>IF(L129&gt;1,INDEX(挂机升级突破!$Z$35:$AD$55,卡牌消耗!L129,INDEX(挂机升级突破!$W$35:$W$55,卡牌消耗!L129)),"")</f>
        <v>95</v>
      </c>
      <c r="R129" s="16" t="str">
        <f>IF(INDEX(挂机升级突破!$X$35:$X$55,卡牌消耗!L129)&gt;0,INDEX($G$2:$I$2,INDEX(挂机升级突破!$X$35:$X$55,卡牌消耗!L129))&amp;M129,"")</f>
        <v>中级蓝</v>
      </c>
      <c r="S129" s="16">
        <f>IF(R129="","",INDEX(挂机升级突破!$AE$35:$AG$55,卡牌消耗!L129,INDEX(挂机升级突破!$X$35:$X$55,卡牌消耗!L129)))</f>
        <v>80</v>
      </c>
      <c r="T129" s="16" t="str">
        <f>IF(INDEX(挂机升级突破!$Y$35:$Y$55,卡牌消耗!L129)&gt;0,"灵玉","")</f>
        <v/>
      </c>
      <c r="U129" s="16" t="str">
        <f>IF(INDEX(挂机升级突破!$Y$35:$Y$55,卡牌消耗!L129)&gt;0,INDEX(挂机升级突破!$AH$35:$AH$55,卡牌消耗!L129),"")</f>
        <v/>
      </c>
    </row>
    <row r="130" spans="9:21" ht="16.5" x14ac:dyDescent="0.2">
      <c r="I130" s="36">
        <v>94</v>
      </c>
      <c r="J130" s="16">
        <f t="shared" si="6"/>
        <v>1102005</v>
      </c>
      <c r="K130" s="16">
        <f t="shared" si="7"/>
        <v>3</v>
      </c>
      <c r="L130" s="16">
        <f t="shared" si="9"/>
        <v>10</v>
      </c>
      <c r="M130" s="16" t="str">
        <f t="shared" si="8"/>
        <v>蓝</v>
      </c>
      <c r="N130" s="16" t="str">
        <f t="shared" si="10"/>
        <v>金币</v>
      </c>
      <c r="O130" s="16">
        <f>IF(L130&gt;1,INDEX(挂机升级突破!$AI$35:$AI$55,卡牌消耗!L130),"")</f>
        <v>26500</v>
      </c>
      <c r="P130" s="16" t="str">
        <f>IF(L130&gt;1,INDEX(价值概述!$A$4:$A$8,INDEX(挂机升级突破!$W$35:$W$55,卡牌消耗!L130)),"")</f>
        <v>紫色基础材料</v>
      </c>
      <c r="Q130" s="16">
        <f>IF(L130&gt;1,INDEX(挂机升级突破!$Z$35:$AD$55,卡牌消耗!L130,INDEX(挂机升级突破!$W$35:$W$55,卡牌消耗!L130)),"")</f>
        <v>175</v>
      </c>
      <c r="R130" s="16" t="str">
        <f>IF(INDEX(挂机升级突破!$X$35:$X$55,卡牌消耗!L130)&gt;0,INDEX($G$2:$I$2,INDEX(挂机升级突破!$X$35:$X$55,卡牌消耗!L130))&amp;M130,"")</f>
        <v>中级蓝</v>
      </c>
      <c r="S130" s="16">
        <f>IF(R130="","",INDEX(挂机升级突破!$AE$35:$AG$55,卡牌消耗!L130,INDEX(挂机升级突破!$X$35:$X$55,卡牌消耗!L130)))</f>
        <v>120</v>
      </c>
      <c r="T130" s="16" t="str">
        <f>IF(INDEX(挂机升级突破!$Y$35:$Y$55,卡牌消耗!L130)&gt;0,"灵玉","")</f>
        <v/>
      </c>
      <c r="U130" s="16" t="str">
        <f>IF(INDEX(挂机升级突破!$Y$35:$Y$55,卡牌消耗!L130)&gt;0,INDEX(挂机升级突破!$AH$35:$AH$55,卡牌消耗!L130),"")</f>
        <v/>
      </c>
    </row>
    <row r="131" spans="9:21" ht="16.5" x14ac:dyDescent="0.2">
      <c r="I131" s="36">
        <v>95</v>
      </c>
      <c r="J131" s="16">
        <f t="shared" si="6"/>
        <v>1102005</v>
      </c>
      <c r="K131" s="16">
        <f t="shared" si="7"/>
        <v>3</v>
      </c>
      <c r="L131" s="16">
        <f t="shared" si="9"/>
        <v>11</v>
      </c>
      <c r="M131" s="16" t="str">
        <f t="shared" si="8"/>
        <v>蓝</v>
      </c>
      <c r="N131" s="16" t="str">
        <f t="shared" si="10"/>
        <v>金币</v>
      </c>
      <c r="O131" s="16">
        <f>IF(L131&gt;1,INDEX(挂机升级突破!$AI$35:$AI$55,卡牌消耗!L131),"")</f>
        <v>28500</v>
      </c>
      <c r="P131" s="16" t="str">
        <f>IF(L131&gt;1,INDEX(价值概述!$A$4:$A$8,INDEX(挂机升级突破!$W$35:$W$55,卡牌消耗!L131)),"")</f>
        <v>紫色基础材料</v>
      </c>
      <c r="Q131" s="16">
        <f>IF(L131&gt;1,INDEX(挂机升级突破!$Z$35:$AD$55,卡牌消耗!L131,INDEX(挂机升级突破!$W$35:$W$55,卡牌消耗!L131)),"")</f>
        <v>245</v>
      </c>
      <c r="R131" s="16" t="str">
        <f>IF(INDEX(挂机升级突破!$X$35:$X$55,卡牌消耗!L131)&gt;0,INDEX($G$2:$I$2,INDEX(挂机升级突破!$X$35:$X$55,卡牌消耗!L131))&amp;M131,"")</f>
        <v>中级蓝</v>
      </c>
      <c r="S131" s="16">
        <f>IF(R131="","",INDEX(挂机升级突破!$AE$35:$AG$55,卡牌消耗!L131,INDEX(挂机升级突破!$X$35:$X$55,卡牌消耗!L131)))</f>
        <v>170</v>
      </c>
      <c r="T131" s="16" t="str">
        <f>IF(INDEX(挂机升级突破!$Y$35:$Y$55,卡牌消耗!L131)&gt;0,"灵玉","")</f>
        <v/>
      </c>
      <c r="U131" s="16" t="str">
        <f>IF(INDEX(挂机升级突破!$Y$35:$Y$55,卡牌消耗!L131)&gt;0,INDEX(挂机升级突破!$AH$35:$AH$55,卡牌消耗!L131),"")</f>
        <v/>
      </c>
    </row>
    <row r="132" spans="9:21" ht="16.5" x14ac:dyDescent="0.2">
      <c r="I132" s="36">
        <v>96</v>
      </c>
      <c r="J132" s="16">
        <f t="shared" si="6"/>
        <v>1102005</v>
      </c>
      <c r="K132" s="16">
        <f t="shared" si="7"/>
        <v>3</v>
      </c>
      <c r="L132" s="16">
        <f t="shared" si="9"/>
        <v>12</v>
      </c>
      <c r="M132" s="16" t="str">
        <f t="shared" si="8"/>
        <v>蓝</v>
      </c>
      <c r="N132" s="16" t="str">
        <f t="shared" si="10"/>
        <v>金币</v>
      </c>
      <c r="O132" s="16">
        <f>IF(L132&gt;1,INDEX(挂机升级突破!$AI$35:$AI$55,卡牌消耗!L132),"")</f>
        <v>30500</v>
      </c>
      <c r="P132" s="16" t="str">
        <f>IF(L132&gt;1,INDEX(价值概述!$A$4:$A$8,INDEX(挂机升级突破!$W$35:$W$55,卡牌消耗!L132)),"")</f>
        <v>紫色基础材料</v>
      </c>
      <c r="Q132" s="16">
        <f>IF(L132&gt;1,INDEX(挂机升级突破!$Z$35:$AD$55,卡牌消耗!L132,INDEX(挂机升级突破!$W$35:$W$55,卡牌消耗!L132)),"")</f>
        <v>305</v>
      </c>
      <c r="R132" s="16" t="str">
        <f>IF(INDEX(挂机升级突破!$X$35:$X$55,卡牌消耗!L132)&gt;0,INDEX($G$2:$I$2,INDEX(挂机升级突破!$X$35:$X$55,卡牌消耗!L132))&amp;M132,"")</f>
        <v>中级蓝</v>
      </c>
      <c r="S132" s="16">
        <f>IF(R132="","",INDEX(挂机升级突破!$AE$35:$AG$55,卡牌消耗!L132,INDEX(挂机升级突破!$X$35:$X$55,卡牌消耗!L132)))</f>
        <v>200</v>
      </c>
      <c r="T132" s="16" t="str">
        <f>IF(INDEX(挂机升级突破!$Y$35:$Y$55,卡牌消耗!L132)&gt;0,"灵玉","")</f>
        <v/>
      </c>
      <c r="U132" s="16" t="str">
        <f>IF(INDEX(挂机升级突破!$Y$35:$Y$55,卡牌消耗!L132)&gt;0,INDEX(挂机升级突破!$AH$35:$AH$55,卡牌消耗!L132),"")</f>
        <v/>
      </c>
    </row>
    <row r="133" spans="9:21" ht="16.5" x14ac:dyDescent="0.2">
      <c r="I133" s="36">
        <v>97</v>
      </c>
      <c r="J133" s="16">
        <f t="shared" si="6"/>
        <v>1102005</v>
      </c>
      <c r="K133" s="16">
        <f t="shared" si="7"/>
        <v>3</v>
      </c>
      <c r="L133" s="16">
        <f t="shared" si="9"/>
        <v>13</v>
      </c>
      <c r="M133" s="16" t="str">
        <f t="shared" si="8"/>
        <v>蓝</v>
      </c>
      <c r="N133" s="16" t="str">
        <f t="shared" si="10"/>
        <v>金币</v>
      </c>
      <c r="O133" s="16">
        <f>IF(L133&gt;1,INDEX(挂机升级突破!$AI$35:$AI$55,卡牌消耗!L133),"")</f>
        <v>38500</v>
      </c>
      <c r="P133" s="16" t="str">
        <f>IF(L133&gt;1,INDEX(价值概述!$A$4:$A$8,INDEX(挂机升级突破!$W$35:$W$55,卡牌消耗!L133)),"")</f>
        <v>橙色基础材料</v>
      </c>
      <c r="Q133" s="16">
        <f>IF(L133&gt;1,INDEX(挂机升级突破!$Z$35:$AD$55,卡牌消耗!L133,INDEX(挂机升级突破!$W$35:$W$55,卡牌消耗!L133)),"")</f>
        <v>115</v>
      </c>
      <c r="R133" s="16" t="str">
        <f>IF(INDEX(挂机升级突破!$X$35:$X$55,卡牌消耗!L133)&gt;0,INDEX($G$2:$I$2,INDEX(挂机升级突破!$X$35:$X$55,卡牌消耗!L133))&amp;M133,"")</f>
        <v>中级蓝</v>
      </c>
      <c r="S133" s="16">
        <f>IF(R133="","",INDEX(挂机升级突破!$AE$35:$AG$55,卡牌消耗!L133,INDEX(挂机升级突破!$X$35:$X$55,卡牌消耗!L133)))</f>
        <v>225</v>
      </c>
      <c r="T133" s="16" t="str">
        <f>IF(INDEX(挂机升级突破!$Y$35:$Y$55,卡牌消耗!L133)&gt;0,"灵玉","")</f>
        <v/>
      </c>
      <c r="U133" s="16" t="str">
        <f>IF(INDEX(挂机升级突破!$Y$35:$Y$55,卡牌消耗!L133)&gt;0,INDEX(挂机升级突破!$AH$35:$AH$55,卡牌消耗!L133),"")</f>
        <v/>
      </c>
    </row>
    <row r="134" spans="9:21" ht="16.5" x14ac:dyDescent="0.2">
      <c r="I134" s="36">
        <v>98</v>
      </c>
      <c r="J134" s="16">
        <f t="shared" si="6"/>
        <v>1102005</v>
      </c>
      <c r="K134" s="16">
        <f t="shared" si="7"/>
        <v>3</v>
      </c>
      <c r="L134" s="16">
        <f t="shared" si="9"/>
        <v>14</v>
      </c>
      <c r="M134" s="16" t="str">
        <f t="shared" si="8"/>
        <v>蓝</v>
      </c>
      <c r="N134" s="16" t="str">
        <f t="shared" si="10"/>
        <v>金币</v>
      </c>
      <c r="O134" s="16">
        <f>IF(L134&gt;1,INDEX(挂机升级突破!$AI$35:$AI$55,卡牌消耗!L134),"")</f>
        <v>51000</v>
      </c>
      <c r="P134" s="16" t="str">
        <f>IF(L134&gt;1,INDEX(价值概述!$A$4:$A$8,INDEX(挂机升级突破!$W$35:$W$55,卡牌消耗!L134)),"")</f>
        <v>橙色基础材料</v>
      </c>
      <c r="Q134" s="16">
        <f>IF(L134&gt;1,INDEX(挂机升级突破!$Z$35:$AD$55,卡牌消耗!L134,INDEX(挂机升级突破!$W$35:$W$55,卡牌消耗!L134)),"")</f>
        <v>235</v>
      </c>
      <c r="R134" s="16" t="str">
        <f>IF(INDEX(挂机升级突破!$X$35:$X$55,卡牌消耗!L134)&gt;0,INDEX($G$2:$I$2,INDEX(挂机升级突破!$X$35:$X$55,卡牌消耗!L134))&amp;M134,"")</f>
        <v>中级蓝</v>
      </c>
      <c r="S134" s="16">
        <f>IF(R134="","",INDEX(挂机升级突破!$AE$35:$AG$55,卡牌消耗!L134,INDEX(挂机升级突破!$X$35:$X$55,卡牌消耗!L134)))</f>
        <v>265</v>
      </c>
      <c r="T134" s="16" t="str">
        <f>IF(INDEX(挂机升级突破!$Y$35:$Y$55,卡牌消耗!L134)&gt;0,"灵玉","")</f>
        <v/>
      </c>
      <c r="U134" s="16" t="str">
        <f>IF(INDEX(挂机升级突破!$Y$35:$Y$55,卡牌消耗!L134)&gt;0,INDEX(挂机升级突破!$AH$35:$AH$55,卡牌消耗!L134),"")</f>
        <v/>
      </c>
    </row>
    <row r="135" spans="9:21" ht="16.5" x14ac:dyDescent="0.2">
      <c r="I135" s="36">
        <v>99</v>
      </c>
      <c r="J135" s="16">
        <f t="shared" si="6"/>
        <v>1102005</v>
      </c>
      <c r="K135" s="16">
        <f t="shared" si="7"/>
        <v>3</v>
      </c>
      <c r="L135" s="16">
        <f t="shared" si="9"/>
        <v>15</v>
      </c>
      <c r="M135" s="16" t="str">
        <f t="shared" si="8"/>
        <v>蓝</v>
      </c>
      <c r="N135" s="16" t="str">
        <f t="shared" si="10"/>
        <v>金币</v>
      </c>
      <c r="O135" s="16">
        <f>IF(L135&gt;1,INDEX(挂机升级突破!$AI$35:$AI$55,卡牌消耗!L135),"")</f>
        <v>60000</v>
      </c>
      <c r="P135" s="16" t="str">
        <f>IF(L135&gt;1,INDEX(价值概述!$A$4:$A$8,INDEX(挂机升级突破!$W$35:$W$55,卡牌消耗!L135)),"")</f>
        <v>橙色基础材料</v>
      </c>
      <c r="Q135" s="16">
        <f>IF(L135&gt;1,INDEX(挂机升级突破!$Z$35:$AD$55,卡牌消耗!L135,INDEX(挂机升级突破!$W$35:$W$55,卡牌消耗!L135)),"")</f>
        <v>355</v>
      </c>
      <c r="R135" s="16" t="str">
        <f>IF(INDEX(挂机升级突破!$X$35:$X$55,卡牌消耗!L135)&gt;0,INDEX($G$2:$I$2,INDEX(挂机升级突破!$X$35:$X$55,卡牌消耗!L135))&amp;M135,"")</f>
        <v>高级蓝</v>
      </c>
      <c r="S135" s="16">
        <f>IF(R135="","",INDEX(挂机升级突破!$AE$35:$AG$55,卡牌消耗!L135,INDEX(挂机升级突破!$X$35:$X$55,卡牌消耗!L135)))</f>
        <v>45</v>
      </c>
      <c r="T135" s="16" t="str">
        <f>IF(INDEX(挂机升级突破!$Y$35:$Y$55,卡牌消耗!L135)&gt;0,"灵玉","")</f>
        <v/>
      </c>
      <c r="U135" s="16" t="str">
        <f>IF(INDEX(挂机升级突破!$Y$35:$Y$55,卡牌消耗!L135)&gt;0,INDEX(挂机升级突破!$AH$35:$AH$55,卡牌消耗!L135),"")</f>
        <v/>
      </c>
    </row>
    <row r="136" spans="9:21" ht="16.5" x14ac:dyDescent="0.2">
      <c r="I136" s="36">
        <v>100</v>
      </c>
      <c r="J136" s="16">
        <f t="shared" si="6"/>
        <v>1102005</v>
      </c>
      <c r="K136" s="16">
        <f t="shared" si="7"/>
        <v>3</v>
      </c>
      <c r="L136" s="16">
        <f t="shared" si="9"/>
        <v>16</v>
      </c>
      <c r="M136" s="16" t="str">
        <f t="shared" si="8"/>
        <v>蓝</v>
      </c>
      <c r="N136" s="16" t="str">
        <f t="shared" si="10"/>
        <v>金币</v>
      </c>
      <c r="O136" s="16">
        <f>IF(L136&gt;1,INDEX(挂机升级突破!$AI$35:$AI$55,卡牌消耗!L136),"")</f>
        <v>69000</v>
      </c>
      <c r="P136" s="16" t="str">
        <f>IF(L136&gt;1,INDEX(价值概述!$A$4:$A$8,INDEX(挂机升级突破!$W$35:$W$55,卡牌消耗!L136)),"")</f>
        <v>橙色基础材料</v>
      </c>
      <c r="Q136" s="16">
        <f>IF(L136&gt;1,INDEX(挂机升级突破!$Z$35:$AD$55,卡牌消耗!L136,INDEX(挂机升级突破!$W$35:$W$55,卡牌消耗!L136)),"")</f>
        <v>475</v>
      </c>
      <c r="R136" s="16" t="str">
        <f>IF(INDEX(挂机升级突破!$X$35:$X$55,卡牌消耗!L136)&gt;0,INDEX($G$2:$I$2,INDEX(挂机升级突破!$X$35:$X$55,卡牌消耗!L136))&amp;M136,"")</f>
        <v>高级蓝</v>
      </c>
      <c r="S136" s="16">
        <f>IF(R136="","",INDEX(挂机升级突破!$AE$35:$AG$55,卡牌消耗!L136,INDEX(挂机升级突破!$X$35:$X$55,卡牌消耗!L136)))</f>
        <v>70</v>
      </c>
      <c r="T136" s="16" t="str">
        <f>IF(INDEX(挂机升级突破!$Y$35:$Y$55,卡牌消耗!L136)&gt;0,"灵玉","")</f>
        <v/>
      </c>
      <c r="U136" s="16" t="str">
        <f>IF(INDEX(挂机升级突破!$Y$35:$Y$55,卡牌消耗!L136)&gt;0,INDEX(挂机升级突破!$AH$35:$AH$55,卡牌消耗!L136),"")</f>
        <v/>
      </c>
    </row>
    <row r="137" spans="9:21" ht="16.5" x14ac:dyDescent="0.2">
      <c r="I137" s="36">
        <v>101</v>
      </c>
      <c r="J137" s="16">
        <f t="shared" si="6"/>
        <v>1102005</v>
      </c>
      <c r="K137" s="16">
        <f t="shared" si="7"/>
        <v>3</v>
      </c>
      <c r="L137" s="16">
        <f t="shared" si="9"/>
        <v>17</v>
      </c>
      <c r="M137" s="16" t="str">
        <f t="shared" si="8"/>
        <v>蓝</v>
      </c>
      <c r="N137" s="16" t="str">
        <f t="shared" si="10"/>
        <v>金币</v>
      </c>
      <c r="O137" s="16">
        <f>IF(L137&gt;1,INDEX(挂机升级突破!$AI$35:$AI$55,卡牌消耗!L137),"")</f>
        <v>76500</v>
      </c>
      <c r="P137" s="16" t="str">
        <f>IF(L137&gt;1,INDEX(价值概述!$A$4:$A$8,INDEX(挂机升级突破!$W$35:$W$55,卡牌消耗!L137)),"")</f>
        <v>红色基础材料</v>
      </c>
      <c r="Q137" s="16">
        <f>IF(L137&gt;1,INDEX(挂机升级突破!$Z$35:$AD$55,卡牌消耗!L137,INDEX(挂机升级突破!$W$35:$W$55,卡牌消耗!L137)),"")</f>
        <v>45</v>
      </c>
      <c r="R137" s="16" t="str">
        <f>IF(INDEX(挂机升级突破!$X$35:$X$55,卡牌消耗!L137)&gt;0,INDEX($G$2:$I$2,INDEX(挂机升级突破!$X$35:$X$55,卡牌消耗!L137))&amp;M137,"")</f>
        <v>高级蓝</v>
      </c>
      <c r="S137" s="16">
        <f>IF(R137="","",INDEX(挂机升级突破!$AE$35:$AG$55,卡牌消耗!L137,INDEX(挂机升级突破!$X$35:$X$55,卡牌消耗!L137)))</f>
        <v>100</v>
      </c>
      <c r="T137" s="16" t="str">
        <f>IF(INDEX(挂机升级突破!$Y$35:$Y$55,卡牌消耗!L137)&gt;0,"灵玉","")</f>
        <v>灵玉</v>
      </c>
      <c r="U137" s="16">
        <f>IF(INDEX(挂机升级突破!$Y$35:$Y$55,卡牌消耗!L137)&gt;0,INDEX(挂机升级突破!$AH$35:$AH$55,卡牌消耗!L137),"")</f>
        <v>25</v>
      </c>
    </row>
    <row r="138" spans="9:21" ht="16.5" x14ac:dyDescent="0.2">
      <c r="I138" s="36">
        <v>102</v>
      </c>
      <c r="J138" s="16">
        <f t="shared" si="6"/>
        <v>1102005</v>
      </c>
      <c r="K138" s="16">
        <f t="shared" si="7"/>
        <v>3</v>
      </c>
      <c r="L138" s="16">
        <f t="shared" si="9"/>
        <v>18</v>
      </c>
      <c r="M138" s="16" t="str">
        <f t="shared" si="8"/>
        <v>蓝</v>
      </c>
      <c r="N138" s="16" t="str">
        <f t="shared" si="10"/>
        <v>金币</v>
      </c>
      <c r="O138" s="16">
        <f>IF(L138&gt;1,INDEX(挂机升级突破!$AI$35:$AI$55,卡牌消耗!L138),"")</f>
        <v>107000</v>
      </c>
      <c r="P138" s="16" t="str">
        <f>IF(L138&gt;1,INDEX(价值概述!$A$4:$A$8,INDEX(挂机升级突破!$W$35:$W$55,卡牌消耗!L138)),"")</f>
        <v>红色基础材料</v>
      </c>
      <c r="Q138" s="16">
        <f>IF(L138&gt;1,INDEX(挂机升级突破!$Z$35:$AD$55,卡牌消耗!L138,INDEX(挂机升级突破!$W$35:$W$55,卡牌消耗!L138)),"")</f>
        <v>65</v>
      </c>
      <c r="R138" s="16" t="str">
        <f>IF(INDEX(挂机升级突破!$X$35:$X$55,卡牌消耗!L138)&gt;0,INDEX($G$2:$I$2,INDEX(挂机升级突破!$X$35:$X$55,卡牌消耗!L138))&amp;M138,"")</f>
        <v>高级蓝</v>
      </c>
      <c r="S138" s="16">
        <f>IF(R138="","",INDEX(挂机升级突破!$AE$35:$AG$55,卡牌消耗!L138,INDEX(挂机升级突破!$X$35:$X$55,卡牌消耗!L138)))</f>
        <v>125</v>
      </c>
      <c r="T138" s="16" t="str">
        <f>IF(INDEX(挂机升级突破!$Y$35:$Y$55,卡牌消耗!L138)&gt;0,"灵玉","")</f>
        <v>灵玉</v>
      </c>
      <c r="U138" s="16">
        <f>IF(INDEX(挂机升级突破!$Y$35:$Y$55,卡牌消耗!L138)&gt;0,INDEX(挂机升级突破!$AH$35:$AH$55,卡牌消耗!L138),"")</f>
        <v>35</v>
      </c>
    </row>
    <row r="139" spans="9:21" ht="16.5" x14ac:dyDescent="0.2">
      <c r="I139" s="36">
        <v>103</v>
      </c>
      <c r="J139" s="16">
        <f t="shared" si="6"/>
        <v>1102005</v>
      </c>
      <c r="K139" s="16">
        <f t="shared" si="7"/>
        <v>3</v>
      </c>
      <c r="L139" s="16">
        <f t="shared" si="9"/>
        <v>19</v>
      </c>
      <c r="M139" s="16" t="str">
        <f t="shared" si="8"/>
        <v>蓝</v>
      </c>
      <c r="N139" s="16" t="str">
        <f t="shared" si="10"/>
        <v>金币</v>
      </c>
      <c r="O139" s="16">
        <f>IF(L139&gt;1,INDEX(挂机升级突破!$AI$35:$AI$55,卡牌消耗!L139),"")</f>
        <v>142500</v>
      </c>
      <c r="P139" s="16" t="str">
        <f>IF(L139&gt;1,INDEX(价值概述!$A$4:$A$8,INDEX(挂机升级突破!$W$35:$W$55,卡牌消耗!L139)),"")</f>
        <v>红色基础材料</v>
      </c>
      <c r="Q139" s="16">
        <f>IF(L139&gt;1,INDEX(挂机升级突破!$Z$35:$AD$55,卡牌消耗!L139,INDEX(挂机升级突破!$W$35:$W$55,卡牌消耗!L139)),"")</f>
        <v>90</v>
      </c>
      <c r="R139" s="16" t="str">
        <f>IF(INDEX(挂机升级突破!$X$35:$X$55,卡牌消耗!L139)&gt;0,INDEX($G$2:$I$2,INDEX(挂机升级突破!$X$35:$X$55,卡牌消耗!L139))&amp;M139,"")</f>
        <v>高级蓝</v>
      </c>
      <c r="S139" s="16">
        <f>IF(R139="","",INDEX(挂机升级突破!$AE$35:$AG$55,卡牌消耗!L139,INDEX(挂机升级突破!$X$35:$X$55,卡牌消耗!L139)))</f>
        <v>155</v>
      </c>
      <c r="T139" s="16" t="str">
        <f>IF(INDEX(挂机升级突破!$Y$35:$Y$55,卡牌消耗!L139)&gt;0,"灵玉","")</f>
        <v>灵玉</v>
      </c>
      <c r="U139" s="16">
        <f>IF(INDEX(挂机升级突破!$Y$35:$Y$55,卡牌消耗!L139)&gt;0,INDEX(挂机升级突破!$AH$35:$AH$55,卡牌消耗!L139),"")</f>
        <v>50</v>
      </c>
    </row>
    <row r="140" spans="9:21" ht="16.5" x14ac:dyDescent="0.2">
      <c r="I140" s="36">
        <v>104</v>
      </c>
      <c r="J140" s="16">
        <f t="shared" si="6"/>
        <v>1102005</v>
      </c>
      <c r="K140" s="16">
        <f t="shared" si="7"/>
        <v>3</v>
      </c>
      <c r="L140" s="16">
        <f t="shared" si="9"/>
        <v>20</v>
      </c>
      <c r="M140" s="16" t="str">
        <f t="shared" si="8"/>
        <v>蓝</v>
      </c>
      <c r="N140" s="16" t="str">
        <f t="shared" si="10"/>
        <v>金币</v>
      </c>
      <c r="O140" s="16">
        <f>IF(L140&gt;1,INDEX(挂机升级突破!$AI$35:$AI$55,卡牌消耗!L140),"")</f>
        <v>178500</v>
      </c>
      <c r="P140" s="16" t="str">
        <f>IF(L140&gt;1,INDEX(价值概述!$A$4:$A$8,INDEX(挂机升级突破!$W$35:$W$55,卡牌消耗!L140)),"")</f>
        <v>红色基础材料</v>
      </c>
      <c r="Q140" s="16">
        <f>IF(L140&gt;1,INDEX(挂机升级突破!$Z$35:$AD$55,卡牌消耗!L140,INDEX(挂机升级突破!$W$35:$W$55,卡牌消耗!L140)),"")</f>
        <v>110</v>
      </c>
      <c r="R140" s="16" t="str">
        <f>IF(INDEX(挂机升级突破!$X$35:$X$55,卡牌消耗!L140)&gt;0,INDEX($G$2:$I$2,INDEX(挂机升级突破!$X$35:$X$55,卡牌消耗!L140))&amp;M140,"")</f>
        <v>高级蓝</v>
      </c>
      <c r="S140" s="16">
        <f>IF(R140="","",INDEX(挂机升级突破!$AE$35:$AG$55,卡牌消耗!L140,INDEX(挂机升级突破!$X$35:$X$55,卡牌消耗!L140)))</f>
        <v>180</v>
      </c>
      <c r="T140" s="16" t="str">
        <f>IF(INDEX(挂机升级突破!$Y$35:$Y$55,卡牌消耗!L140)&gt;0,"灵玉","")</f>
        <v>灵玉</v>
      </c>
      <c r="U140" s="16">
        <f>IF(INDEX(挂机升级突破!$Y$35:$Y$55,卡牌消耗!L140)&gt;0,INDEX(挂机升级突破!$AH$35:$AH$55,卡牌消耗!L140),"")</f>
        <v>65</v>
      </c>
    </row>
    <row r="141" spans="9:21" ht="16.5" x14ac:dyDescent="0.2">
      <c r="I141" s="36">
        <v>105</v>
      </c>
      <c r="J141" s="16">
        <f t="shared" si="6"/>
        <v>1102005</v>
      </c>
      <c r="K141" s="16">
        <f t="shared" si="7"/>
        <v>3</v>
      </c>
      <c r="L141" s="16">
        <f t="shared" si="9"/>
        <v>21</v>
      </c>
      <c r="M141" s="16" t="str">
        <f t="shared" si="8"/>
        <v>蓝</v>
      </c>
      <c r="N141" s="16" t="str">
        <f t="shared" si="10"/>
        <v>金币</v>
      </c>
      <c r="O141" s="16">
        <f>IF(L141&gt;1,INDEX(挂机升级突破!$AI$35:$AI$55,卡牌消耗!L141),"")</f>
        <v>214000</v>
      </c>
      <c r="P141" s="16" t="str">
        <f>IF(L141&gt;1,INDEX(价值概述!$A$4:$A$8,INDEX(挂机升级突破!$W$35:$W$55,卡牌消耗!L141)),"")</f>
        <v>红色基础材料</v>
      </c>
      <c r="Q141" s="16">
        <f>IF(L141&gt;1,INDEX(挂机升级突破!$Z$35:$AD$55,卡牌消耗!L141,INDEX(挂机升级突破!$W$35:$W$55,卡牌消耗!L141)),"")</f>
        <v>135</v>
      </c>
      <c r="R141" s="16" t="str">
        <f>IF(INDEX(挂机升级突破!$X$35:$X$55,卡牌消耗!L141)&gt;0,INDEX($G$2:$I$2,INDEX(挂机升级突破!$X$35:$X$55,卡牌消耗!L141))&amp;M141,"")</f>
        <v>高级蓝</v>
      </c>
      <c r="S141" s="16">
        <f>IF(R141="","",INDEX(挂机升级突破!$AE$35:$AG$55,卡牌消耗!L141,INDEX(挂机升级突破!$X$35:$X$55,卡牌消耗!L141)))</f>
        <v>225</v>
      </c>
      <c r="T141" s="16" t="str">
        <f>IF(INDEX(挂机升级突破!$Y$35:$Y$55,卡牌消耗!L141)&gt;0,"灵玉","")</f>
        <v>灵玉</v>
      </c>
      <c r="U141" s="16">
        <f>IF(INDEX(挂机升级突破!$Y$35:$Y$55,卡牌消耗!L141)&gt;0,INDEX(挂机升级突破!$AH$35:$AH$55,卡牌消耗!L141),"")</f>
        <v>75</v>
      </c>
    </row>
    <row r="142" spans="9:21" ht="16.5" x14ac:dyDescent="0.2">
      <c r="I142" s="36">
        <v>106</v>
      </c>
      <c r="J142" s="16">
        <f t="shared" si="6"/>
        <v>1102006</v>
      </c>
      <c r="K142" s="16">
        <f t="shared" si="7"/>
        <v>4</v>
      </c>
      <c r="L142" s="16">
        <f t="shared" si="9"/>
        <v>1</v>
      </c>
      <c r="M142" s="16" t="str">
        <f t="shared" si="8"/>
        <v>黄</v>
      </c>
      <c r="N142" s="16" t="str">
        <f t="shared" si="10"/>
        <v/>
      </c>
      <c r="O142" s="16" t="str">
        <f>IF(L142&gt;1,INDEX(挂机升级突破!$AI$35:$AI$55,卡牌消耗!L142),"")</f>
        <v/>
      </c>
      <c r="P142" s="16" t="str">
        <f>IF(L142&gt;1,INDEX(价值概述!$A$4:$A$8,INDEX(挂机升级突破!$W$35:$W$55,卡牌消耗!L142)),"")</f>
        <v/>
      </c>
      <c r="Q142" s="16" t="str">
        <f>IF(L142&gt;1,INDEX(挂机升级突破!$Z$35:$AD$55,卡牌消耗!L142,INDEX(挂机升级突破!$W$35:$W$55,卡牌消耗!L142)),"")</f>
        <v/>
      </c>
      <c r="R142" s="16" t="str">
        <f>IF(INDEX(挂机升级突破!$X$35:$X$55,卡牌消耗!L142)&gt;0,INDEX($G$2:$I$2,INDEX(挂机升级突破!$X$35:$X$55,卡牌消耗!L142))&amp;M142,"")</f>
        <v/>
      </c>
      <c r="S142" s="16" t="str">
        <f>IF(R142="","",INDEX(挂机升级突破!$AE$35:$AG$55,卡牌消耗!L142,INDEX(挂机升级突破!$X$35:$X$55,卡牌消耗!L142)))</f>
        <v/>
      </c>
      <c r="T142" s="16" t="str">
        <f>IF(INDEX(挂机升级突破!$Y$35:$Y$55,卡牌消耗!L142)&gt;0,"灵玉","")</f>
        <v/>
      </c>
      <c r="U142" s="16" t="str">
        <f>IF(INDEX(挂机升级突破!$Y$35:$Y$55,卡牌消耗!L142)&gt;0,INDEX(挂机升级突破!$AH$35:$AH$55,卡牌消耗!L142),"")</f>
        <v/>
      </c>
    </row>
    <row r="143" spans="9:21" ht="16.5" x14ac:dyDescent="0.2">
      <c r="I143" s="36">
        <v>107</v>
      </c>
      <c r="J143" s="16">
        <f t="shared" si="6"/>
        <v>1102006</v>
      </c>
      <c r="K143" s="16">
        <f t="shared" si="7"/>
        <v>4</v>
      </c>
      <c r="L143" s="16">
        <f t="shared" si="9"/>
        <v>2</v>
      </c>
      <c r="M143" s="16" t="str">
        <f t="shared" si="8"/>
        <v>黄</v>
      </c>
      <c r="N143" s="16" t="str">
        <f t="shared" si="10"/>
        <v>金币</v>
      </c>
      <c r="O143" s="16">
        <f>IF(L143&gt;1,INDEX(挂机升级突破!$AI$35:$AI$55,卡牌消耗!L143),"")</f>
        <v>2500</v>
      </c>
      <c r="P143" s="16" t="str">
        <f>IF(L143&gt;1,INDEX(价值概述!$A$4:$A$8,INDEX(挂机升级突破!$W$35:$W$55,卡牌消耗!L143)),"")</f>
        <v>绿色基础材料</v>
      </c>
      <c r="Q143" s="16">
        <f>IF(L143&gt;1,INDEX(挂机升级突破!$Z$35:$AD$55,卡牌消耗!L143,INDEX(挂机升级突破!$W$35:$W$55,卡牌消耗!L143)),"")</f>
        <v>40</v>
      </c>
      <c r="R143" s="16" t="str">
        <f>IF(INDEX(挂机升级突破!$X$35:$X$55,卡牌消耗!L143)&gt;0,INDEX($G$2:$I$2,INDEX(挂机升级突破!$X$35:$X$55,卡牌消耗!L143))&amp;M143,"")</f>
        <v/>
      </c>
      <c r="S143" s="16" t="str">
        <f>IF(R143="","",INDEX(挂机升级突破!$AE$35:$AG$55,卡牌消耗!L143,INDEX(挂机升级突破!$X$35:$X$55,卡牌消耗!L143)))</f>
        <v/>
      </c>
      <c r="T143" s="16" t="str">
        <f>IF(INDEX(挂机升级突破!$Y$35:$Y$55,卡牌消耗!L143)&gt;0,"灵玉","")</f>
        <v/>
      </c>
      <c r="U143" s="16" t="str">
        <f>IF(INDEX(挂机升级突破!$Y$35:$Y$55,卡牌消耗!L143)&gt;0,INDEX(挂机升级突破!$AH$35:$AH$55,卡牌消耗!L143),"")</f>
        <v/>
      </c>
    </row>
    <row r="144" spans="9:21" ht="16.5" x14ac:dyDescent="0.2">
      <c r="I144" s="36">
        <v>108</v>
      </c>
      <c r="J144" s="16">
        <f t="shared" si="6"/>
        <v>1102006</v>
      </c>
      <c r="K144" s="16">
        <f t="shared" si="7"/>
        <v>4</v>
      </c>
      <c r="L144" s="16">
        <f t="shared" si="9"/>
        <v>3</v>
      </c>
      <c r="M144" s="16" t="str">
        <f t="shared" si="8"/>
        <v>黄</v>
      </c>
      <c r="N144" s="16" t="str">
        <f t="shared" si="10"/>
        <v>金币</v>
      </c>
      <c r="O144" s="16">
        <f>IF(L144&gt;1,INDEX(挂机升级突破!$AI$35:$AI$55,卡牌消耗!L144),"")</f>
        <v>8500</v>
      </c>
      <c r="P144" s="16" t="str">
        <f>IF(L144&gt;1,INDEX(价值概述!$A$4:$A$8,INDEX(挂机升级突破!$W$35:$W$55,卡牌消耗!L144)),"")</f>
        <v>绿色基础材料</v>
      </c>
      <c r="Q144" s="16">
        <f>IF(L144&gt;1,INDEX(挂机升级突破!$Z$35:$AD$55,卡牌消耗!L144,INDEX(挂机升级突破!$W$35:$W$55,卡牌消耗!L144)),"")</f>
        <v>120</v>
      </c>
      <c r="R144" s="16" t="str">
        <f>IF(INDEX(挂机升级突破!$X$35:$X$55,卡牌消耗!L144)&gt;0,INDEX($G$2:$I$2,INDEX(挂机升级突破!$X$35:$X$55,卡牌消耗!L144))&amp;M144,"")</f>
        <v/>
      </c>
      <c r="S144" s="16" t="str">
        <f>IF(R144="","",INDEX(挂机升级突破!$AE$35:$AG$55,卡牌消耗!L144,INDEX(挂机升级突破!$X$35:$X$55,卡牌消耗!L144)))</f>
        <v/>
      </c>
      <c r="T144" s="16" t="str">
        <f>IF(INDEX(挂机升级突破!$Y$35:$Y$55,卡牌消耗!L144)&gt;0,"灵玉","")</f>
        <v/>
      </c>
      <c r="U144" s="16" t="str">
        <f>IF(INDEX(挂机升级突破!$Y$35:$Y$55,卡牌消耗!L144)&gt;0,INDEX(挂机升级突破!$AH$35:$AH$55,卡牌消耗!L144),"")</f>
        <v/>
      </c>
    </row>
    <row r="145" spans="9:21" ht="16.5" x14ac:dyDescent="0.2">
      <c r="I145" s="36">
        <v>109</v>
      </c>
      <c r="J145" s="16">
        <f t="shared" si="6"/>
        <v>1102006</v>
      </c>
      <c r="K145" s="16">
        <f t="shared" si="7"/>
        <v>4</v>
      </c>
      <c r="L145" s="16">
        <f t="shared" si="9"/>
        <v>4</v>
      </c>
      <c r="M145" s="16" t="str">
        <f t="shared" si="8"/>
        <v>黄</v>
      </c>
      <c r="N145" s="16" t="str">
        <f t="shared" si="10"/>
        <v>金币</v>
      </c>
      <c r="O145" s="16">
        <f>IF(L145&gt;1,INDEX(挂机升级突破!$AI$35:$AI$55,卡牌消耗!L145),"")</f>
        <v>17000</v>
      </c>
      <c r="P145" s="16" t="str">
        <f>IF(L145&gt;1,INDEX(价值概述!$A$4:$A$8,INDEX(挂机升级突破!$W$35:$W$55,卡牌消耗!L145)),"")</f>
        <v>绿色基础材料</v>
      </c>
      <c r="Q145" s="16">
        <f>IF(L145&gt;1,INDEX(挂机升级突破!$Z$35:$AD$55,卡牌消耗!L145,INDEX(挂机升级突破!$W$35:$W$55,卡牌消耗!L145)),"")</f>
        <v>240</v>
      </c>
      <c r="R145" s="16" t="str">
        <f>IF(INDEX(挂机升级突破!$X$35:$X$55,卡牌消耗!L145)&gt;0,INDEX($G$2:$I$2,INDEX(挂机升级突破!$X$35:$X$55,卡牌消耗!L145))&amp;M145,"")</f>
        <v>初级黄</v>
      </c>
      <c r="S145" s="16">
        <f>IF(R145="","",INDEX(挂机升级突破!$AE$35:$AG$55,卡牌消耗!L145,INDEX(挂机升级突破!$X$35:$X$55,卡牌消耗!L145)))</f>
        <v>130</v>
      </c>
      <c r="T145" s="16" t="str">
        <f>IF(INDEX(挂机升级突破!$Y$35:$Y$55,卡牌消耗!L145)&gt;0,"灵玉","")</f>
        <v/>
      </c>
      <c r="U145" s="16" t="str">
        <f>IF(INDEX(挂机升级突破!$Y$35:$Y$55,卡牌消耗!L145)&gt;0,INDEX(挂机升级突破!$AH$35:$AH$55,卡牌消耗!L145),"")</f>
        <v/>
      </c>
    </row>
    <row r="146" spans="9:21" ht="16.5" x14ac:dyDescent="0.2">
      <c r="I146" s="36">
        <v>110</v>
      </c>
      <c r="J146" s="16">
        <f t="shared" si="6"/>
        <v>1102006</v>
      </c>
      <c r="K146" s="16">
        <f t="shared" si="7"/>
        <v>4</v>
      </c>
      <c r="L146" s="16">
        <f t="shared" si="9"/>
        <v>5</v>
      </c>
      <c r="M146" s="16" t="str">
        <f t="shared" si="8"/>
        <v>黄</v>
      </c>
      <c r="N146" s="16" t="str">
        <f t="shared" si="10"/>
        <v>金币</v>
      </c>
      <c r="O146" s="16">
        <f>IF(L146&gt;1,INDEX(挂机升级突破!$AI$35:$AI$55,卡牌消耗!L146),"")</f>
        <v>10500</v>
      </c>
      <c r="P146" s="16" t="str">
        <f>IF(L146&gt;1,INDEX(价值概述!$A$4:$A$8,INDEX(挂机升级突破!$W$35:$W$55,卡牌消耗!L146)),"")</f>
        <v>蓝色基础材料</v>
      </c>
      <c r="Q146" s="16">
        <f>IF(L146&gt;1,INDEX(挂机升级突破!$Z$35:$AD$55,卡牌消耗!L146,INDEX(挂机升级突破!$W$35:$W$55,卡牌消耗!L146)),"")</f>
        <v>85</v>
      </c>
      <c r="R146" s="16" t="str">
        <f>IF(INDEX(挂机升级突破!$X$35:$X$55,卡牌消耗!L146)&gt;0,INDEX($G$2:$I$2,INDEX(挂机升级突破!$X$35:$X$55,卡牌消耗!L146))&amp;M146,"")</f>
        <v>初级黄</v>
      </c>
      <c r="S146" s="16">
        <f>IF(R146="","",INDEX(挂机升级突破!$AE$35:$AG$55,卡牌消耗!L146,INDEX(挂机升级突破!$X$35:$X$55,卡牌消耗!L146)))</f>
        <v>160</v>
      </c>
      <c r="T146" s="16" t="str">
        <f>IF(INDEX(挂机升级突破!$Y$35:$Y$55,卡牌消耗!L146)&gt;0,"灵玉","")</f>
        <v/>
      </c>
      <c r="U146" s="16" t="str">
        <f>IF(INDEX(挂机升级突破!$Y$35:$Y$55,卡牌消耗!L146)&gt;0,INDEX(挂机升级突破!$AH$35:$AH$55,卡牌消耗!L146),"")</f>
        <v/>
      </c>
    </row>
    <row r="147" spans="9:21" ht="16.5" x14ac:dyDescent="0.2">
      <c r="I147" s="36">
        <v>111</v>
      </c>
      <c r="J147" s="16">
        <f t="shared" si="6"/>
        <v>1102006</v>
      </c>
      <c r="K147" s="16">
        <f t="shared" si="7"/>
        <v>4</v>
      </c>
      <c r="L147" s="16">
        <f t="shared" si="9"/>
        <v>6</v>
      </c>
      <c r="M147" s="16" t="str">
        <f t="shared" si="8"/>
        <v>黄</v>
      </c>
      <c r="N147" s="16" t="str">
        <f t="shared" si="10"/>
        <v>金币</v>
      </c>
      <c r="O147" s="16">
        <f>IF(L147&gt;1,INDEX(挂机升级突破!$AI$35:$AI$55,卡牌消耗!L147),"")</f>
        <v>25000</v>
      </c>
      <c r="P147" s="16" t="str">
        <f>IF(L147&gt;1,INDEX(价值概述!$A$4:$A$8,INDEX(挂机升级突破!$W$35:$W$55,卡牌消耗!L147)),"")</f>
        <v>蓝色基础材料</v>
      </c>
      <c r="Q147" s="16">
        <f>IF(L147&gt;1,INDEX(挂机升级突破!$Z$35:$AD$55,卡牌消耗!L147,INDEX(挂机升级突破!$W$35:$W$55,卡牌消耗!L147)),"")</f>
        <v>145</v>
      </c>
      <c r="R147" s="16" t="str">
        <f>IF(INDEX(挂机升级突破!$X$35:$X$55,卡牌消耗!L147)&gt;0,INDEX($G$2:$I$2,INDEX(挂机升级突破!$X$35:$X$55,卡牌消耗!L147))&amp;M147,"")</f>
        <v>初级黄</v>
      </c>
      <c r="S147" s="16">
        <f>IF(R147="","",INDEX(挂机升级突破!$AE$35:$AG$55,卡牌消耗!L147,INDEX(挂机升级突破!$X$35:$X$55,卡牌消耗!L147)))</f>
        <v>175</v>
      </c>
      <c r="T147" s="16" t="str">
        <f>IF(INDEX(挂机升级突破!$Y$35:$Y$55,卡牌消耗!L147)&gt;0,"灵玉","")</f>
        <v/>
      </c>
      <c r="U147" s="16" t="str">
        <f>IF(INDEX(挂机升级突破!$Y$35:$Y$55,卡牌消耗!L147)&gt;0,INDEX(挂机升级突破!$AH$35:$AH$55,卡牌消耗!L147),"")</f>
        <v/>
      </c>
    </row>
    <row r="148" spans="9:21" ht="16.5" x14ac:dyDescent="0.2">
      <c r="I148" s="36">
        <v>112</v>
      </c>
      <c r="J148" s="16">
        <f t="shared" si="6"/>
        <v>1102006</v>
      </c>
      <c r="K148" s="16">
        <f t="shared" si="7"/>
        <v>4</v>
      </c>
      <c r="L148" s="16">
        <f t="shared" si="9"/>
        <v>7</v>
      </c>
      <c r="M148" s="16" t="str">
        <f t="shared" si="8"/>
        <v>黄</v>
      </c>
      <c r="N148" s="16" t="str">
        <f t="shared" si="10"/>
        <v>金币</v>
      </c>
      <c r="O148" s="16">
        <f>IF(L148&gt;1,INDEX(挂机升级突破!$AI$35:$AI$55,卡牌消耗!L148),"")</f>
        <v>28000</v>
      </c>
      <c r="P148" s="16" t="str">
        <f>IF(L148&gt;1,INDEX(价值概述!$A$4:$A$8,INDEX(挂机升级突破!$W$35:$W$55,卡牌消耗!L148)),"")</f>
        <v>蓝色基础材料</v>
      </c>
      <c r="Q148" s="16">
        <f>IF(L148&gt;1,INDEX(挂机升级突破!$Z$35:$AD$55,卡牌消耗!L148,INDEX(挂机升级突破!$W$35:$W$55,卡牌消耗!L148)),"")</f>
        <v>185</v>
      </c>
      <c r="R148" s="16" t="str">
        <f>IF(INDEX(挂机升级突破!$X$35:$X$55,卡牌消耗!L148)&gt;0,INDEX($G$2:$I$2,INDEX(挂机升级突破!$X$35:$X$55,卡牌消耗!L148))&amp;M148,"")</f>
        <v>初级黄</v>
      </c>
      <c r="S148" s="16">
        <f>IF(R148="","",INDEX(挂机升级突破!$AE$35:$AG$55,卡牌消耗!L148,INDEX(挂机升级突破!$X$35:$X$55,卡牌消耗!L148)))</f>
        <v>190</v>
      </c>
      <c r="T148" s="16" t="str">
        <f>IF(INDEX(挂机升级突破!$Y$35:$Y$55,卡牌消耗!L148)&gt;0,"灵玉","")</f>
        <v/>
      </c>
      <c r="U148" s="16" t="str">
        <f>IF(INDEX(挂机升级突破!$Y$35:$Y$55,卡牌消耗!L148)&gt;0,INDEX(挂机升级突破!$AH$35:$AH$55,卡牌消耗!L148),"")</f>
        <v/>
      </c>
    </row>
    <row r="149" spans="9:21" ht="16.5" x14ac:dyDescent="0.2">
      <c r="I149" s="36">
        <v>113</v>
      </c>
      <c r="J149" s="16">
        <f t="shared" si="6"/>
        <v>1102006</v>
      </c>
      <c r="K149" s="16">
        <f t="shared" si="7"/>
        <v>4</v>
      </c>
      <c r="L149" s="16">
        <f t="shared" si="9"/>
        <v>8</v>
      </c>
      <c r="M149" s="16" t="str">
        <f t="shared" si="8"/>
        <v>黄</v>
      </c>
      <c r="N149" s="16" t="str">
        <f t="shared" si="10"/>
        <v>金币</v>
      </c>
      <c r="O149" s="16">
        <f>IF(L149&gt;1,INDEX(挂机升级突破!$AI$35:$AI$55,卡牌消耗!L149),"")</f>
        <v>31000</v>
      </c>
      <c r="P149" s="16" t="str">
        <f>IF(L149&gt;1,INDEX(价值概述!$A$4:$A$8,INDEX(挂机升级突破!$W$35:$W$55,卡牌消耗!L149)),"")</f>
        <v>蓝色基础材料</v>
      </c>
      <c r="Q149" s="16">
        <f>IF(L149&gt;1,INDEX(挂机升级突破!$Z$35:$AD$55,卡牌消耗!L149,INDEX(挂机升级突破!$W$35:$W$55,卡牌消耗!L149)),"")</f>
        <v>220</v>
      </c>
      <c r="R149" s="16" t="str">
        <f>IF(INDEX(挂机升级突破!$X$35:$X$55,卡牌消耗!L149)&gt;0,INDEX($G$2:$I$2,INDEX(挂机升级突破!$X$35:$X$55,卡牌消耗!L149))&amp;M149,"")</f>
        <v>初级黄</v>
      </c>
      <c r="S149" s="16">
        <f>IF(R149="","",INDEX(挂机升级突破!$AE$35:$AG$55,卡牌消耗!L149,INDEX(挂机升级突破!$X$35:$X$55,卡牌消耗!L149)))</f>
        <v>200</v>
      </c>
      <c r="T149" s="16" t="str">
        <f>IF(INDEX(挂机升级突破!$Y$35:$Y$55,卡牌消耗!L149)&gt;0,"灵玉","")</f>
        <v/>
      </c>
      <c r="U149" s="16" t="str">
        <f>IF(INDEX(挂机升级突破!$Y$35:$Y$55,卡牌消耗!L149)&gt;0,INDEX(挂机升级突破!$AH$35:$AH$55,卡牌消耗!L149),"")</f>
        <v/>
      </c>
    </row>
    <row r="150" spans="9:21" ht="16.5" x14ac:dyDescent="0.2">
      <c r="I150" s="36">
        <v>114</v>
      </c>
      <c r="J150" s="16">
        <f t="shared" si="6"/>
        <v>1102006</v>
      </c>
      <c r="K150" s="16">
        <f t="shared" si="7"/>
        <v>4</v>
      </c>
      <c r="L150" s="16">
        <f t="shared" si="9"/>
        <v>9</v>
      </c>
      <c r="M150" s="16" t="str">
        <f t="shared" si="8"/>
        <v>黄</v>
      </c>
      <c r="N150" s="16" t="str">
        <f t="shared" si="10"/>
        <v>金币</v>
      </c>
      <c r="O150" s="16">
        <f>IF(L150&gt;1,INDEX(挂机升级突破!$AI$35:$AI$55,卡牌消耗!L150),"")</f>
        <v>24000</v>
      </c>
      <c r="P150" s="16" t="str">
        <f>IF(L150&gt;1,INDEX(价值概述!$A$4:$A$8,INDEX(挂机升级突破!$W$35:$W$55,卡牌消耗!L150)),"")</f>
        <v>紫色基础材料</v>
      </c>
      <c r="Q150" s="16">
        <f>IF(L150&gt;1,INDEX(挂机升级突破!$Z$35:$AD$55,卡牌消耗!L150,INDEX(挂机升级突破!$W$35:$W$55,卡牌消耗!L150)),"")</f>
        <v>95</v>
      </c>
      <c r="R150" s="16" t="str">
        <f>IF(INDEX(挂机升级突破!$X$35:$X$55,卡牌消耗!L150)&gt;0,INDEX($G$2:$I$2,INDEX(挂机升级突破!$X$35:$X$55,卡牌消耗!L150))&amp;M150,"")</f>
        <v>中级黄</v>
      </c>
      <c r="S150" s="16">
        <f>IF(R150="","",INDEX(挂机升级突破!$AE$35:$AG$55,卡牌消耗!L150,INDEX(挂机升级突破!$X$35:$X$55,卡牌消耗!L150)))</f>
        <v>80</v>
      </c>
      <c r="T150" s="16" t="str">
        <f>IF(INDEX(挂机升级突破!$Y$35:$Y$55,卡牌消耗!L150)&gt;0,"灵玉","")</f>
        <v/>
      </c>
      <c r="U150" s="16" t="str">
        <f>IF(INDEX(挂机升级突破!$Y$35:$Y$55,卡牌消耗!L150)&gt;0,INDEX(挂机升级突破!$AH$35:$AH$55,卡牌消耗!L150),"")</f>
        <v/>
      </c>
    </row>
    <row r="151" spans="9:21" ht="16.5" x14ac:dyDescent="0.2">
      <c r="I151" s="36">
        <v>115</v>
      </c>
      <c r="J151" s="16">
        <f t="shared" si="6"/>
        <v>1102006</v>
      </c>
      <c r="K151" s="16">
        <f t="shared" si="7"/>
        <v>4</v>
      </c>
      <c r="L151" s="16">
        <f t="shared" si="9"/>
        <v>10</v>
      </c>
      <c r="M151" s="16" t="str">
        <f t="shared" si="8"/>
        <v>黄</v>
      </c>
      <c r="N151" s="16" t="str">
        <f t="shared" si="10"/>
        <v>金币</v>
      </c>
      <c r="O151" s="16">
        <f>IF(L151&gt;1,INDEX(挂机升级突破!$AI$35:$AI$55,卡牌消耗!L151),"")</f>
        <v>26500</v>
      </c>
      <c r="P151" s="16" t="str">
        <f>IF(L151&gt;1,INDEX(价值概述!$A$4:$A$8,INDEX(挂机升级突破!$W$35:$W$55,卡牌消耗!L151)),"")</f>
        <v>紫色基础材料</v>
      </c>
      <c r="Q151" s="16">
        <f>IF(L151&gt;1,INDEX(挂机升级突破!$Z$35:$AD$55,卡牌消耗!L151,INDEX(挂机升级突破!$W$35:$W$55,卡牌消耗!L151)),"")</f>
        <v>175</v>
      </c>
      <c r="R151" s="16" t="str">
        <f>IF(INDEX(挂机升级突破!$X$35:$X$55,卡牌消耗!L151)&gt;0,INDEX($G$2:$I$2,INDEX(挂机升级突破!$X$35:$X$55,卡牌消耗!L151))&amp;M151,"")</f>
        <v>中级黄</v>
      </c>
      <c r="S151" s="16">
        <f>IF(R151="","",INDEX(挂机升级突破!$AE$35:$AG$55,卡牌消耗!L151,INDEX(挂机升级突破!$X$35:$X$55,卡牌消耗!L151)))</f>
        <v>120</v>
      </c>
      <c r="T151" s="16" t="str">
        <f>IF(INDEX(挂机升级突破!$Y$35:$Y$55,卡牌消耗!L151)&gt;0,"灵玉","")</f>
        <v/>
      </c>
      <c r="U151" s="16" t="str">
        <f>IF(INDEX(挂机升级突破!$Y$35:$Y$55,卡牌消耗!L151)&gt;0,INDEX(挂机升级突破!$AH$35:$AH$55,卡牌消耗!L151),"")</f>
        <v/>
      </c>
    </row>
    <row r="152" spans="9:21" ht="16.5" x14ac:dyDescent="0.2">
      <c r="I152" s="36">
        <v>116</v>
      </c>
      <c r="J152" s="16">
        <f t="shared" si="6"/>
        <v>1102006</v>
      </c>
      <c r="K152" s="16">
        <f t="shared" si="7"/>
        <v>4</v>
      </c>
      <c r="L152" s="16">
        <f t="shared" si="9"/>
        <v>11</v>
      </c>
      <c r="M152" s="16" t="str">
        <f t="shared" si="8"/>
        <v>黄</v>
      </c>
      <c r="N152" s="16" t="str">
        <f t="shared" si="10"/>
        <v>金币</v>
      </c>
      <c r="O152" s="16">
        <f>IF(L152&gt;1,INDEX(挂机升级突破!$AI$35:$AI$55,卡牌消耗!L152),"")</f>
        <v>28500</v>
      </c>
      <c r="P152" s="16" t="str">
        <f>IF(L152&gt;1,INDEX(价值概述!$A$4:$A$8,INDEX(挂机升级突破!$W$35:$W$55,卡牌消耗!L152)),"")</f>
        <v>紫色基础材料</v>
      </c>
      <c r="Q152" s="16">
        <f>IF(L152&gt;1,INDEX(挂机升级突破!$Z$35:$AD$55,卡牌消耗!L152,INDEX(挂机升级突破!$W$35:$W$55,卡牌消耗!L152)),"")</f>
        <v>245</v>
      </c>
      <c r="R152" s="16" t="str">
        <f>IF(INDEX(挂机升级突破!$X$35:$X$55,卡牌消耗!L152)&gt;0,INDEX($G$2:$I$2,INDEX(挂机升级突破!$X$35:$X$55,卡牌消耗!L152))&amp;M152,"")</f>
        <v>中级黄</v>
      </c>
      <c r="S152" s="16">
        <f>IF(R152="","",INDEX(挂机升级突破!$AE$35:$AG$55,卡牌消耗!L152,INDEX(挂机升级突破!$X$35:$X$55,卡牌消耗!L152)))</f>
        <v>170</v>
      </c>
      <c r="T152" s="16" t="str">
        <f>IF(INDEX(挂机升级突破!$Y$35:$Y$55,卡牌消耗!L152)&gt;0,"灵玉","")</f>
        <v/>
      </c>
      <c r="U152" s="16" t="str">
        <f>IF(INDEX(挂机升级突破!$Y$35:$Y$55,卡牌消耗!L152)&gt;0,INDEX(挂机升级突破!$AH$35:$AH$55,卡牌消耗!L152),"")</f>
        <v/>
      </c>
    </row>
    <row r="153" spans="9:21" ht="16.5" x14ac:dyDescent="0.2">
      <c r="I153" s="36">
        <v>117</v>
      </c>
      <c r="J153" s="16">
        <f t="shared" si="6"/>
        <v>1102006</v>
      </c>
      <c r="K153" s="16">
        <f t="shared" si="7"/>
        <v>4</v>
      </c>
      <c r="L153" s="16">
        <f t="shared" si="9"/>
        <v>12</v>
      </c>
      <c r="M153" s="16" t="str">
        <f t="shared" si="8"/>
        <v>黄</v>
      </c>
      <c r="N153" s="16" t="str">
        <f t="shared" si="10"/>
        <v>金币</v>
      </c>
      <c r="O153" s="16">
        <f>IF(L153&gt;1,INDEX(挂机升级突破!$AI$35:$AI$55,卡牌消耗!L153),"")</f>
        <v>30500</v>
      </c>
      <c r="P153" s="16" t="str">
        <f>IF(L153&gt;1,INDEX(价值概述!$A$4:$A$8,INDEX(挂机升级突破!$W$35:$W$55,卡牌消耗!L153)),"")</f>
        <v>紫色基础材料</v>
      </c>
      <c r="Q153" s="16">
        <f>IF(L153&gt;1,INDEX(挂机升级突破!$Z$35:$AD$55,卡牌消耗!L153,INDEX(挂机升级突破!$W$35:$W$55,卡牌消耗!L153)),"")</f>
        <v>305</v>
      </c>
      <c r="R153" s="16" t="str">
        <f>IF(INDEX(挂机升级突破!$X$35:$X$55,卡牌消耗!L153)&gt;0,INDEX($G$2:$I$2,INDEX(挂机升级突破!$X$35:$X$55,卡牌消耗!L153))&amp;M153,"")</f>
        <v>中级黄</v>
      </c>
      <c r="S153" s="16">
        <f>IF(R153="","",INDEX(挂机升级突破!$AE$35:$AG$55,卡牌消耗!L153,INDEX(挂机升级突破!$X$35:$X$55,卡牌消耗!L153)))</f>
        <v>200</v>
      </c>
      <c r="T153" s="16" t="str">
        <f>IF(INDEX(挂机升级突破!$Y$35:$Y$55,卡牌消耗!L153)&gt;0,"灵玉","")</f>
        <v/>
      </c>
      <c r="U153" s="16" t="str">
        <f>IF(INDEX(挂机升级突破!$Y$35:$Y$55,卡牌消耗!L153)&gt;0,INDEX(挂机升级突破!$AH$35:$AH$55,卡牌消耗!L153),"")</f>
        <v/>
      </c>
    </row>
    <row r="154" spans="9:21" ht="16.5" x14ac:dyDescent="0.2">
      <c r="I154" s="36">
        <v>118</v>
      </c>
      <c r="J154" s="16">
        <f t="shared" si="6"/>
        <v>1102006</v>
      </c>
      <c r="K154" s="16">
        <f t="shared" si="7"/>
        <v>4</v>
      </c>
      <c r="L154" s="16">
        <f t="shared" si="9"/>
        <v>13</v>
      </c>
      <c r="M154" s="16" t="str">
        <f t="shared" si="8"/>
        <v>黄</v>
      </c>
      <c r="N154" s="16" t="str">
        <f t="shared" si="10"/>
        <v>金币</v>
      </c>
      <c r="O154" s="16">
        <f>IF(L154&gt;1,INDEX(挂机升级突破!$AI$35:$AI$55,卡牌消耗!L154),"")</f>
        <v>38500</v>
      </c>
      <c r="P154" s="16" t="str">
        <f>IF(L154&gt;1,INDEX(价值概述!$A$4:$A$8,INDEX(挂机升级突破!$W$35:$W$55,卡牌消耗!L154)),"")</f>
        <v>橙色基础材料</v>
      </c>
      <c r="Q154" s="16">
        <f>IF(L154&gt;1,INDEX(挂机升级突破!$Z$35:$AD$55,卡牌消耗!L154,INDEX(挂机升级突破!$W$35:$W$55,卡牌消耗!L154)),"")</f>
        <v>115</v>
      </c>
      <c r="R154" s="16" t="str">
        <f>IF(INDEX(挂机升级突破!$X$35:$X$55,卡牌消耗!L154)&gt;0,INDEX($G$2:$I$2,INDEX(挂机升级突破!$X$35:$X$55,卡牌消耗!L154))&amp;M154,"")</f>
        <v>中级黄</v>
      </c>
      <c r="S154" s="16">
        <f>IF(R154="","",INDEX(挂机升级突破!$AE$35:$AG$55,卡牌消耗!L154,INDEX(挂机升级突破!$X$35:$X$55,卡牌消耗!L154)))</f>
        <v>225</v>
      </c>
      <c r="T154" s="16" t="str">
        <f>IF(INDEX(挂机升级突破!$Y$35:$Y$55,卡牌消耗!L154)&gt;0,"灵玉","")</f>
        <v/>
      </c>
      <c r="U154" s="16" t="str">
        <f>IF(INDEX(挂机升级突破!$Y$35:$Y$55,卡牌消耗!L154)&gt;0,INDEX(挂机升级突破!$AH$35:$AH$55,卡牌消耗!L154),"")</f>
        <v/>
      </c>
    </row>
    <row r="155" spans="9:21" ht="16.5" x14ac:dyDescent="0.2">
      <c r="I155" s="36">
        <v>119</v>
      </c>
      <c r="J155" s="16">
        <f t="shared" si="6"/>
        <v>1102006</v>
      </c>
      <c r="K155" s="16">
        <f t="shared" si="7"/>
        <v>4</v>
      </c>
      <c r="L155" s="16">
        <f t="shared" si="9"/>
        <v>14</v>
      </c>
      <c r="M155" s="16" t="str">
        <f t="shared" si="8"/>
        <v>黄</v>
      </c>
      <c r="N155" s="16" t="str">
        <f t="shared" si="10"/>
        <v>金币</v>
      </c>
      <c r="O155" s="16">
        <f>IF(L155&gt;1,INDEX(挂机升级突破!$AI$35:$AI$55,卡牌消耗!L155),"")</f>
        <v>51000</v>
      </c>
      <c r="P155" s="16" t="str">
        <f>IF(L155&gt;1,INDEX(价值概述!$A$4:$A$8,INDEX(挂机升级突破!$W$35:$W$55,卡牌消耗!L155)),"")</f>
        <v>橙色基础材料</v>
      </c>
      <c r="Q155" s="16">
        <f>IF(L155&gt;1,INDEX(挂机升级突破!$Z$35:$AD$55,卡牌消耗!L155,INDEX(挂机升级突破!$W$35:$W$55,卡牌消耗!L155)),"")</f>
        <v>235</v>
      </c>
      <c r="R155" s="16" t="str">
        <f>IF(INDEX(挂机升级突破!$X$35:$X$55,卡牌消耗!L155)&gt;0,INDEX($G$2:$I$2,INDEX(挂机升级突破!$X$35:$X$55,卡牌消耗!L155))&amp;M155,"")</f>
        <v>中级黄</v>
      </c>
      <c r="S155" s="16">
        <f>IF(R155="","",INDEX(挂机升级突破!$AE$35:$AG$55,卡牌消耗!L155,INDEX(挂机升级突破!$X$35:$X$55,卡牌消耗!L155)))</f>
        <v>265</v>
      </c>
      <c r="T155" s="16" t="str">
        <f>IF(INDEX(挂机升级突破!$Y$35:$Y$55,卡牌消耗!L155)&gt;0,"灵玉","")</f>
        <v/>
      </c>
      <c r="U155" s="16" t="str">
        <f>IF(INDEX(挂机升级突破!$Y$35:$Y$55,卡牌消耗!L155)&gt;0,INDEX(挂机升级突破!$AH$35:$AH$55,卡牌消耗!L155),"")</f>
        <v/>
      </c>
    </row>
    <row r="156" spans="9:21" ht="16.5" x14ac:dyDescent="0.2">
      <c r="I156" s="36">
        <v>120</v>
      </c>
      <c r="J156" s="16">
        <f t="shared" si="6"/>
        <v>1102006</v>
      </c>
      <c r="K156" s="16">
        <f t="shared" si="7"/>
        <v>4</v>
      </c>
      <c r="L156" s="16">
        <f t="shared" si="9"/>
        <v>15</v>
      </c>
      <c r="M156" s="16" t="str">
        <f t="shared" si="8"/>
        <v>黄</v>
      </c>
      <c r="N156" s="16" t="str">
        <f t="shared" si="10"/>
        <v>金币</v>
      </c>
      <c r="O156" s="16">
        <f>IF(L156&gt;1,INDEX(挂机升级突破!$AI$35:$AI$55,卡牌消耗!L156),"")</f>
        <v>60000</v>
      </c>
      <c r="P156" s="16" t="str">
        <f>IF(L156&gt;1,INDEX(价值概述!$A$4:$A$8,INDEX(挂机升级突破!$W$35:$W$55,卡牌消耗!L156)),"")</f>
        <v>橙色基础材料</v>
      </c>
      <c r="Q156" s="16">
        <f>IF(L156&gt;1,INDEX(挂机升级突破!$Z$35:$AD$55,卡牌消耗!L156,INDEX(挂机升级突破!$W$35:$W$55,卡牌消耗!L156)),"")</f>
        <v>355</v>
      </c>
      <c r="R156" s="16" t="str">
        <f>IF(INDEX(挂机升级突破!$X$35:$X$55,卡牌消耗!L156)&gt;0,INDEX($G$2:$I$2,INDEX(挂机升级突破!$X$35:$X$55,卡牌消耗!L156))&amp;M156,"")</f>
        <v>高级黄</v>
      </c>
      <c r="S156" s="16">
        <f>IF(R156="","",INDEX(挂机升级突破!$AE$35:$AG$55,卡牌消耗!L156,INDEX(挂机升级突破!$X$35:$X$55,卡牌消耗!L156)))</f>
        <v>45</v>
      </c>
      <c r="T156" s="16" t="str">
        <f>IF(INDEX(挂机升级突破!$Y$35:$Y$55,卡牌消耗!L156)&gt;0,"灵玉","")</f>
        <v/>
      </c>
      <c r="U156" s="16" t="str">
        <f>IF(INDEX(挂机升级突破!$Y$35:$Y$55,卡牌消耗!L156)&gt;0,INDEX(挂机升级突破!$AH$35:$AH$55,卡牌消耗!L156),"")</f>
        <v/>
      </c>
    </row>
    <row r="157" spans="9:21" ht="16.5" x14ac:dyDescent="0.2">
      <c r="I157" s="36">
        <v>121</v>
      </c>
      <c r="J157" s="16">
        <f t="shared" si="6"/>
        <v>1102006</v>
      </c>
      <c r="K157" s="16">
        <f t="shared" si="7"/>
        <v>4</v>
      </c>
      <c r="L157" s="16">
        <f t="shared" si="9"/>
        <v>16</v>
      </c>
      <c r="M157" s="16" t="str">
        <f t="shared" si="8"/>
        <v>黄</v>
      </c>
      <c r="N157" s="16" t="str">
        <f t="shared" si="10"/>
        <v>金币</v>
      </c>
      <c r="O157" s="16">
        <f>IF(L157&gt;1,INDEX(挂机升级突破!$AI$35:$AI$55,卡牌消耗!L157),"")</f>
        <v>69000</v>
      </c>
      <c r="P157" s="16" t="str">
        <f>IF(L157&gt;1,INDEX(价值概述!$A$4:$A$8,INDEX(挂机升级突破!$W$35:$W$55,卡牌消耗!L157)),"")</f>
        <v>橙色基础材料</v>
      </c>
      <c r="Q157" s="16">
        <f>IF(L157&gt;1,INDEX(挂机升级突破!$Z$35:$AD$55,卡牌消耗!L157,INDEX(挂机升级突破!$W$35:$W$55,卡牌消耗!L157)),"")</f>
        <v>475</v>
      </c>
      <c r="R157" s="16" t="str">
        <f>IF(INDEX(挂机升级突破!$X$35:$X$55,卡牌消耗!L157)&gt;0,INDEX($G$2:$I$2,INDEX(挂机升级突破!$X$35:$X$55,卡牌消耗!L157))&amp;M157,"")</f>
        <v>高级黄</v>
      </c>
      <c r="S157" s="16">
        <f>IF(R157="","",INDEX(挂机升级突破!$AE$35:$AG$55,卡牌消耗!L157,INDEX(挂机升级突破!$X$35:$X$55,卡牌消耗!L157)))</f>
        <v>70</v>
      </c>
      <c r="T157" s="16" t="str">
        <f>IF(INDEX(挂机升级突破!$Y$35:$Y$55,卡牌消耗!L157)&gt;0,"灵玉","")</f>
        <v/>
      </c>
      <c r="U157" s="16" t="str">
        <f>IF(INDEX(挂机升级突破!$Y$35:$Y$55,卡牌消耗!L157)&gt;0,INDEX(挂机升级突破!$AH$35:$AH$55,卡牌消耗!L157),"")</f>
        <v/>
      </c>
    </row>
    <row r="158" spans="9:21" ht="16.5" x14ac:dyDescent="0.2">
      <c r="I158" s="36">
        <v>122</v>
      </c>
      <c r="J158" s="16">
        <f t="shared" si="6"/>
        <v>1102006</v>
      </c>
      <c r="K158" s="16">
        <f t="shared" si="7"/>
        <v>4</v>
      </c>
      <c r="L158" s="16">
        <f t="shared" si="9"/>
        <v>17</v>
      </c>
      <c r="M158" s="16" t="str">
        <f t="shared" si="8"/>
        <v>黄</v>
      </c>
      <c r="N158" s="16" t="str">
        <f t="shared" si="10"/>
        <v>金币</v>
      </c>
      <c r="O158" s="16">
        <f>IF(L158&gt;1,INDEX(挂机升级突破!$AI$35:$AI$55,卡牌消耗!L158),"")</f>
        <v>76500</v>
      </c>
      <c r="P158" s="16" t="str">
        <f>IF(L158&gt;1,INDEX(价值概述!$A$4:$A$8,INDEX(挂机升级突破!$W$35:$W$55,卡牌消耗!L158)),"")</f>
        <v>红色基础材料</v>
      </c>
      <c r="Q158" s="16">
        <f>IF(L158&gt;1,INDEX(挂机升级突破!$Z$35:$AD$55,卡牌消耗!L158,INDEX(挂机升级突破!$W$35:$W$55,卡牌消耗!L158)),"")</f>
        <v>45</v>
      </c>
      <c r="R158" s="16" t="str">
        <f>IF(INDEX(挂机升级突破!$X$35:$X$55,卡牌消耗!L158)&gt;0,INDEX($G$2:$I$2,INDEX(挂机升级突破!$X$35:$X$55,卡牌消耗!L158))&amp;M158,"")</f>
        <v>高级黄</v>
      </c>
      <c r="S158" s="16">
        <f>IF(R158="","",INDEX(挂机升级突破!$AE$35:$AG$55,卡牌消耗!L158,INDEX(挂机升级突破!$X$35:$X$55,卡牌消耗!L158)))</f>
        <v>100</v>
      </c>
      <c r="T158" s="16" t="str">
        <f>IF(INDEX(挂机升级突破!$Y$35:$Y$55,卡牌消耗!L158)&gt;0,"灵玉","")</f>
        <v>灵玉</v>
      </c>
      <c r="U158" s="16">
        <f>IF(INDEX(挂机升级突破!$Y$35:$Y$55,卡牌消耗!L158)&gt;0,INDEX(挂机升级突破!$AH$35:$AH$55,卡牌消耗!L158),"")</f>
        <v>25</v>
      </c>
    </row>
    <row r="159" spans="9:21" ht="16.5" x14ac:dyDescent="0.2">
      <c r="I159" s="36">
        <v>123</v>
      </c>
      <c r="J159" s="16">
        <f t="shared" si="6"/>
        <v>1102006</v>
      </c>
      <c r="K159" s="16">
        <f t="shared" si="7"/>
        <v>4</v>
      </c>
      <c r="L159" s="16">
        <f t="shared" si="9"/>
        <v>18</v>
      </c>
      <c r="M159" s="16" t="str">
        <f t="shared" si="8"/>
        <v>黄</v>
      </c>
      <c r="N159" s="16" t="str">
        <f t="shared" si="10"/>
        <v>金币</v>
      </c>
      <c r="O159" s="16">
        <f>IF(L159&gt;1,INDEX(挂机升级突破!$AI$35:$AI$55,卡牌消耗!L159),"")</f>
        <v>107000</v>
      </c>
      <c r="P159" s="16" t="str">
        <f>IF(L159&gt;1,INDEX(价值概述!$A$4:$A$8,INDEX(挂机升级突破!$W$35:$W$55,卡牌消耗!L159)),"")</f>
        <v>红色基础材料</v>
      </c>
      <c r="Q159" s="16">
        <f>IF(L159&gt;1,INDEX(挂机升级突破!$Z$35:$AD$55,卡牌消耗!L159,INDEX(挂机升级突破!$W$35:$W$55,卡牌消耗!L159)),"")</f>
        <v>65</v>
      </c>
      <c r="R159" s="16" t="str">
        <f>IF(INDEX(挂机升级突破!$X$35:$X$55,卡牌消耗!L159)&gt;0,INDEX($G$2:$I$2,INDEX(挂机升级突破!$X$35:$X$55,卡牌消耗!L159))&amp;M159,"")</f>
        <v>高级黄</v>
      </c>
      <c r="S159" s="16">
        <f>IF(R159="","",INDEX(挂机升级突破!$AE$35:$AG$55,卡牌消耗!L159,INDEX(挂机升级突破!$X$35:$X$55,卡牌消耗!L159)))</f>
        <v>125</v>
      </c>
      <c r="T159" s="16" t="str">
        <f>IF(INDEX(挂机升级突破!$Y$35:$Y$55,卡牌消耗!L159)&gt;0,"灵玉","")</f>
        <v>灵玉</v>
      </c>
      <c r="U159" s="16">
        <f>IF(INDEX(挂机升级突破!$Y$35:$Y$55,卡牌消耗!L159)&gt;0,INDEX(挂机升级突破!$AH$35:$AH$55,卡牌消耗!L159),"")</f>
        <v>35</v>
      </c>
    </row>
    <row r="160" spans="9:21" ht="16.5" x14ac:dyDescent="0.2">
      <c r="I160" s="36">
        <v>124</v>
      </c>
      <c r="J160" s="16">
        <f t="shared" si="6"/>
        <v>1102006</v>
      </c>
      <c r="K160" s="16">
        <f t="shared" si="7"/>
        <v>4</v>
      </c>
      <c r="L160" s="16">
        <f t="shared" si="9"/>
        <v>19</v>
      </c>
      <c r="M160" s="16" t="str">
        <f t="shared" si="8"/>
        <v>黄</v>
      </c>
      <c r="N160" s="16" t="str">
        <f t="shared" si="10"/>
        <v>金币</v>
      </c>
      <c r="O160" s="16">
        <f>IF(L160&gt;1,INDEX(挂机升级突破!$AI$35:$AI$55,卡牌消耗!L160),"")</f>
        <v>142500</v>
      </c>
      <c r="P160" s="16" t="str">
        <f>IF(L160&gt;1,INDEX(价值概述!$A$4:$A$8,INDEX(挂机升级突破!$W$35:$W$55,卡牌消耗!L160)),"")</f>
        <v>红色基础材料</v>
      </c>
      <c r="Q160" s="16">
        <f>IF(L160&gt;1,INDEX(挂机升级突破!$Z$35:$AD$55,卡牌消耗!L160,INDEX(挂机升级突破!$W$35:$W$55,卡牌消耗!L160)),"")</f>
        <v>90</v>
      </c>
      <c r="R160" s="16" t="str">
        <f>IF(INDEX(挂机升级突破!$X$35:$X$55,卡牌消耗!L160)&gt;0,INDEX($G$2:$I$2,INDEX(挂机升级突破!$X$35:$X$55,卡牌消耗!L160))&amp;M160,"")</f>
        <v>高级黄</v>
      </c>
      <c r="S160" s="16">
        <f>IF(R160="","",INDEX(挂机升级突破!$AE$35:$AG$55,卡牌消耗!L160,INDEX(挂机升级突破!$X$35:$X$55,卡牌消耗!L160)))</f>
        <v>155</v>
      </c>
      <c r="T160" s="16" t="str">
        <f>IF(INDEX(挂机升级突破!$Y$35:$Y$55,卡牌消耗!L160)&gt;0,"灵玉","")</f>
        <v>灵玉</v>
      </c>
      <c r="U160" s="16">
        <f>IF(INDEX(挂机升级突破!$Y$35:$Y$55,卡牌消耗!L160)&gt;0,INDEX(挂机升级突破!$AH$35:$AH$55,卡牌消耗!L160),"")</f>
        <v>50</v>
      </c>
    </row>
    <row r="161" spans="9:21" ht="16.5" x14ac:dyDescent="0.2">
      <c r="I161" s="36">
        <v>125</v>
      </c>
      <c r="J161" s="16">
        <f t="shared" si="6"/>
        <v>1102006</v>
      </c>
      <c r="K161" s="16">
        <f t="shared" si="7"/>
        <v>4</v>
      </c>
      <c r="L161" s="16">
        <f t="shared" si="9"/>
        <v>20</v>
      </c>
      <c r="M161" s="16" t="str">
        <f t="shared" si="8"/>
        <v>黄</v>
      </c>
      <c r="N161" s="16" t="str">
        <f t="shared" si="10"/>
        <v>金币</v>
      </c>
      <c r="O161" s="16">
        <f>IF(L161&gt;1,INDEX(挂机升级突破!$AI$35:$AI$55,卡牌消耗!L161),"")</f>
        <v>178500</v>
      </c>
      <c r="P161" s="16" t="str">
        <f>IF(L161&gt;1,INDEX(价值概述!$A$4:$A$8,INDEX(挂机升级突破!$W$35:$W$55,卡牌消耗!L161)),"")</f>
        <v>红色基础材料</v>
      </c>
      <c r="Q161" s="16">
        <f>IF(L161&gt;1,INDEX(挂机升级突破!$Z$35:$AD$55,卡牌消耗!L161,INDEX(挂机升级突破!$W$35:$W$55,卡牌消耗!L161)),"")</f>
        <v>110</v>
      </c>
      <c r="R161" s="16" t="str">
        <f>IF(INDEX(挂机升级突破!$X$35:$X$55,卡牌消耗!L161)&gt;0,INDEX($G$2:$I$2,INDEX(挂机升级突破!$X$35:$X$55,卡牌消耗!L161))&amp;M161,"")</f>
        <v>高级黄</v>
      </c>
      <c r="S161" s="16">
        <f>IF(R161="","",INDEX(挂机升级突破!$AE$35:$AG$55,卡牌消耗!L161,INDEX(挂机升级突破!$X$35:$X$55,卡牌消耗!L161)))</f>
        <v>180</v>
      </c>
      <c r="T161" s="16" t="str">
        <f>IF(INDEX(挂机升级突破!$Y$35:$Y$55,卡牌消耗!L161)&gt;0,"灵玉","")</f>
        <v>灵玉</v>
      </c>
      <c r="U161" s="16">
        <f>IF(INDEX(挂机升级突破!$Y$35:$Y$55,卡牌消耗!L161)&gt;0,INDEX(挂机升级突破!$AH$35:$AH$55,卡牌消耗!L161),"")</f>
        <v>65</v>
      </c>
    </row>
    <row r="162" spans="9:21" ht="16.5" x14ac:dyDescent="0.2">
      <c r="I162" s="36">
        <v>126</v>
      </c>
      <c r="J162" s="16">
        <f t="shared" si="6"/>
        <v>1102006</v>
      </c>
      <c r="K162" s="16">
        <f t="shared" si="7"/>
        <v>4</v>
      </c>
      <c r="L162" s="16">
        <f t="shared" si="9"/>
        <v>21</v>
      </c>
      <c r="M162" s="16" t="str">
        <f t="shared" si="8"/>
        <v>黄</v>
      </c>
      <c r="N162" s="16" t="str">
        <f t="shared" si="10"/>
        <v>金币</v>
      </c>
      <c r="O162" s="16">
        <f>IF(L162&gt;1,INDEX(挂机升级突破!$AI$35:$AI$55,卡牌消耗!L162),"")</f>
        <v>214000</v>
      </c>
      <c r="P162" s="16" t="str">
        <f>IF(L162&gt;1,INDEX(价值概述!$A$4:$A$8,INDEX(挂机升级突破!$W$35:$W$55,卡牌消耗!L162)),"")</f>
        <v>红色基础材料</v>
      </c>
      <c r="Q162" s="16">
        <f>IF(L162&gt;1,INDEX(挂机升级突破!$Z$35:$AD$55,卡牌消耗!L162,INDEX(挂机升级突破!$W$35:$W$55,卡牌消耗!L162)),"")</f>
        <v>135</v>
      </c>
      <c r="R162" s="16" t="str">
        <f>IF(INDEX(挂机升级突破!$X$35:$X$55,卡牌消耗!L162)&gt;0,INDEX($G$2:$I$2,INDEX(挂机升级突破!$X$35:$X$55,卡牌消耗!L162))&amp;M162,"")</f>
        <v>高级黄</v>
      </c>
      <c r="S162" s="16">
        <f>IF(R162="","",INDEX(挂机升级突破!$AE$35:$AG$55,卡牌消耗!L162,INDEX(挂机升级突破!$X$35:$X$55,卡牌消耗!L162)))</f>
        <v>225</v>
      </c>
      <c r="T162" s="16" t="str">
        <f>IF(INDEX(挂机升级突破!$Y$35:$Y$55,卡牌消耗!L162)&gt;0,"灵玉","")</f>
        <v>灵玉</v>
      </c>
      <c r="U162" s="16">
        <f>IF(INDEX(挂机升级突破!$Y$35:$Y$55,卡牌消耗!L162)&gt;0,INDEX(挂机升级突破!$AH$35:$AH$55,卡牌消耗!L162),"")</f>
        <v>75</v>
      </c>
    </row>
    <row r="163" spans="9:21" ht="16.5" x14ac:dyDescent="0.2">
      <c r="I163" s="36">
        <v>127</v>
      </c>
      <c r="J163" s="16">
        <f t="shared" si="6"/>
        <v>1102007</v>
      </c>
      <c r="K163" s="16">
        <f t="shared" si="7"/>
        <v>4</v>
      </c>
      <c r="L163" s="16">
        <f t="shared" si="9"/>
        <v>1</v>
      </c>
      <c r="M163" s="16" t="str">
        <f t="shared" si="8"/>
        <v>红</v>
      </c>
      <c r="N163" s="16" t="str">
        <f t="shared" si="10"/>
        <v/>
      </c>
      <c r="O163" s="16" t="str">
        <f>IF(L163&gt;1,INDEX(挂机升级突破!$AI$35:$AI$55,卡牌消耗!L163),"")</f>
        <v/>
      </c>
      <c r="P163" s="16" t="str">
        <f>IF(L163&gt;1,INDEX(价值概述!$A$4:$A$8,INDEX(挂机升级突破!$W$35:$W$55,卡牌消耗!L163)),"")</f>
        <v/>
      </c>
      <c r="Q163" s="16" t="str">
        <f>IF(L163&gt;1,INDEX(挂机升级突破!$Z$35:$AD$55,卡牌消耗!L163,INDEX(挂机升级突破!$W$35:$W$55,卡牌消耗!L163)),"")</f>
        <v/>
      </c>
      <c r="R163" s="16" t="str">
        <f>IF(INDEX(挂机升级突破!$X$35:$X$55,卡牌消耗!L163)&gt;0,INDEX($G$2:$I$2,INDEX(挂机升级突破!$X$35:$X$55,卡牌消耗!L163))&amp;M163,"")</f>
        <v/>
      </c>
      <c r="S163" s="16" t="str">
        <f>IF(R163="","",INDEX(挂机升级突破!$AE$35:$AG$55,卡牌消耗!L163,INDEX(挂机升级突破!$X$35:$X$55,卡牌消耗!L163)))</f>
        <v/>
      </c>
      <c r="T163" s="16" t="str">
        <f>IF(INDEX(挂机升级突破!$Y$35:$Y$55,卡牌消耗!L163)&gt;0,"灵玉","")</f>
        <v/>
      </c>
      <c r="U163" s="16" t="str">
        <f>IF(INDEX(挂机升级突破!$Y$35:$Y$55,卡牌消耗!L163)&gt;0,INDEX(挂机升级突破!$AH$35:$AH$55,卡牌消耗!L163),"")</f>
        <v/>
      </c>
    </row>
    <row r="164" spans="9:21" ht="16.5" x14ac:dyDescent="0.2">
      <c r="I164" s="36">
        <v>128</v>
      </c>
      <c r="J164" s="16">
        <f t="shared" si="6"/>
        <v>1102007</v>
      </c>
      <c r="K164" s="16">
        <f t="shared" si="7"/>
        <v>4</v>
      </c>
      <c r="L164" s="16">
        <f t="shared" si="9"/>
        <v>2</v>
      </c>
      <c r="M164" s="16" t="str">
        <f t="shared" si="8"/>
        <v>红</v>
      </c>
      <c r="N164" s="16" t="str">
        <f t="shared" si="10"/>
        <v>金币</v>
      </c>
      <c r="O164" s="16">
        <f>IF(L164&gt;1,INDEX(挂机升级突破!$AI$35:$AI$55,卡牌消耗!L164),"")</f>
        <v>2500</v>
      </c>
      <c r="P164" s="16" t="str">
        <f>IF(L164&gt;1,INDEX(价值概述!$A$4:$A$8,INDEX(挂机升级突破!$W$35:$W$55,卡牌消耗!L164)),"")</f>
        <v>绿色基础材料</v>
      </c>
      <c r="Q164" s="16">
        <f>IF(L164&gt;1,INDEX(挂机升级突破!$Z$35:$AD$55,卡牌消耗!L164,INDEX(挂机升级突破!$W$35:$W$55,卡牌消耗!L164)),"")</f>
        <v>40</v>
      </c>
      <c r="R164" s="16" t="str">
        <f>IF(INDEX(挂机升级突破!$X$35:$X$55,卡牌消耗!L164)&gt;0,INDEX($G$2:$I$2,INDEX(挂机升级突破!$X$35:$X$55,卡牌消耗!L164))&amp;M164,"")</f>
        <v/>
      </c>
      <c r="S164" s="16" t="str">
        <f>IF(R164="","",INDEX(挂机升级突破!$AE$35:$AG$55,卡牌消耗!L164,INDEX(挂机升级突破!$X$35:$X$55,卡牌消耗!L164)))</f>
        <v/>
      </c>
      <c r="T164" s="16" t="str">
        <f>IF(INDEX(挂机升级突破!$Y$35:$Y$55,卡牌消耗!L164)&gt;0,"灵玉","")</f>
        <v/>
      </c>
      <c r="U164" s="16" t="str">
        <f>IF(INDEX(挂机升级突破!$Y$35:$Y$55,卡牌消耗!L164)&gt;0,INDEX(挂机升级突破!$AH$35:$AH$55,卡牌消耗!L164),"")</f>
        <v/>
      </c>
    </row>
    <row r="165" spans="9:21" ht="16.5" x14ac:dyDescent="0.2">
      <c r="I165" s="36">
        <v>129</v>
      </c>
      <c r="J165" s="16">
        <f t="shared" ref="J165:J228" si="11">INDEX($A$13:$A$33,INT((I165-1)/21)+1)</f>
        <v>1102007</v>
      </c>
      <c r="K165" s="16">
        <f t="shared" ref="K165:K228" si="12">VLOOKUP(J165,$A$13:$D$33,3)</f>
        <v>4</v>
      </c>
      <c r="L165" s="16">
        <f t="shared" si="9"/>
        <v>3</v>
      </c>
      <c r="M165" s="16" t="str">
        <f t="shared" ref="M165:M228" si="13">INDEX($J$2:$L$2,INDEX($E$13:$E$33,INT((I165-1)/21)+1))</f>
        <v>红</v>
      </c>
      <c r="N165" s="16" t="str">
        <f t="shared" si="10"/>
        <v>金币</v>
      </c>
      <c r="O165" s="16">
        <f>IF(L165&gt;1,INDEX(挂机升级突破!$AI$35:$AI$55,卡牌消耗!L165),"")</f>
        <v>8500</v>
      </c>
      <c r="P165" s="16" t="str">
        <f>IF(L165&gt;1,INDEX(价值概述!$A$4:$A$8,INDEX(挂机升级突破!$W$35:$W$55,卡牌消耗!L165)),"")</f>
        <v>绿色基础材料</v>
      </c>
      <c r="Q165" s="16">
        <f>IF(L165&gt;1,INDEX(挂机升级突破!$Z$35:$AD$55,卡牌消耗!L165,INDEX(挂机升级突破!$W$35:$W$55,卡牌消耗!L165)),"")</f>
        <v>120</v>
      </c>
      <c r="R165" s="16" t="str">
        <f>IF(INDEX(挂机升级突破!$X$35:$X$55,卡牌消耗!L165)&gt;0,INDEX($G$2:$I$2,INDEX(挂机升级突破!$X$35:$X$55,卡牌消耗!L165))&amp;M165,"")</f>
        <v/>
      </c>
      <c r="S165" s="16" t="str">
        <f>IF(R165="","",INDEX(挂机升级突破!$AE$35:$AG$55,卡牌消耗!L165,INDEX(挂机升级突破!$X$35:$X$55,卡牌消耗!L165)))</f>
        <v/>
      </c>
      <c r="T165" s="16" t="str">
        <f>IF(INDEX(挂机升级突破!$Y$35:$Y$55,卡牌消耗!L165)&gt;0,"灵玉","")</f>
        <v/>
      </c>
      <c r="U165" s="16" t="str">
        <f>IF(INDEX(挂机升级突破!$Y$35:$Y$55,卡牌消耗!L165)&gt;0,INDEX(挂机升级突破!$AH$35:$AH$55,卡牌消耗!L165),"")</f>
        <v/>
      </c>
    </row>
    <row r="166" spans="9:21" ht="16.5" x14ac:dyDescent="0.2">
      <c r="I166" s="36">
        <v>130</v>
      </c>
      <c r="J166" s="16">
        <f t="shared" si="11"/>
        <v>1102007</v>
      </c>
      <c r="K166" s="16">
        <f t="shared" si="12"/>
        <v>4</v>
      </c>
      <c r="L166" s="16">
        <f t="shared" ref="L166:L229" si="14">MOD((I166-1),21)+1</f>
        <v>4</v>
      </c>
      <c r="M166" s="16" t="str">
        <f t="shared" si="13"/>
        <v>红</v>
      </c>
      <c r="N166" s="16" t="str">
        <f t="shared" ref="N166:N229" si="15">IF(L166&gt;1,"金币","")</f>
        <v>金币</v>
      </c>
      <c r="O166" s="16">
        <f>IF(L166&gt;1,INDEX(挂机升级突破!$AI$35:$AI$55,卡牌消耗!L166),"")</f>
        <v>17000</v>
      </c>
      <c r="P166" s="16" t="str">
        <f>IF(L166&gt;1,INDEX(价值概述!$A$4:$A$8,INDEX(挂机升级突破!$W$35:$W$55,卡牌消耗!L166)),"")</f>
        <v>绿色基础材料</v>
      </c>
      <c r="Q166" s="16">
        <f>IF(L166&gt;1,INDEX(挂机升级突破!$Z$35:$AD$55,卡牌消耗!L166,INDEX(挂机升级突破!$W$35:$W$55,卡牌消耗!L166)),"")</f>
        <v>240</v>
      </c>
      <c r="R166" s="16" t="str">
        <f>IF(INDEX(挂机升级突破!$X$35:$X$55,卡牌消耗!L166)&gt;0,INDEX($G$2:$I$2,INDEX(挂机升级突破!$X$35:$X$55,卡牌消耗!L166))&amp;M166,"")</f>
        <v>初级红</v>
      </c>
      <c r="S166" s="16">
        <f>IF(R166="","",INDEX(挂机升级突破!$AE$35:$AG$55,卡牌消耗!L166,INDEX(挂机升级突破!$X$35:$X$55,卡牌消耗!L166)))</f>
        <v>130</v>
      </c>
      <c r="T166" s="16" t="str">
        <f>IF(INDEX(挂机升级突破!$Y$35:$Y$55,卡牌消耗!L166)&gt;0,"灵玉","")</f>
        <v/>
      </c>
      <c r="U166" s="16" t="str">
        <f>IF(INDEX(挂机升级突破!$Y$35:$Y$55,卡牌消耗!L166)&gt;0,INDEX(挂机升级突破!$AH$35:$AH$55,卡牌消耗!L166),"")</f>
        <v/>
      </c>
    </row>
    <row r="167" spans="9:21" ht="16.5" x14ac:dyDescent="0.2">
      <c r="I167" s="36">
        <v>131</v>
      </c>
      <c r="J167" s="16">
        <f t="shared" si="11"/>
        <v>1102007</v>
      </c>
      <c r="K167" s="16">
        <f t="shared" si="12"/>
        <v>4</v>
      </c>
      <c r="L167" s="16">
        <f t="shared" si="14"/>
        <v>5</v>
      </c>
      <c r="M167" s="16" t="str">
        <f t="shared" si="13"/>
        <v>红</v>
      </c>
      <c r="N167" s="16" t="str">
        <f t="shared" si="15"/>
        <v>金币</v>
      </c>
      <c r="O167" s="16">
        <f>IF(L167&gt;1,INDEX(挂机升级突破!$AI$35:$AI$55,卡牌消耗!L167),"")</f>
        <v>10500</v>
      </c>
      <c r="P167" s="16" t="str">
        <f>IF(L167&gt;1,INDEX(价值概述!$A$4:$A$8,INDEX(挂机升级突破!$W$35:$W$55,卡牌消耗!L167)),"")</f>
        <v>蓝色基础材料</v>
      </c>
      <c r="Q167" s="16">
        <f>IF(L167&gt;1,INDEX(挂机升级突破!$Z$35:$AD$55,卡牌消耗!L167,INDEX(挂机升级突破!$W$35:$W$55,卡牌消耗!L167)),"")</f>
        <v>85</v>
      </c>
      <c r="R167" s="16" t="str">
        <f>IF(INDEX(挂机升级突破!$X$35:$X$55,卡牌消耗!L167)&gt;0,INDEX($G$2:$I$2,INDEX(挂机升级突破!$X$35:$X$55,卡牌消耗!L167))&amp;M167,"")</f>
        <v>初级红</v>
      </c>
      <c r="S167" s="16">
        <f>IF(R167="","",INDEX(挂机升级突破!$AE$35:$AG$55,卡牌消耗!L167,INDEX(挂机升级突破!$X$35:$X$55,卡牌消耗!L167)))</f>
        <v>160</v>
      </c>
      <c r="T167" s="16" t="str">
        <f>IF(INDEX(挂机升级突破!$Y$35:$Y$55,卡牌消耗!L167)&gt;0,"灵玉","")</f>
        <v/>
      </c>
      <c r="U167" s="16" t="str">
        <f>IF(INDEX(挂机升级突破!$Y$35:$Y$55,卡牌消耗!L167)&gt;0,INDEX(挂机升级突破!$AH$35:$AH$55,卡牌消耗!L167),"")</f>
        <v/>
      </c>
    </row>
    <row r="168" spans="9:21" ht="16.5" x14ac:dyDescent="0.2">
      <c r="I168" s="36">
        <v>132</v>
      </c>
      <c r="J168" s="16">
        <f t="shared" si="11"/>
        <v>1102007</v>
      </c>
      <c r="K168" s="16">
        <f t="shared" si="12"/>
        <v>4</v>
      </c>
      <c r="L168" s="16">
        <f t="shared" si="14"/>
        <v>6</v>
      </c>
      <c r="M168" s="16" t="str">
        <f t="shared" si="13"/>
        <v>红</v>
      </c>
      <c r="N168" s="16" t="str">
        <f t="shared" si="15"/>
        <v>金币</v>
      </c>
      <c r="O168" s="16">
        <f>IF(L168&gt;1,INDEX(挂机升级突破!$AI$35:$AI$55,卡牌消耗!L168),"")</f>
        <v>25000</v>
      </c>
      <c r="P168" s="16" t="str">
        <f>IF(L168&gt;1,INDEX(价值概述!$A$4:$A$8,INDEX(挂机升级突破!$W$35:$W$55,卡牌消耗!L168)),"")</f>
        <v>蓝色基础材料</v>
      </c>
      <c r="Q168" s="16">
        <f>IF(L168&gt;1,INDEX(挂机升级突破!$Z$35:$AD$55,卡牌消耗!L168,INDEX(挂机升级突破!$W$35:$W$55,卡牌消耗!L168)),"")</f>
        <v>145</v>
      </c>
      <c r="R168" s="16" t="str">
        <f>IF(INDEX(挂机升级突破!$X$35:$X$55,卡牌消耗!L168)&gt;0,INDEX($G$2:$I$2,INDEX(挂机升级突破!$X$35:$X$55,卡牌消耗!L168))&amp;M168,"")</f>
        <v>初级红</v>
      </c>
      <c r="S168" s="16">
        <f>IF(R168="","",INDEX(挂机升级突破!$AE$35:$AG$55,卡牌消耗!L168,INDEX(挂机升级突破!$X$35:$X$55,卡牌消耗!L168)))</f>
        <v>175</v>
      </c>
      <c r="T168" s="16" t="str">
        <f>IF(INDEX(挂机升级突破!$Y$35:$Y$55,卡牌消耗!L168)&gt;0,"灵玉","")</f>
        <v/>
      </c>
      <c r="U168" s="16" t="str">
        <f>IF(INDEX(挂机升级突破!$Y$35:$Y$55,卡牌消耗!L168)&gt;0,INDEX(挂机升级突破!$AH$35:$AH$55,卡牌消耗!L168),"")</f>
        <v/>
      </c>
    </row>
    <row r="169" spans="9:21" ht="16.5" x14ac:dyDescent="0.2">
      <c r="I169" s="36">
        <v>133</v>
      </c>
      <c r="J169" s="16">
        <f t="shared" si="11"/>
        <v>1102007</v>
      </c>
      <c r="K169" s="16">
        <f t="shared" si="12"/>
        <v>4</v>
      </c>
      <c r="L169" s="16">
        <f t="shared" si="14"/>
        <v>7</v>
      </c>
      <c r="M169" s="16" t="str">
        <f t="shared" si="13"/>
        <v>红</v>
      </c>
      <c r="N169" s="16" t="str">
        <f t="shared" si="15"/>
        <v>金币</v>
      </c>
      <c r="O169" s="16">
        <f>IF(L169&gt;1,INDEX(挂机升级突破!$AI$35:$AI$55,卡牌消耗!L169),"")</f>
        <v>28000</v>
      </c>
      <c r="P169" s="16" t="str">
        <f>IF(L169&gt;1,INDEX(价值概述!$A$4:$A$8,INDEX(挂机升级突破!$W$35:$W$55,卡牌消耗!L169)),"")</f>
        <v>蓝色基础材料</v>
      </c>
      <c r="Q169" s="16">
        <f>IF(L169&gt;1,INDEX(挂机升级突破!$Z$35:$AD$55,卡牌消耗!L169,INDEX(挂机升级突破!$W$35:$W$55,卡牌消耗!L169)),"")</f>
        <v>185</v>
      </c>
      <c r="R169" s="16" t="str">
        <f>IF(INDEX(挂机升级突破!$X$35:$X$55,卡牌消耗!L169)&gt;0,INDEX($G$2:$I$2,INDEX(挂机升级突破!$X$35:$X$55,卡牌消耗!L169))&amp;M169,"")</f>
        <v>初级红</v>
      </c>
      <c r="S169" s="16">
        <f>IF(R169="","",INDEX(挂机升级突破!$AE$35:$AG$55,卡牌消耗!L169,INDEX(挂机升级突破!$X$35:$X$55,卡牌消耗!L169)))</f>
        <v>190</v>
      </c>
      <c r="T169" s="16" t="str">
        <f>IF(INDEX(挂机升级突破!$Y$35:$Y$55,卡牌消耗!L169)&gt;0,"灵玉","")</f>
        <v/>
      </c>
      <c r="U169" s="16" t="str">
        <f>IF(INDEX(挂机升级突破!$Y$35:$Y$55,卡牌消耗!L169)&gt;0,INDEX(挂机升级突破!$AH$35:$AH$55,卡牌消耗!L169),"")</f>
        <v/>
      </c>
    </row>
    <row r="170" spans="9:21" ht="16.5" x14ac:dyDescent="0.2">
      <c r="I170" s="36">
        <v>134</v>
      </c>
      <c r="J170" s="16">
        <f t="shared" si="11"/>
        <v>1102007</v>
      </c>
      <c r="K170" s="16">
        <f t="shared" si="12"/>
        <v>4</v>
      </c>
      <c r="L170" s="16">
        <f t="shared" si="14"/>
        <v>8</v>
      </c>
      <c r="M170" s="16" t="str">
        <f t="shared" si="13"/>
        <v>红</v>
      </c>
      <c r="N170" s="16" t="str">
        <f t="shared" si="15"/>
        <v>金币</v>
      </c>
      <c r="O170" s="16">
        <f>IF(L170&gt;1,INDEX(挂机升级突破!$AI$35:$AI$55,卡牌消耗!L170),"")</f>
        <v>31000</v>
      </c>
      <c r="P170" s="16" t="str">
        <f>IF(L170&gt;1,INDEX(价值概述!$A$4:$A$8,INDEX(挂机升级突破!$W$35:$W$55,卡牌消耗!L170)),"")</f>
        <v>蓝色基础材料</v>
      </c>
      <c r="Q170" s="16">
        <f>IF(L170&gt;1,INDEX(挂机升级突破!$Z$35:$AD$55,卡牌消耗!L170,INDEX(挂机升级突破!$W$35:$W$55,卡牌消耗!L170)),"")</f>
        <v>220</v>
      </c>
      <c r="R170" s="16" t="str">
        <f>IF(INDEX(挂机升级突破!$X$35:$X$55,卡牌消耗!L170)&gt;0,INDEX($G$2:$I$2,INDEX(挂机升级突破!$X$35:$X$55,卡牌消耗!L170))&amp;M170,"")</f>
        <v>初级红</v>
      </c>
      <c r="S170" s="16">
        <f>IF(R170="","",INDEX(挂机升级突破!$AE$35:$AG$55,卡牌消耗!L170,INDEX(挂机升级突破!$X$35:$X$55,卡牌消耗!L170)))</f>
        <v>200</v>
      </c>
      <c r="T170" s="16" t="str">
        <f>IF(INDEX(挂机升级突破!$Y$35:$Y$55,卡牌消耗!L170)&gt;0,"灵玉","")</f>
        <v/>
      </c>
      <c r="U170" s="16" t="str">
        <f>IF(INDEX(挂机升级突破!$Y$35:$Y$55,卡牌消耗!L170)&gt;0,INDEX(挂机升级突破!$AH$35:$AH$55,卡牌消耗!L170),"")</f>
        <v/>
      </c>
    </row>
    <row r="171" spans="9:21" ht="16.5" x14ac:dyDescent="0.2">
      <c r="I171" s="36">
        <v>135</v>
      </c>
      <c r="J171" s="16">
        <f t="shared" si="11"/>
        <v>1102007</v>
      </c>
      <c r="K171" s="16">
        <f t="shared" si="12"/>
        <v>4</v>
      </c>
      <c r="L171" s="16">
        <f t="shared" si="14"/>
        <v>9</v>
      </c>
      <c r="M171" s="16" t="str">
        <f t="shared" si="13"/>
        <v>红</v>
      </c>
      <c r="N171" s="16" t="str">
        <f t="shared" si="15"/>
        <v>金币</v>
      </c>
      <c r="O171" s="16">
        <f>IF(L171&gt;1,INDEX(挂机升级突破!$AI$35:$AI$55,卡牌消耗!L171),"")</f>
        <v>24000</v>
      </c>
      <c r="P171" s="16" t="str">
        <f>IF(L171&gt;1,INDEX(价值概述!$A$4:$A$8,INDEX(挂机升级突破!$W$35:$W$55,卡牌消耗!L171)),"")</f>
        <v>紫色基础材料</v>
      </c>
      <c r="Q171" s="16">
        <f>IF(L171&gt;1,INDEX(挂机升级突破!$Z$35:$AD$55,卡牌消耗!L171,INDEX(挂机升级突破!$W$35:$W$55,卡牌消耗!L171)),"")</f>
        <v>95</v>
      </c>
      <c r="R171" s="16" t="str">
        <f>IF(INDEX(挂机升级突破!$X$35:$X$55,卡牌消耗!L171)&gt;0,INDEX($G$2:$I$2,INDEX(挂机升级突破!$X$35:$X$55,卡牌消耗!L171))&amp;M171,"")</f>
        <v>中级红</v>
      </c>
      <c r="S171" s="16">
        <f>IF(R171="","",INDEX(挂机升级突破!$AE$35:$AG$55,卡牌消耗!L171,INDEX(挂机升级突破!$X$35:$X$55,卡牌消耗!L171)))</f>
        <v>80</v>
      </c>
      <c r="T171" s="16" t="str">
        <f>IF(INDEX(挂机升级突破!$Y$35:$Y$55,卡牌消耗!L171)&gt;0,"灵玉","")</f>
        <v/>
      </c>
      <c r="U171" s="16" t="str">
        <f>IF(INDEX(挂机升级突破!$Y$35:$Y$55,卡牌消耗!L171)&gt;0,INDEX(挂机升级突破!$AH$35:$AH$55,卡牌消耗!L171),"")</f>
        <v/>
      </c>
    </row>
    <row r="172" spans="9:21" ht="16.5" x14ac:dyDescent="0.2">
      <c r="I172" s="36">
        <v>136</v>
      </c>
      <c r="J172" s="16">
        <f t="shared" si="11"/>
        <v>1102007</v>
      </c>
      <c r="K172" s="16">
        <f t="shared" si="12"/>
        <v>4</v>
      </c>
      <c r="L172" s="16">
        <f t="shared" si="14"/>
        <v>10</v>
      </c>
      <c r="M172" s="16" t="str">
        <f t="shared" si="13"/>
        <v>红</v>
      </c>
      <c r="N172" s="16" t="str">
        <f t="shared" si="15"/>
        <v>金币</v>
      </c>
      <c r="O172" s="16">
        <f>IF(L172&gt;1,INDEX(挂机升级突破!$AI$35:$AI$55,卡牌消耗!L172),"")</f>
        <v>26500</v>
      </c>
      <c r="P172" s="16" t="str">
        <f>IF(L172&gt;1,INDEX(价值概述!$A$4:$A$8,INDEX(挂机升级突破!$W$35:$W$55,卡牌消耗!L172)),"")</f>
        <v>紫色基础材料</v>
      </c>
      <c r="Q172" s="16">
        <f>IF(L172&gt;1,INDEX(挂机升级突破!$Z$35:$AD$55,卡牌消耗!L172,INDEX(挂机升级突破!$W$35:$W$55,卡牌消耗!L172)),"")</f>
        <v>175</v>
      </c>
      <c r="R172" s="16" t="str">
        <f>IF(INDEX(挂机升级突破!$X$35:$X$55,卡牌消耗!L172)&gt;0,INDEX($G$2:$I$2,INDEX(挂机升级突破!$X$35:$X$55,卡牌消耗!L172))&amp;M172,"")</f>
        <v>中级红</v>
      </c>
      <c r="S172" s="16">
        <f>IF(R172="","",INDEX(挂机升级突破!$AE$35:$AG$55,卡牌消耗!L172,INDEX(挂机升级突破!$X$35:$X$55,卡牌消耗!L172)))</f>
        <v>120</v>
      </c>
      <c r="T172" s="16" t="str">
        <f>IF(INDEX(挂机升级突破!$Y$35:$Y$55,卡牌消耗!L172)&gt;0,"灵玉","")</f>
        <v/>
      </c>
      <c r="U172" s="16" t="str">
        <f>IF(INDEX(挂机升级突破!$Y$35:$Y$55,卡牌消耗!L172)&gt;0,INDEX(挂机升级突破!$AH$35:$AH$55,卡牌消耗!L172),"")</f>
        <v/>
      </c>
    </row>
    <row r="173" spans="9:21" ht="16.5" x14ac:dyDescent="0.2">
      <c r="I173" s="36">
        <v>137</v>
      </c>
      <c r="J173" s="16">
        <f t="shared" si="11"/>
        <v>1102007</v>
      </c>
      <c r="K173" s="16">
        <f t="shared" si="12"/>
        <v>4</v>
      </c>
      <c r="L173" s="16">
        <f t="shared" si="14"/>
        <v>11</v>
      </c>
      <c r="M173" s="16" t="str">
        <f t="shared" si="13"/>
        <v>红</v>
      </c>
      <c r="N173" s="16" t="str">
        <f t="shared" si="15"/>
        <v>金币</v>
      </c>
      <c r="O173" s="16">
        <f>IF(L173&gt;1,INDEX(挂机升级突破!$AI$35:$AI$55,卡牌消耗!L173),"")</f>
        <v>28500</v>
      </c>
      <c r="P173" s="16" t="str">
        <f>IF(L173&gt;1,INDEX(价值概述!$A$4:$A$8,INDEX(挂机升级突破!$W$35:$W$55,卡牌消耗!L173)),"")</f>
        <v>紫色基础材料</v>
      </c>
      <c r="Q173" s="16">
        <f>IF(L173&gt;1,INDEX(挂机升级突破!$Z$35:$AD$55,卡牌消耗!L173,INDEX(挂机升级突破!$W$35:$W$55,卡牌消耗!L173)),"")</f>
        <v>245</v>
      </c>
      <c r="R173" s="16" t="str">
        <f>IF(INDEX(挂机升级突破!$X$35:$X$55,卡牌消耗!L173)&gt;0,INDEX($G$2:$I$2,INDEX(挂机升级突破!$X$35:$X$55,卡牌消耗!L173))&amp;M173,"")</f>
        <v>中级红</v>
      </c>
      <c r="S173" s="16">
        <f>IF(R173="","",INDEX(挂机升级突破!$AE$35:$AG$55,卡牌消耗!L173,INDEX(挂机升级突破!$X$35:$X$55,卡牌消耗!L173)))</f>
        <v>170</v>
      </c>
      <c r="T173" s="16" t="str">
        <f>IF(INDEX(挂机升级突破!$Y$35:$Y$55,卡牌消耗!L173)&gt;0,"灵玉","")</f>
        <v/>
      </c>
      <c r="U173" s="16" t="str">
        <f>IF(INDEX(挂机升级突破!$Y$35:$Y$55,卡牌消耗!L173)&gt;0,INDEX(挂机升级突破!$AH$35:$AH$55,卡牌消耗!L173),"")</f>
        <v/>
      </c>
    </row>
    <row r="174" spans="9:21" ht="16.5" x14ac:dyDescent="0.2">
      <c r="I174" s="36">
        <v>138</v>
      </c>
      <c r="J174" s="16">
        <f t="shared" si="11"/>
        <v>1102007</v>
      </c>
      <c r="K174" s="16">
        <f t="shared" si="12"/>
        <v>4</v>
      </c>
      <c r="L174" s="16">
        <f t="shared" si="14"/>
        <v>12</v>
      </c>
      <c r="M174" s="16" t="str">
        <f t="shared" si="13"/>
        <v>红</v>
      </c>
      <c r="N174" s="16" t="str">
        <f t="shared" si="15"/>
        <v>金币</v>
      </c>
      <c r="O174" s="16">
        <f>IF(L174&gt;1,INDEX(挂机升级突破!$AI$35:$AI$55,卡牌消耗!L174),"")</f>
        <v>30500</v>
      </c>
      <c r="P174" s="16" t="str">
        <f>IF(L174&gt;1,INDEX(价值概述!$A$4:$A$8,INDEX(挂机升级突破!$W$35:$W$55,卡牌消耗!L174)),"")</f>
        <v>紫色基础材料</v>
      </c>
      <c r="Q174" s="16">
        <f>IF(L174&gt;1,INDEX(挂机升级突破!$Z$35:$AD$55,卡牌消耗!L174,INDEX(挂机升级突破!$W$35:$W$55,卡牌消耗!L174)),"")</f>
        <v>305</v>
      </c>
      <c r="R174" s="16" t="str">
        <f>IF(INDEX(挂机升级突破!$X$35:$X$55,卡牌消耗!L174)&gt;0,INDEX($G$2:$I$2,INDEX(挂机升级突破!$X$35:$X$55,卡牌消耗!L174))&amp;M174,"")</f>
        <v>中级红</v>
      </c>
      <c r="S174" s="16">
        <f>IF(R174="","",INDEX(挂机升级突破!$AE$35:$AG$55,卡牌消耗!L174,INDEX(挂机升级突破!$X$35:$X$55,卡牌消耗!L174)))</f>
        <v>200</v>
      </c>
      <c r="T174" s="16" t="str">
        <f>IF(INDEX(挂机升级突破!$Y$35:$Y$55,卡牌消耗!L174)&gt;0,"灵玉","")</f>
        <v/>
      </c>
      <c r="U174" s="16" t="str">
        <f>IF(INDEX(挂机升级突破!$Y$35:$Y$55,卡牌消耗!L174)&gt;0,INDEX(挂机升级突破!$AH$35:$AH$55,卡牌消耗!L174),"")</f>
        <v/>
      </c>
    </row>
    <row r="175" spans="9:21" ht="16.5" x14ac:dyDescent="0.2">
      <c r="I175" s="36">
        <v>139</v>
      </c>
      <c r="J175" s="16">
        <f t="shared" si="11"/>
        <v>1102007</v>
      </c>
      <c r="K175" s="16">
        <f t="shared" si="12"/>
        <v>4</v>
      </c>
      <c r="L175" s="16">
        <f t="shared" si="14"/>
        <v>13</v>
      </c>
      <c r="M175" s="16" t="str">
        <f t="shared" si="13"/>
        <v>红</v>
      </c>
      <c r="N175" s="16" t="str">
        <f t="shared" si="15"/>
        <v>金币</v>
      </c>
      <c r="O175" s="16">
        <f>IF(L175&gt;1,INDEX(挂机升级突破!$AI$35:$AI$55,卡牌消耗!L175),"")</f>
        <v>38500</v>
      </c>
      <c r="P175" s="16" t="str">
        <f>IF(L175&gt;1,INDEX(价值概述!$A$4:$A$8,INDEX(挂机升级突破!$W$35:$W$55,卡牌消耗!L175)),"")</f>
        <v>橙色基础材料</v>
      </c>
      <c r="Q175" s="16">
        <f>IF(L175&gt;1,INDEX(挂机升级突破!$Z$35:$AD$55,卡牌消耗!L175,INDEX(挂机升级突破!$W$35:$W$55,卡牌消耗!L175)),"")</f>
        <v>115</v>
      </c>
      <c r="R175" s="16" t="str">
        <f>IF(INDEX(挂机升级突破!$X$35:$X$55,卡牌消耗!L175)&gt;0,INDEX($G$2:$I$2,INDEX(挂机升级突破!$X$35:$X$55,卡牌消耗!L175))&amp;M175,"")</f>
        <v>中级红</v>
      </c>
      <c r="S175" s="16">
        <f>IF(R175="","",INDEX(挂机升级突破!$AE$35:$AG$55,卡牌消耗!L175,INDEX(挂机升级突破!$X$35:$X$55,卡牌消耗!L175)))</f>
        <v>225</v>
      </c>
      <c r="T175" s="16" t="str">
        <f>IF(INDEX(挂机升级突破!$Y$35:$Y$55,卡牌消耗!L175)&gt;0,"灵玉","")</f>
        <v/>
      </c>
      <c r="U175" s="16" t="str">
        <f>IF(INDEX(挂机升级突破!$Y$35:$Y$55,卡牌消耗!L175)&gt;0,INDEX(挂机升级突破!$AH$35:$AH$55,卡牌消耗!L175),"")</f>
        <v/>
      </c>
    </row>
    <row r="176" spans="9:21" ht="16.5" x14ac:dyDescent="0.2">
      <c r="I176" s="36">
        <v>140</v>
      </c>
      <c r="J176" s="16">
        <f t="shared" si="11"/>
        <v>1102007</v>
      </c>
      <c r="K176" s="16">
        <f t="shared" si="12"/>
        <v>4</v>
      </c>
      <c r="L176" s="16">
        <f t="shared" si="14"/>
        <v>14</v>
      </c>
      <c r="M176" s="16" t="str">
        <f t="shared" si="13"/>
        <v>红</v>
      </c>
      <c r="N176" s="16" t="str">
        <f t="shared" si="15"/>
        <v>金币</v>
      </c>
      <c r="O176" s="16">
        <f>IF(L176&gt;1,INDEX(挂机升级突破!$AI$35:$AI$55,卡牌消耗!L176),"")</f>
        <v>51000</v>
      </c>
      <c r="P176" s="16" t="str">
        <f>IF(L176&gt;1,INDEX(价值概述!$A$4:$A$8,INDEX(挂机升级突破!$W$35:$W$55,卡牌消耗!L176)),"")</f>
        <v>橙色基础材料</v>
      </c>
      <c r="Q176" s="16">
        <f>IF(L176&gt;1,INDEX(挂机升级突破!$Z$35:$AD$55,卡牌消耗!L176,INDEX(挂机升级突破!$W$35:$W$55,卡牌消耗!L176)),"")</f>
        <v>235</v>
      </c>
      <c r="R176" s="16" t="str">
        <f>IF(INDEX(挂机升级突破!$X$35:$X$55,卡牌消耗!L176)&gt;0,INDEX($G$2:$I$2,INDEX(挂机升级突破!$X$35:$X$55,卡牌消耗!L176))&amp;M176,"")</f>
        <v>中级红</v>
      </c>
      <c r="S176" s="16">
        <f>IF(R176="","",INDEX(挂机升级突破!$AE$35:$AG$55,卡牌消耗!L176,INDEX(挂机升级突破!$X$35:$X$55,卡牌消耗!L176)))</f>
        <v>265</v>
      </c>
      <c r="T176" s="16" t="str">
        <f>IF(INDEX(挂机升级突破!$Y$35:$Y$55,卡牌消耗!L176)&gt;0,"灵玉","")</f>
        <v/>
      </c>
      <c r="U176" s="16" t="str">
        <f>IF(INDEX(挂机升级突破!$Y$35:$Y$55,卡牌消耗!L176)&gt;0,INDEX(挂机升级突破!$AH$35:$AH$55,卡牌消耗!L176),"")</f>
        <v/>
      </c>
    </row>
    <row r="177" spans="9:21" ht="16.5" x14ac:dyDescent="0.2">
      <c r="I177" s="36">
        <v>141</v>
      </c>
      <c r="J177" s="16">
        <f t="shared" si="11"/>
        <v>1102007</v>
      </c>
      <c r="K177" s="16">
        <f t="shared" si="12"/>
        <v>4</v>
      </c>
      <c r="L177" s="16">
        <f t="shared" si="14"/>
        <v>15</v>
      </c>
      <c r="M177" s="16" t="str">
        <f t="shared" si="13"/>
        <v>红</v>
      </c>
      <c r="N177" s="16" t="str">
        <f t="shared" si="15"/>
        <v>金币</v>
      </c>
      <c r="O177" s="16">
        <f>IF(L177&gt;1,INDEX(挂机升级突破!$AI$35:$AI$55,卡牌消耗!L177),"")</f>
        <v>60000</v>
      </c>
      <c r="P177" s="16" t="str">
        <f>IF(L177&gt;1,INDEX(价值概述!$A$4:$A$8,INDEX(挂机升级突破!$W$35:$W$55,卡牌消耗!L177)),"")</f>
        <v>橙色基础材料</v>
      </c>
      <c r="Q177" s="16">
        <f>IF(L177&gt;1,INDEX(挂机升级突破!$Z$35:$AD$55,卡牌消耗!L177,INDEX(挂机升级突破!$W$35:$W$55,卡牌消耗!L177)),"")</f>
        <v>355</v>
      </c>
      <c r="R177" s="16" t="str">
        <f>IF(INDEX(挂机升级突破!$X$35:$X$55,卡牌消耗!L177)&gt;0,INDEX($G$2:$I$2,INDEX(挂机升级突破!$X$35:$X$55,卡牌消耗!L177))&amp;M177,"")</f>
        <v>高级红</v>
      </c>
      <c r="S177" s="16">
        <f>IF(R177="","",INDEX(挂机升级突破!$AE$35:$AG$55,卡牌消耗!L177,INDEX(挂机升级突破!$X$35:$X$55,卡牌消耗!L177)))</f>
        <v>45</v>
      </c>
      <c r="T177" s="16" t="str">
        <f>IF(INDEX(挂机升级突破!$Y$35:$Y$55,卡牌消耗!L177)&gt;0,"灵玉","")</f>
        <v/>
      </c>
      <c r="U177" s="16" t="str">
        <f>IF(INDEX(挂机升级突破!$Y$35:$Y$55,卡牌消耗!L177)&gt;0,INDEX(挂机升级突破!$AH$35:$AH$55,卡牌消耗!L177),"")</f>
        <v/>
      </c>
    </row>
    <row r="178" spans="9:21" ht="16.5" x14ac:dyDescent="0.2">
      <c r="I178" s="36">
        <v>142</v>
      </c>
      <c r="J178" s="16">
        <f t="shared" si="11"/>
        <v>1102007</v>
      </c>
      <c r="K178" s="16">
        <f t="shared" si="12"/>
        <v>4</v>
      </c>
      <c r="L178" s="16">
        <f t="shared" si="14"/>
        <v>16</v>
      </c>
      <c r="M178" s="16" t="str">
        <f t="shared" si="13"/>
        <v>红</v>
      </c>
      <c r="N178" s="16" t="str">
        <f t="shared" si="15"/>
        <v>金币</v>
      </c>
      <c r="O178" s="16">
        <f>IF(L178&gt;1,INDEX(挂机升级突破!$AI$35:$AI$55,卡牌消耗!L178),"")</f>
        <v>69000</v>
      </c>
      <c r="P178" s="16" t="str">
        <f>IF(L178&gt;1,INDEX(价值概述!$A$4:$A$8,INDEX(挂机升级突破!$W$35:$W$55,卡牌消耗!L178)),"")</f>
        <v>橙色基础材料</v>
      </c>
      <c r="Q178" s="16">
        <f>IF(L178&gt;1,INDEX(挂机升级突破!$Z$35:$AD$55,卡牌消耗!L178,INDEX(挂机升级突破!$W$35:$W$55,卡牌消耗!L178)),"")</f>
        <v>475</v>
      </c>
      <c r="R178" s="16" t="str">
        <f>IF(INDEX(挂机升级突破!$X$35:$X$55,卡牌消耗!L178)&gt;0,INDEX($G$2:$I$2,INDEX(挂机升级突破!$X$35:$X$55,卡牌消耗!L178))&amp;M178,"")</f>
        <v>高级红</v>
      </c>
      <c r="S178" s="16">
        <f>IF(R178="","",INDEX(挂机升级突破!$AE$35:$AG$55,卡牌消耗!L178,INDEX(挂机升级突破!$X$35:$X$55,卡牌消耗!L178)))</f>
        <v>70</v>
      </c>
      <c r="T178" s="16" t="str">
        <f>IF(INDEX(挂机升级突破!$Y$35:$Y$55,卡牌消耗!L178)&gt;0,"灵玉","")</f>
        <v/>
      </c>
      <c r="U178" s="16" t="str">
        <f>IF(INDEX(挂机升级突破!$Y$35:$Y$55,卡牌消耗!L178)&gt;0,INDEX(挂机升级突破!$AH$35:$AH$55,卡牌消耗!L178),"")</f>
        <v/>
      </c>
    </row>
    <row r="179" spans="9:21" ht="16.5" x14ac:dyDescent="0.2">
      <c r="I179" s="36">
        <v>143</v>
      </c>
      <c r="J179" s="16">
        <f t="shared" si="11"/>
        <v>1102007</v>
      </c>
      <c r="K179" s="16">
        <f t="shared" si="12"/>
        <v>4</v>
      </c>
      <c r="L179" s="16">
        <f t="shared" si="14"/>
        <v>17</v>
      </c>
      <c r="M179" s="16" t="str">
        <f t="shared" si="13"/>
        <v>红</v>
      </c>
      <c r="N179" s="16" t="str">
        <f t="shared" si="15"/>
        <v>金币</v>
      </c>
      <c r="O179" s="16">
        <f>IF(L179&gt;1,INDEX(挂机升级突破!$AI$35:$AI$55,卡牌消耗!L179),"")</f>
        <v>76500</v>
      </c>
      <c r="P179" s="16" t="str">
        <f>IF(L179&gt;1,INDEX(价值概述!$A$4:$A$8,INDEX(挂机升级突破!$W$35:$W$55,卡牌消耗!L179)),"")</f>
        <v>红色基础材料</v>
      </c>
      <c r="Q179" s="16">
        <f>IF(L179&gt;1,INDEX(挂机升级突破!$Z$35:$AD$55,卡牌消耗!L179,INDEX(挂机升级突破!$W$35:$W$55,卡牌消耗!L179)),"")</f>
        <v>45</v>
      </c>
      <c r="R179" s="16" t="str">
        <f>IF(INDEX(挂机升级突破!$X$35:$X$55,卡牌消耗!L179)&gt;0,INDEX($G$2:$I$2,INDEX(挂机升级突破!$X$35:$X$55,卡牌消耗!L179))&amp;M179,"")</f>
        <v>高级红</v>
      </c>
      <c r="S179" s="16">
        <f>IF(R179="","",INDEX(挂机升级突破!$AE$35:$AG$55,卡牌消耗!L179,INDEX(挂机升级突破!$X$35:$X$55,卡牌消耗!L179)))</f>
        <v>100</v>
      </c>
      <c r="T179" s="16" t="str">
        <f>IF(INDEX(挂机升级突破!$Y$35:$Y$55,卡牌消耗!L179)&gt;0,"灵玉","")</f>
        <v>灵玉</v>
      </c>
      <c r="U179" s="16">
        <f>IF(INDEX(挂机升级突破!$Y$35:$Y$55,卡牌消耗!L179)&gt;0,INDEX(挂机升级突破!$AH$35:$AH$55,卡牌消耗!L179),"")</f>
        <v>25</v>
      </c>
    </row>
    <row r="180" spans="9:21" ht="16.5" x14ac:dyDescent="0.2">
      <c r="I180" s="36">
        <v>144</v>
      </c>
      <c r="J180" s="16">
        <f t="shared" si="11"/>
        <v>1102007</v>
      </c>
      <c r="K180" s="16">
        <f t="shared" si="12"/>
        <v>4</v>
      </c>
      <c r="L180" s="16">
        <f t="shared" si="14"/>
        <v>18</v>
      </c>
      <c r="M180" s="16" t="str">
        <f t="shared" si="13"/>
        <v>红</v>
      </c>
      <c r="N180" s="16" t="str">
        <f t="shared" si="15"/>
        <v>金币</v>
      </c>
      <c r="O180" s="16">
        <f>IF(L180&gt;1,INDEX(挂机升级突破!$AI$35:$AI$55,卡牌消耗!L180),"")</f>
        <v>107000</v>
      </c>
      <c r="P180" s="16" t="str">
        <f>IF(L180&gt;1,INDEX(价值概述!$A$4:$A$8,INDEX(挂机升级突破!$W$35:$W$55,卡牌消耗!L180)),"")</f>
        <v>红色基础材料</v>
      </c>
      <c r="Q180" s="16">
        <f>IF(L180&gt;1,INDEX(挂机升级突破!$Z$35:$AD$55,卡牌消耗!L180,INDEX(挂机升级突破!$W$35:$W$55,卡牌消耗!L180)),"")</f>
        <v>65</v>
      </c>
      <c r="R180" s="16" t="str">
        <f>IF(INDEX(挂机升级突破!$X$35:$X$55,卡牌消耗!L180)&gt;0,INDEX($G$2:$I$2,INDEX(挂机升级突破!$X$35:$X$55,卡牌消耗!L180))&amp;M180,"")</f>
        <v>高级红</v>
      </c>
      <c r="S180" s="16">
        <f>IF(R180="","",INDEX(挂机升级突破!$AE$35:$AG$55,卡牌消耗!L180,INDEX(挂机升级突破!$X$35:$X$55,卡牌消耗!L180)))</f>
        <v>125</v>
      </c>
      <c r="T180" s="16" t="str">
        <f>IF(INDEX(挂机升级突破!$Y$35:$Y$55,卡牌消耗!L180)&gt;0,"灵玉","")</f>
        <v>灵玉</v>
      </c>
      <c r="U180" s="16">
        <f>IF(INDEX(挂机升级突破!$Y$35:$Y$55,卡牌消耗!L180)&gt;0,INDEX(挂机升级突破!$AH$35:$AH$55,卡牌消耗!L180),"")</f>
        <v>35</v>
      </c>
    </row>
    <row r="181" spans="9:21" ht="16.5" x14ac:dyDescent="0.2">
      <c r="I181" s="36">
        <v>145</v>
      </c>
      <c r="J181" s="16">
        <f t="shared" si="11"/>
        <v>1102007</v>
      </c>
      <c r="K181" s="16">
        <f t="shared" si="12"/>
        <v>4</v>
      </c>
      <c r="L181" s="16">
        <f t="shared" si="14"/>
        <v>19</v>
      </c>
      <c r="M181" s="16" t="str">
        <f t="shared" si="13"/>
        <v>红</v>
      </c>
      <c r="N181" s="16" t="str">
        <f t="shared" si="15"/>
        <v>金币</v>
      </c>
      <c r="O181" s="16">
        <f>IF(L181&gt;1,INDEX(挂机升级突破!$AI$35:$AI$55,卡牌消耗!L181),"")</f>
        <v>142500</v>
      </c>
      <c r="P181" s="16" t="str">
        <f>IF(L181&gt;1,INDEX(价值概述!$A$4:$A$8,INDEX(挂机升级突破!$W$35:$W$55,卡牌消耗!L181)),"")</f>
        <v>红色基础材料</v>
      </c>
      <c r="Q181" s="16">
        <f>IF(L181&gt;1,INDEX(挂机升级突破!$Z$35:$AD$55,卡牌消耗!L181,INDEX(挂机升级突破!$W$35:$W$55,卡牌消耗!L181)),"")</f>
        <v>90</v>
      </c>
      <c r="R181" s="16" t="str">
        <f>IF(INDEX(挂机升级突破!$X$35:$X$55,卡牌消耗!L181)&gt;0,INDEX($G$2:$I$2,INDEX(挂机升级突破!$X$35:$X$55,卡牌消耗!L181))&amp;M181,"")</f>
        <v>高级红</v>
      </c>
      <c r="S181" s="16">
        <f>IF(R181="","",INDEX(挂机升级突破!$AE$35:$AG$55,卡牌消耗!L181,INDEX(挂机升级突破!$X$35:$X$55,卡牌消耗!L181)))</f>
        <v>155</v>
      </c>
      <c r="T181" s="16" t="str">
        <f>IF(INDEX(挂机升级突破!$Y$35:$Y$55,卡牌消耗!L181)&gt;0,"灵玉","")</f>
        <v>灵玉</v>
      </c>
      <c r="U181" s="16">
        <f>IF(INDEX(挂机升级突破!$Y$35:$Y$55,卡牌消耗!L181)&gt;0,INDEX(挂机升级突破!$AH$35:$AH$55,卡牌消耗!L181),"")</f>
        <v>50</v>
      </c>
    </row>
    <row r="182" spans="9:21" ht="16.5" x14ac:dyDescent="0.2">
      <c r="I182" s="36">
        <v>146</v>
      </c>
      <c r="J182" s="16">
        <f t="shared" si="11"/>
        <v>1102007</v>
      </c>
      <c r="K182" s="16">
        <f t="shared" si="12"/>
        <v>4</v>
      </c>
      <c r="L182" s="16">
        <f t="shared" si="14"/>
        <v>20</v>
      </c>
      <c r="M182" s="16" t="str">
        <f t="shared" si="13"/>
        <v>红</v>
      </c>
      <c r="N182" s="16" t="str">
        <f t="shared" si="15"/>
        <v>金币</v>
      </c>
      <c r="O182" s="16">
        <f>IF(L182&gt;1,INDEX(挂机升级突破!$AI$35:$AI$55,卡牌消耗!L182),"")</f>
        <v>178500</v>
      </c>
      <c r="P182" s="16" t="str">
        <f>IF(L182&gt;1,INDEX(价值概述!$A$4:$A$8,INDEX(挂机升级突破!$W$35:$W$55,卡牌消耗!L182)),"")</f>
        <v>红色基础材料</v>
      </c>
      <c r="Q182" s="16">
        <f>IF(L182&gt;1,INDEX(挂机升级突破!$Z$35:$AD$55,卡牌消耗!L182,INDEX(挂机升级突破!$W$35:$W$55,卡牌消耗!L182)),"")</f>
        <v>110</v>
      </c>
      <c r="R182" s="16" t="str">
        <f>IF(INDEX(挂机升级突破!$X$35:$X$55,卡牌消耗!L182)&gt;0,INDEX($G$2:$I$2,INDEX(挂机升级突破!$X$35:$X$55,卡牌消耗!L182))&amp;M182,"")</f>
        <v>高级红</v>
      </c>
      <c r="S182" s="16">
        <f>IF(R182="","",INDEX(挂机升级突破!$AE$35:$AG$55,卡牌消耗!L182,INDEX(挂机升级突破!$X$35:$X$55,卡牌消耗!L182)))</f>
        <v>180</v>
      </c>
      <c r="T182" s="16" t="str">
        <f>IF(INDEX(挂机升级突破!$Y$35:$Y$55,卡牌消耗!L182)&gt;0,"灵玉","")</f>
        <v>灵玉</v>
      </c>
      <c r="U182" s="16">
        <f>IF(INDEX(挂机升级突破!$Y$35:$Y$55,卡牌消耗!L182)&gt;0,INDEX(挂机升级突破!$AH$35:$AH$55,卡牌消耗!L182),"")</f>
        <v>65</v>
      </c>
    </row>
    <row r="183" spans="9:21" ht="16.5" x14ac:dyDescent="0.2">
      <c r="I183" s="36">
        <v>147</v>
      </c>
      <c r="J183" s="16">
        <f t="shared" si="11"/>
        <v>1102007</v>
      </c>
      <c r="K183" s="16">
        <f t="shared" si="12"/>
        <v>4</v>
      </c>
      <c r="L183" s="16">
        <f t="shared" si="14"/>
        <v>21</v>
      </c>
      <c r="M183" s="16" t="str">
        <f t="shared" si="13"/>
        <v>红</v>
      </c>
      <c r="N183" s="16" t="str">
        <f t="shared" si="15"/>
        <v>金币</v>
      </c>
      <c r="O183" s="16">
        <f>IF(L183&gt;1,INDEX(挂机升级突破!$AI$35:$AI$55,卡牌消耗!L183),"")</f>
        <v>214000</v>
      </c>
      <c r="P183" s="16" t="str">
        <f>IF(L183&gt;1,INDEX(价值概述!$A$4:$A$8,INDEX(挂机升级突破!$W$35:$W$55,卡牌消耗!L183)),"")</f>
        <v>红色基础材料</v>
      </c>
      <c r="Q183" s="16">
        <f>IF(L183&gt;1,INDEX(挂机升级突破!$Z$35:$AD$55,卡牌消耗!L183,INDEX(挂机升级突破!$W$35:$W$55,卡牌消耗!L183)),"")</f>
        <v>135</v>
      </c>
      <c r="R183" s="16" t="str">
        <f>IF(INDEX(挂机升级突破!$X$35:$X$55,卡牌消耗!L183)&gt;0,INDEX($G$2:$I$2,INDEX(挂机升级突破!$X$35:$X$55,卡牌消耗!L183))&amp;M183,"")</f>
        <v>高级红</v>
      </c>
      <c r="S183" s="16">
        <f>IF(R183="","",INDEX(挂机升级突破!$AE$35:$AG$55,卡牌消耗!L183,INDEX(挂机升级突破!$X$35:$X$55,卡牌消耗!L183)))</f>
        <v>225</v>
      </c>
      <c r="T183" s="16" t="str">
        <f>IF(INDEX(挂机升级突破!$Y$35:$Y$55,卡牌消耗!L183)&gt;0,"灵玉","")</f>
        <v>灵玉</v>
      </c>
      <c r="U183" s="16">
        <f>IF(INDEX(挂机升级突破!$Y$35:$Y$55,卡牌消耗!L183)&gt;0,INDEX(挂机升级突破!$AH$35:$AH$55,卡牌消耗!L183),"")</f>
        <v>75</v>
      </c>
    </row>
    <row r="184" spans="9:21" ht="16.5" x14ac:dyDescent="0.2">
      <c r="I184" s="36">
        <v>148</v>
      </c>
      <c r="J184" s="16">
        <f t="shared" si="11"/>
        <v>1102008</v>
      </c>
      <c r="K184" s="16">
        <f t="shared" si="12"/>
        <v>3</v>
      </c>
      <c r="L184" s="16">
        <f t="shared" si="14"/>
        <v>1</v>
      </c>
      <c r="M184" s="16" t="str">
        <f t="shared" si="13"/>
        <v>红</v>
      </c>
      <c r="N184" s="16" t="str">
        <f t="shared" si="15"/>
        <v/>
      </c>
      <c r="O184" s="16" t="str">
        <f>IF(L184&gt;1,INDEX(挂机升级突破!$AI$35:$AI$55,卡牌消耗!L184),"")</f>
        <v/>
      </c>
      <c r="P184" s="16" t="str">
        <f>IF(L184&gt;1,INDEX(价值概述!$A$4:$A$8,INDEX(挂机升级突破!$W$35:$W$55,卡牌消耗!L184)),"")</f>
        <v/>
      </c>
      <c r="Q184" s="16" t="str">
        <f>IF(L184&gt;1,INDEX(挂机升级突破!$Z$35:$AD$55,卡牌消耗!L184,INDEX(挂机升级突破!$W$35:$W$55,卡牌消耗!L184)),"")</f>
        <v/>
      </c>
      <c r="R184" s="16" t="str">
        <f>IF(INDEX(挂机升级突破!$X$35:$X$55,卡牌消耗!L184)&gt;0,INDEX($G$2:$I$2,INDEX(挂机升级突破!$X$35:$X$55,卡牌消耗!L184))&amp;M184,"")</f>
        <v/>
      </c>
      <c r="S184" s="16" t="str">
        <f>IF(R184="","",INDEX(挂机升级突破!$AE$35:$AG$55,卡牌消耗!L184,INDEX(挂机升级突破!$X$35:$X$55,卡牌消耗!L184)))</f>
        <v/>
      </c>
      <c r="T184" s="16" t="str">
        <f>IF(INDEX(挂机升级突破!$Y$35:$Y$55,卡牌消耗!L184)&gt;0,"灵玉","")</f>
        <v/>
      </c>
      <c r="U184" s="16" t="str">
        <f>IF(INDEX(挂机升级突破!$Y$35:$Y$55,卡牌消耗!L184)&gt;0,INDEX(挂机升级突破!$AH$35:$AH$55,卡牌消耗!L184),"")</f>
        <v/>
      </c>
    </row>
    <row r="185" spans="9:21" ht="16.5" x14ac:dyDescent="0.2">
      <c r="I185" s="36">
        <v>149</v>
      </c>
      <c r="J185" s="16">
        <f t="shared" si="11"/>
        <v>1102008</v>
      </c>
      <c r="K185" s="16">
        <f t="shared" si="12"/>
        <v>3</v>
      </c>
      <c r="L185" s="16">
        <f t="shared" si="14"/>
        <v>2</v>
      </c>
      <c r="M185" s="16" t="str">
        <f t="shared" si="13"/>
        <v>红</v>
      </c>
      <c r="N185" s="16" t="str">
        <f t="shared" si="15"/>
        <v>金币</v>
      </c>
      <c r="O185" s="16">
        <f>IF(L185&gt;1,INDEX(挂机升级突破!$AI$35:$AI$55,卡牌消耗!L185),"")</f>
        <v>2500</v>
      </c>
      <c r="P185" s="16" t="str">
        <f>IF(L185&gt;1,INDEX(价值概述!$A$4:$A$8,INDEX(挂机升级突破!$W$35:$W$55,卡牌消耗!L185)),"")</f>
        <v>绿色基础材料</v>
      </c>
      <c r="Q185" s="16">
        <f>IF(L185&gt;1,INDEX(挂机升级突破!$Z$35:$AD$55,卡牌消耗!L185,INDEX(挂机升级突破!$W$35:$W$55,卡牌消耗!L185)),"")</f>
        <v>40</v>
      </c>
      <c r="R185" s="16" t="str">
        <f>IF(INDEX(挂机升级突破!$X$35:$X$55,卡牌消耗!L185)&gt;0,INDEX($G$2:$I$2,INDEX(挂机升级突破!$X$35:$X$55,卡牌消耗!L185))&amp;M185,"")</f>
        <v/>
      </c>
      <c r="S185" s="16" t="str">
        <f>IF(R185="","",INDEX(挂机升级突破!$AE$35:$AG$55,卡牌消耗!L185,INDEX(挂机升级突破!$X$35:$X$55,卡牌消耗!L185)))</f>
        <v/>
      </c>
      <c r="T185" s="16" t="str">
        <f>IF(INDEX(挂机升级突破!$Y$35:$Y$55,卡牌消耗!L185)&gt;0,"灵玉","")</f>
        <v/>
      </c>
      <c r="U185" s="16" t="str">
        <f>IF(INDEX(挂机升级突破!$Y$35:$Y$55,卡牌消耗!L185)&gt;0,INDEX(挂机升级突破!$AH$35:$AH$55,卡牌消耗!L185),"")</f>
        <v/>
      </c>
    </row>
    <row r="186" spans="9:21" ht="16.5" x14ac:dyDescent="0.2">
      <c r="I186" s="36">
        <v>150</v>
      </c>
      <c r="J186" s="16">
        <f t="shared" si="11"/>
        <v>1102008</v>
      </c>
      <c r="K186" s="16">
        <f t="shared" si="12"/>
        <v>3</v>
      </c>
      <c r="L186" s="16">
        <f t="shared" si="14"/>
        <v>3</v>
      </c>
      <c r="M186" s="16" t="str">
        <f t="shared" si="13"/>
        <v>红</v>
      </c>
      <c r="N186" s="16" t="str">
        <f t="shared" si="15"/>
        <v>金币</v>
      </c>
      <c r="O186" s="16">
        <f>IF(L186&gt;1,INDEX(挂机升级突破!$AI$35:$AI$55,卡牌消耗!L186),"")</f>
        <v>8500</v>
      </c>
      <c r="P186" s="16" t="str">
        <f>IF(L186&gt;1,INDEX(价值概述!$A$4:$A$8,INDEX(挂机升级突破!$W$35:$W$55,卡牌消耗!L186)),"")</f>
        <v>绿色基础材料</v>
      </c>
      <c r="Q186" s="16">
        <f>IF(L186&gt;1,INDEX(挂机升级突破!$Z$35:$AD$55,卡牌消耗!L186,INDEX(挂机升级突破!$W$35:$W$55,卡牌消耗!L186)),"")</f>
        <v>120</v>
      </c>
      <c r="R186" s="16" t="str">
        <f>IF(INDEX(挂机升级突破!$X$35:$X$55,卡牌消耗!L186)&gt;0,INDEX($G$2:$I$2,INDEX(挂机升级突破!$X$35:$X$55,卡牌消耗!L186))&amp;M186,"")</f>
        <v/>
      </c>
      <c r="S186" s="16" t="str">
        <f>IF(R186="","",INDEX(挂机升级突破!$AE$35:$AG$55,卡牌消耗!L186,INDEX(挂机升级突破!$X$35:$X$55,卡牌消耗!L186)))</f>
        <v/>
      </c>
      <c r="T186" s="16" t="str">
        <f>IF(INDEX(挂机升级突破!$Y$35:$Y$55,卡牌消耗!L186)&gt;0,"灵玉","")</f>
        <v/>
      </c>
      <c r="U186" s="16" t="str">
        <f>IF(INDEX(挂机升级突破!$Y$35:$Y$55,卡牌消耗!L186)&gt;0,INDEX(挂机升级突破!$AH$35:$AH$55,卡牌消耗!L186),"")</f>
        <v/>
      </c>
    </row>
    <row r="187" spans="9:21" ht="16.5" x14ac:dyDescent="0.2">
      <c r="I187" s="36">
        <v>151</v>
      </c>
      <c r="J187" s="16">
        <f t="shared" si="11"/>
        <v>1102008</v>
      </c>
      <c r="K187" s="16">
        <f t="shared" si="12"/>
        <v>3</v>
      </c>
      <c r="L187" s="16">
        <f t="shared" si="14"/>
        <v>4</v>
      </c>
      <c r="M187" s="16" t="str">
        <f t="shared" si="13"/>
        <v>红</v>
      </c>
      <c r="N187" s="16" t="str">
        <f t="shared" si="15"/>
        <v>金币</v>
      </c>
      <c r="O187" s="16">
        <f>IF(L187&gt;1,INDEX(挂机升级突破!$AI$35:$AI$55,卡牌消耗!L187),"")</f>
        <v>17000</v>
      </c>
      <c r="P187" s="16" t="str">
        <f>IF(L187&gt;1,INDEX(价值概述!$A$4:$A$8,INDEX(挂机升级突破!$W$35:$W$55,卡牌消耗!L187)),"")</f>
        <v>绿色基础材料</v>
      </c>
      <c r="Q187" s="16">
        <f>IF(L187&gt;1,INDEX(挂机升级突破!$Z$35:$AD$55,卡牌消耗!L187,INDEX(挂机升级突破!$W$35:$W$55,卡牌消耗!L187)),"")</f>
        <v>240</v>
      </c>
      <c r="R187" s="16" t="str">
        <f>IF(INDEX(挂机升级突破!$X$35:$X$55,卡牌消耗!L187)&gt;0,INDEX($G$2:$I$2,INDEX(挂机升级突破!$X$35:$X$55,卡牌消耗!L187))&amp;M187,"")</f>
        <v>初级红</v>
      </c>
      <c r="S187" s="16">
        <f>IF(R187="","",INDEX(挂机升级突破!$AE$35:$AG$55,卡牌消耗!L187,INDEX(挂机升级突破!$X$35:$X$55,卡牌消耗!L187)))</f>
        <v>130</v>
      </c>
      <c r="T187" s="16" t="str">
        <f>IF(INDEX(挂机升级突破!$Y$35:$Y$55,卡牌消耗!L187)&gt;0,"灵玉","")</f>
        <v/>
      </c>
      <c r="U187" s="16" t="str">
        <f>IF(INDEX(挂机升级突破!$Y$35:$Y$55,卡牌消耗!L187)&gt;0,INDEX(挂机升级突破!$AH$35:$AH$55,卡牌消耗!L187),"")</f>
        <v/>
      </c>
    </row>
    <row r="188" spans="9:21" ht="16.5" x14ac:dyDescent="0.2">
      <c r="I188" s="36">
        <v>152</v>
      </c>
      <c r="J188" s="16">
        <f t="shared" si="11"/>
        <v>1102008</v>
      </c>
      <c r="K188" s="16">
        <f t="shared" si="12"/>
        <v>3</v>
      </c>
      <c r="L188" s="16">
        <f t="shared" si="14"/>
        <v>5</v>
      </c>
      <c r="M188" s="16" t="str">
        <f t="shared" si="13"/>
        <v>红</v>
      </c>
      <c r="N188" s="16" t="str">
        <f t="shared" si="15"/>
        <v>金币</v>
      </c>
      <c r="O188" s="16">
        <f>IF(L188&gt;1,INDEX(挂机升级突破!$AI$35:$AI$55,卡牌消耗!L188),"")</f>
        <v>10500</v>
      </c>
      <c r="P188" s="16" t="str">
        <f>IF(L188&gt;1,INDEX(价值概述!$A$4:$A$8,INDEX(挂机升级突破!$W$35:$W$55,卡牌消耗!L188)),"")</f>
        <v>蓝色基础材料</v>
      </c>
      <c r="Q188" s="16">
        <f>IF(L188&gt;1,INDEX(挂机升级突破!$Z$35:$AD$55,卡牌消耗!L188,INDEX(挂机升级突破!$W$35:$W$55,卡牌消耗!L188)),"")</f>
        <v>85</v>
      </c>
      <c r="R188" s="16" t="str">
        <f>IF(INDEX(挂机升级突破!$X$35:$X$55,卡牌消耗!L188)&gt;0,INDEX($G$2:$I$2,INDEX(挂机升级突破!$X$35:$X$55,卡牌消耗!L188))&amp;M188,"")</f>
        <v>初级红</v>
      </c>
      <c r="S188" s="16">
        <f>IF(R188="","",INDEX(挂机升级突破!$AE$35:$AG$55,卡牌消耗!L188,INDEX(挂机升级突破!$X$35:$X$55,卡牌消耗!L188)))</f>
        <v>160</v>
      </c>
      <c r="T188" s="16" t="str">
        <f>IF(INDEX(挂机升级突破!$Y$35:$Y$55,卡牌消耗!L188)&gt;0,"灵玉","")</f>
        <v/>
      </c>
      <c r="U188" s="16" t="str">
        <f>IF(INDEX(挂机升级突破!$Y$35:$Y$55,卡牌消耗!L188)&gt;0,INDEX(挂机升级突破!$AH$35:$AH$55,卡牌消耗!L188),"")</f>
        <v/>
      </c>
    </row>
    <row r="189" spans="9:21" ht="16.5" x14ac:dyDescent="0.2">
      <c r="I189" s="36">
        <v>153</v>
      </c>
      <c r="J189" s="16">
        <f t="shared" si="11"/>
        <v>1102008</v>
      </c>
      <c r="K189" s="16">
        <f t="shared" si="12"/>
        <v>3</v>
      </c>
      <c r="L189" s="16">
        <f t="shared" si="14"/>
        <v>6</v>
      </c>
      <c r="M189" s="16" t="str">
        <f t="shared" si="13"/>
        <v>红</v>
      </c>
      <c r="N189" s="16" t="str">
        <f t="shared" si="15"/>
        <v>金币</v>
      </c>
      <c r="O189" s="16">
        <f>IF(L189&gt;1,INDEX(挂机升级突破!$AI$35:$AI$55,卡牌消耗!L189),"")</f>
        <v>25000</v>
      </c>
      <c r="P189" s="16" t="str">
        <f>IF(L189&gt;1,INDEX(价值概述!$A$4:$A$8,INDEX(挂机升级突破!$W$35:$W$55,卡牌消耗!L189)),"")</f>
        <v>蓝色基础材料</v>
      </c>
      <c r="Q189" s="16">
        <f>IF(L189&gt;1,INDEX(挂机升级突破!$Z$35:$AD$55,卡牌消耗!L189,INDEX(挂机升级突破!$W$35:$W$55,卡牌消耗!L189)),"")</f>
        <v>145</v>
      </c>
      <c r="R189" s="16" t="str">
        <f>IF(INDEX(挂机升级突破!$X$35:$X$55,卡牌消耗!L189)&gt;0,INDEX($G$2:$I$2,INDEX(挂机升级突破!$X$35:$X$55,卡牌消耗!L189))&amp;M189,"")</f>
        <v>初级红</v>
      </c>
      <c r="S189" s="16">
        <f>IF(R189="","",INDEX(挂机升级突破!$AE$35:$AG$55,卡牌消耗!L189,INDEX(挂机升级突破!$X$35:$X$55,卡牌消耗!L189)))</f>
        <v>175</v>
      </c>
      <c r="T189" s="16" t="str">
        <f>IF(INDEX(挂机升级突破!$Y$35:$Y$55,卡牌消耗!L189)&gt;0,"灵玉","")</f>
        <v/>
      </c>
      <c r="U189" s="16" t="str">
        <f>IF(INDEX(挂机升级突破!$Y$35:$Y$55,卡牌消耗!L189)&gt;0,INDEX(挂机升级突破!$AH$35:$AH$55,卡牌消耗!L189),"")</f>
        <v/>
      </c>
    </row>
    <row r="190" spans="9:21" ht="16.5" x14ac:dyDescent="0.2">
      <c r="I190" s="36">
        <v>154</v>
      </c>
      <c r="J190" s="16">
        <f t="shared" si="11"/>
        <v>1102008</v>
      </c>
      <c r="K190" s="16">
        <f t="shared" si="12"/>
        <v>3</v>
      </c>
      <c r="L190" s="16">
        <f t="shared" si="14"/>
        <v>7</v>
      </c>
      <c r="M190" s="16" t="str">
        <f t="shared" si="13"/>
        <v>红</v>
      </c>
      <c r="N190" s="16" t="str">
        <f t="shared" si="15"/>
        <v>金币</v>
      </c>
      <c r="O190" s="16">
        <f>IF(L190&gt;1,INDEX(挂机升级突破!$AI$35:$AI$55,卡牌消耗!L190),"")</f>
        <v>28000</v>
      </c>
      <c r="P190" s="16" t="str">
        <f>IF(L190&gt;1,INDEX(价值概述!$A$4:$A$8,INDEX(挂机升级突破!$W$35:$W$55,卡牌消耗!L190)),"")</f>
        <v>蓝色基础材料</v>
      </c>
      <c r="Q190" s="16">
        <f>IF(L190&gt;1,INDEX(挂机升级突破!$Z$35:$AD$55,卡牌消耗!L190,INDEX(挂机升级突破!$W$35:$W$55,卡牌消耗!L190)),"")</f>
        <v>185</v>
      </c>
      <c r="R190" s="16" t="str">
        <f>IF(INDEX(挂机升级突破!$X$35:$X$55,卡牌消耗!L190)&gt;0,INDEX($G$2:$I$2,INDEX(挂机升级突破!$X$35:$X$55,卡牌消耗!L190))&amp;M190,"")</f>
        <v>初级红</v>
      </c>
      <c r="S190" s="16">
        <f>IF(R190="","",INDEX(挂机升级突破!$AE$35:$AG$55,卡牌消耗!L190,INDEX(挂机升级突破!$X$35:$X$55,卡牌消耗!L190)))</f>
        <v>190</v>
      </c>
      <c r="T190" s="16" t="str">
        <f>IF(INDEX(挂机升级突破!$Y$35:$Y$55,卡牌消耗!L190)&gt;0,"灵玉","")</f>
        <v/>
      </c>
      <c r="U190" s="16" t="str">
        <f>IF(INDEX(挂机升级突破!$Y$35:$Y$55,卡牌消耗!L190)&gt;0,INDEX(挂机升级突破!$AH$35:$AH$55,卡牌消耗!L190),"")</f>
        <v/>
      </c>
    </row>
    <row r="191" spans="9:21" ht="16.5" x14ac:dyDescent="0.2">
      <c r="I191" s="36">
        <v>155</v>
      </c>
      <c r="J191" s="16">
        <f t="shared" si="11"/>
        <v>1102008</v>
      </c>
      <c r="K191" s="16">
        <f t="shared" si="12"/>
        <v>3</v>
      </c>
      <c r="L191" s="16">
        <f t="shared" si="14"/>
        <v>8</v>
      </c>
      <c r="M191" s="16" t="str">
        <f t="shared" si="13"/>
        <v>红</v>
      </c>
      <c r="N191" s="16" t="str">
        <f t="shared" si="15"/>
        <v>金币</v>
      </c>
      <c r="O191" s="16">
        <f>IF(L191&gt;1,INDEX(挂机升级突破!$AI$35:$AI$55,卡牌消耗!L191),"")</f>
        <v>31000</v>
      </c>
      <c r="P191" s="16" t="str">
        <f>IF(L191&gt;1,INDEX(价值概述!$A$4:$A$8,INDEX(挂机升级突破!$W$35:$W$55,卡牌消耗!L191)),"")</f>
        <v>蓝色基础材料</v>
      </c>
      <c r="Q191" s="16">
        <f>IF(L191&gt;1,INDEX(挂机升级突破!$Z$35:$AD$55,卡牌消耗!L191,INDEX(挂机升级突破!$W$35:$W$55,卡牌消耗!L191)),"")</f>
        <v>220</v>
      </c>
      <c r="R191" s="16" t="str">
        <f>IF(INDEX(挂机升级突破!$X$35:$X$55,卡牌消耗!L191)&gt;0,INDEX($G$2:$I$2,INDEX(挂机升级突破!$X$35:$X$55,卡牌消耗!L191))&amp;M191,"")</f>
        <v>初级红</v>
      </c>
      <c r="S191" s="16">
        <f>IF(R191="","",INDEX(挂机升级突破!$AE$35:$AG$55,卡牌消耗!L191,INDEX(挂机升级突破!$X$35:$X$55,卡牌消耗!L191)))</f>
        <v>200</v>
      </c>
      <c r="T191" s="16" t="str">
        <f>IF(INDEX(挂机升级突破!$Y$35:$Y$55,卡牌消耗!L191)&gt;0,"灵玉","")</f>
        <v/>
      </c>
      <c r="U191" s="16" t="str">
        <f>IF(INDEX(挂机升级突破!$Y$35:$Y$55,卡牌消耗!L191)&gt;0,INDEX(挂机升级突破!$AH$35:$AH$55,卡牌消耗!L191),"")</f>
        <v/>
      </c>
    </row>
    <row r="192" spans="9:21" ht="16.5" x14ac:dyDescent="0.2">
      <c r="I192" s="36">
        <v>156</v>
      </c>
      <c r="J192" s="16">
        <f t="shared" si="11"/>
        <v>1102008</v>
      </c>
      <c r="K192" s="16">
        <f t="shared" si="12"/>
        <v>3</v>
      </c>
      <c r="L192" s="16">
        <f t="shared" si="14"/>
        <v>9</v>
      </c>
      <c r="M192" s="16" t="str">
        <f t="shared" si="13"/>
        <v>红</v>
      </c>
      <c r="N192" s="16" t="str">
        <f t="shared" si="15"/>
        <v>金币</v>
      </c>
      <c r="O192" s="16">
        <f>IF(L192&gt;1,INDEX(挂机升级突破!$AI$35:$AI$55,卡牌消耗!L192),"")</f>
        <v>24000</v>
      </c>
      <c r="P192" s="16" t="str">
        <f>IF(L192&gt;1,INDEX(价值概述!$A$4:$A$8,INDEX(挂机升级突破!$W$35:$W$55,卡牌消耗!L192)),"")</f>
        <v>紫色基础材料</v>
      </c>
      <c r="Q192" s="16">
        <f>IF(L192&gt;1,INDEX(挂机升级突破!$Z$35:$AD$55,卡牌消耗!L192,INDEX(挂机升级突破!$W$35:$W$55,卡牌消耗!L192)),"")</f>
        <v>95</v>
      </c>
      <c r="R192" s="16" t="str">
        <f>IF(INDEX(挂机升级突破!$X$35:$X$55,卡牌消耗!L192)&gt;0,INDEX($G$2:$I$2,INDEX(挂机升级突破!$X$35:$X$55,卡牌消耗!L192))&amp;M192,"")</f>
        <v>中级红</v>
      </c>
      <c r="S192" s="16">
        <f>IF(R192="","",INDEX(挂机升级突破!$AE$35:$AG$55,卡牌消耗!L192,INDEX(挂机升级突破!$X$35:$X$55,卡牌消耗!L192)))</f>
        <v>80</v>
      </c>
      <c r="T192" s="16" t="str">
        <f>IF(INDEX(挂机升级突破!$Y$35:$Y$55,卡牌消耗!L192)&gt;0,"灵玉","")</f>
        <v/>
      </c>
      <c r="U192" s="16" t="str">
        <f>IF(INDEX(挂机升级突破!$Y$35:$Y$55,卡牌消耗!L192)&gt;0,INDEX(挂机升级突破!$AH$35:$AH$55,卡牌消耗!L192),"")</f>
        <v/>
      </c>
    </row>
    <row r="193" spans="9:21" ht="16.5" x14ac:dyDescent="0.2">
      <c r="I193" s="36">
        <v>157</v>
      </c>
      <c r="J193" s="16">
        <f t="shared" si="11"/>
        <v>1102008</v>
      </c>
      <c r="K193" s="16">
        <f t="shared" si="12"/>
        <v>3</v>
      </c>
      <c r="L193" s="16">
        <f t="shared" si="14"/>
        <v>10</v>
      </c>
      <c r="M193" s="16" t="str">
        <f t="shared" si="13"/>
        <v>红</v>
      </c>
      <c r="N193" s="16" t="str">
        <f t="shared" si="15"/>
        <v>金币</v>
      </c>
      <c r="O193" s="16">
        <f>IF(L193&gt;1,INDEX(挂机升级突破!$AI$35:$AI$55,卡牌消耗!L193),"")</f>
        <v>26500</v>
      </c>
      <c r="P193" s="16" t="str">
        <f>IF(L193&gt;1,INDEX(价值概述!$A$4:$A$8,INDEX(挂机升级突破!$W$35:$W$55,卡牌消耗!L193)),"")</f>
        <v>紫色基础材料</v>
      </c>
      <c r="Q193" s="16">
        <f>IF(L193&gt;1,INDEX(挂机升级突破!$Z$35:$AD$55,卡牌消耗!L193,INDEX(挂机升级突破!$W$35:$W$55,卡牌消耗!L193)),"")</f>
        <v>175</v>
      </c>
      <c r="R193" s="16" t="str">
        <f>IF(INDEX(挂机升级突破!$X$35:$X$55,卡牌消耗!L193)&gt;0,INDEX($G$2:$I$2,INDEX(挂机升级突破!$X$35:$X$55,卡牌消耗!L193))&amp;M193,"")</f>
        <v>中级红</v>
      </c>
      <c r="S193" s="16">
        <f>IF(R193="","",INDEX(挂机升级突破!$AE$35:$AG$55,卡牌消耗!L193,INDEX(挂机升级突破!$X$35:$X$55,卡牌消耗!L193)))</f>
        <v>120</v>
      </c>
      <c r="T193" s="16" t="str">
        <f>IF(INDEX(挂机升级突破!$Y$35:$Y$55,卡牌消耗!L193)&gt;0,"灵玉","")</f>
        <v/>
      </c>
      <c r="U193" s="16" t="str">
        <f>IF(INDEX(挂机升级突破!$Y$35:$Y$55,卡牌消耗!L193)&gt;0,INDEX(挂机升级突破!$AH$35:$AH$55,卡牌消耗!L193),"")</f>
        <v/>
      </c>
    </row>
    <row r="194" spans="9:21" ht="16.5" x14ac:dyDescent="0.2">
      <c r="I194" s="36">
        <v>158</v>
      </c>
      <c r="J194" s="16">
        <f t="shared" si="11"/>
        <v>1102008</v>
      </c>
      <c r="K194" s="16">
        <f t="shared" si="12"/>
        <v>3</v>
      </c>
      <c r="L194" s="16">
        <f t="shared" si="14"/>
        <v>11</v>
      </c>
      <c r="M194" s="16" t="str">
        <f t="shared" si="13"/>
        <v>红</v>
      </c>
      <c r="N194" s="16" t="str">
        <f t="shared" si="15"/>
        <v>金币</v>
      </c>
      <c r="O194" s="16">
        <f>IF(L194&gt;1,INDEX(挂机升级突破!$AI$35:$AI$55,卡牌消耗!L194),"")</f>
        <v>28500</v>
      </c>
      <c r="P194" s="16" t="str">
        <f>IF(L194&gt;1,INDEX(价值概述!$A$4:$A$8,INDEX(挂机升级突破!$W$35:$W$55,卡牌消耗!L194)),"")</f>
        <v>紫色基础材料</v>
      </c>
      <c r="Q194" s="16">
        <f>IF(L194&gt;1,INDEX(挂机升级突破!$Z$35:$AD$55,卡牌消耗!L194,INDEX(挂机升级突破!$W$35:$W$55,卡牌消耗!L194)),"")</f>
        <v>245</v>
      </c>
      <c r="R194" s="16" t="str">
        <f>IF(INDEX(挂机升级突破!$X$35:$X$55,卡牌消耗!L194)&gt;0,INDEX($G$2:$I$2,INDEX(挂机升级突破!$X$35:$X$55,卡牌消耗!L194))&amp;M194,"")</f>
        <v>中级红</v>
      </c>
      <c r="S194" s="16">
        <f>IF(R194="","",INDEX(挂机升级突破!$AE$35:$AG$55,卡牌消耗!L194,INDEX(挂机升级突破!$X$35:$X$55,卡牌消耗!L194)))</f>
        <v>170</v>
      </c>
      <c r="T194" s="16" t="str">
        <f>IF(INDEX(挂机升级突破!$Y$35:$Y$55,卡牌消耗!L194)&gt;0,"灵玉","")</f>
        <v/>
      </c>
      <c r="U194" s="16" t="str">
        <f>IF(INDEX(挂机升级突破!$Y$35:$Y$55,卡牌消耗!L194)&gt;0,INDEX(挂机升级突破!$AH$35:$AH$55,卡牌消耗!L194),"")</f>
        <v/>
      </c>
    </row>
    <row r="195" spans="9:21" ht="16.5" x14ac:dyDescent="0.2">
      <c r="I195" s="36">
        <v>159</v>
      </c>
      <c r="J195" s="16">
        <f t="shared" si="11"/>
        <v>1102008</v>
      </c>
      <c r="K195" s="16">
        <f t="shared" si="12"/>
        <v>3</v>
      </c>
      <c r="L195" s="16">
        <f t="shared" si="14"/>
        <v>12</v>
      </c>
      <c r="M195" s="16" t="str">
        <f t="shared" si="13"/>
        <v>红</v>
      </c>
      <c r="N195" s="16" t="str">
        <f t="shared" si="15"/>
        <v>金币</v>
      </c>
      <c r="O195" s="16">
        <f>IF(L195&gt;1,INDEX(挂机升级突破!$AI$35:$AI$55,卡牌消耗!L195),"")</f>
        <v>30500</v>
      </c>
      <c r="P195" s="16" t="str">
        <f>IF(L195&gt;1,INDEX(价值概述!$A$4:$A$8,INDEX(挂机升级突破!$W$35:$W$55,卡牌消耗!L195)),"")</f>
        <v>紫色基础材料</v>
      </c>
      <c r="Q195" s="16">
        <f>IF(L195&gt;1,INDEX(挂机升级突破!$Z$35:$AD$55,卡牌消耗!L195,INDEX(挂机升级突破!$W$35:$W$55,卡牌消耗!L195)),"")</f>
        <v>305</v>
      </c>
      <c r="R195" s="16" t="str">
        <f>IF(INDEX(挂机升级突破!$X$35:$X$55,卡牌消耗!L195)&gt;0,INDEX($G$2:$I$2,INDEX(挂机升级突破!$X$35:$X$55,卡牌消耗!L195))&amp;M195,"")</f>
        <v>中级红</v>
      </c>
      <c r="S195" s="16">
        <f>IF(R195="","",INDEX(挂机升级突破!$AE$35:$AG$55,卡牌消耗!L195,INDEX(挂机升级突破!$X$35:$X$55,卡牌消耗!L195)))</f>
        <v>200</v>
      </c>
      <c r="T195" s="16" t="str">
        <f>IF(INDEX(挂机升级突破!$Y$35:$Y$55,卡牌消耗!L195)&gt;0,"灵玉","")</f>
        <v/>
      </c>
      <c r="U195" s="16" t="str">
        <f>IF(INDEX(挂机升级突破!$Y$35:$Y$55,卡牌消耗!L195)&gt;0,INDEX(挂机升级突破!$AH$35:$AH$55,卡牌消耗!L195),"")</f>
        <v/>
      </c>
    </row>
    <row r="196" spans="9:21" ht="16.5" x14ac:dyDescent="0.2">
      <c r="I196" s="36">
        <v>160</v>
      </c>
      <c r="J196" s="16">
        <f t="shared" si="11"/>
        <v>1102008</v>
      </c>
      <c r="K196" s="16">
        <f t="shared" si="12"/>
        <v>3</v>
      </c>
      <c r="L196" s="16">
        <f t="shared" si="14"/>
        <v>13</v>
      </c>
      <c r="M196" s="16" t="str">
        <f t="shared" si="13"/>
        <v>红</v>
      </c>
      <c r="N196" s="16" t="str">
        <f t="shared" si="15"/>
        <v>金币</v>
      </c>
      <c r="O196" s="16">
        <f>IF(L196&gt;1,INDEX(挂机升级突破!$AI$35:$AI$55,卡牌消耗!L196),"")</f>
        <v>38500</v>
      </c>
      <c r="P196" s="16" t="str">
        <f>IF(L196&gt;1,INDEX(价值概述!$A$4:$A$8,INDEX(挂机升级突破!$W$35:$W$55,卡牌消耗!L196)),"")</f>
        <v>橙色基础材料</v>
      </c>
      <c r="Q196" s="16">
        <f>IF(L196&gt;1,INDEX(挂机升级突破!$Z$35:$AD$55,卡牌消耗!L196,INDEX(挂机升级突破!$W$35:$W$55,卡牌消耗!L196)),"")</f>
        <v>115</v>
      </c>
      <c r="R196" s="16" t="str">
        <f>IF(INDEX(挂机升级突破!$X$35:$X$55,卡牌消耗!L196)&gt;0,INDEX($G$2:$I$2,INDEX(挂机升级突破!$X$35:$X$55,卡牌消耗!L196))&amp;M196,"")</f>
        <v>中级红</v>
      </c>
      <c r="S196" s="16">
        <f>IF(R196="","",INDEX(挂机升级突破!$AE$35:$AG$55,卡牌消耗!L196,INDEX(挂机升级突破!$X$35:$X$55,卡牌消耗!L196)))</f>
        <v>225</v>
      </c>
      <c r="T196" s="16" t="str">
        <f>IF(INDEX(挂机升级突破!$Y$35:$Y$55,卡牌消耗!L196)&gt;0,"灵玉","")</f>
        <v/>
      </c>
      <c r="U196" s="16" t="str">
        <f>IF(INDEX(挂机升级突破!$Y$35:$Y$55,卡牌消耗!L196)&gt;0,INDEX(挂机升级突破!$AH$35:$AH$55,卡牌消耗!L196),"")</f>
        <v/>
      </c>
    </row>
    <row r="197" spans="9:21" ht="16.5" x14ac:dyDescent="0.2">
      <c r="I197" s="36">
        <v>161</v>
      </c>
      <c r="J197" s="16">
        <f t="shared" si="11"/>
        <v>1102008</v>
      </c>
      <c r="K197" s="16">
        <f t="shared" si="12"/>
        <v>3</v>
      </c>
      <c r="L197" s="16">
        <f t="shared" si="14"/>
        <v>14</v>
      </c>
      <c r="M197" s="16" t="str">
        <f t="shared" si="13"/>
        <v>红</v>
      </c>
      <c r="N197" s="16" t="str">
        <f t="shared" si="15"/>
        <v>金币</v>
      </c>
      <c r="O197" s="16">
        <f>IF(L197&gt;1,INDEX(挂机升级突破!$AI$35:$AI$55,卡牌消耗!L197),"")</f>
        <v>51000</v>
      </c>
      <c r="P197" s="16" t="str">
        <f>IF(L197&gt;1,INDEX(价值概述!$A$4:$A$8,INDEX(挂机升级突破!$W$35:$W$55,卡牌消耗!L197)),"")</f>
        <v>橙色基础材料</v>
      </c>
      <c r="Q197" s="16">
        <f>IF(L197&gt;1,INDEX(挂机升级突破!$Z$35:$AD$55,卡牌消耗!L197,INDEX(挂机升级突破!$W$35:$W$55,卡牌消耗!L197)),"")</f>
        <v>235</v>
      </c>
      <c r="R197" s="16" t="str">
        <f>IF(INDEX(挂机升级突破!$X$35:$X$55,卡牌消耗!L197)&gt;0,INDEX($G$2:$I$2,INDEX(挂机升级突破!$X$35:$X$55,卡牌消耗!L197))&amp;M197,"")</f>
        <v>中级红</v>
      </c>
      <c r="S197" s="16">
        <f>IF(R197="","",INDEX(挂机升级突破!$AE$35:$AG$55,卡牌消耗!L197,INDEX(挂机升级突破!$X$35:$X$55,卡牌消耗!L197)))</f>
        <v>265</v>
      </c>
      <c r="T197" s="16" t="str">
        <f>IF(INDEX(挂机升级突破!$Y$35:$Y$55,卡牌消耗!L197)&gt;0,"灵玉","")</f>
        <v/>
      </c>
      <c r="U197" s="16" t="str">
        <f>IF(INDEX(挂机升级突破!$Y$35:$Y$55,卡牌消耗!L197)&gt;0,INDEX(挂机升级突破!$AH$35:$AH$55,卡牌消耗!L197),"")</f>
        <v/>
      </c>
    </row>
    <row r="198" spans="9:21" ht="16.5" x14ac:dyDescent="0.2">
      <c r="I198" s="36">
        <v>162</v>
      </c>
      <c r="J198" s="16">
        <f t="shared" si="11"/>
        <v>1102008</v>
      </c>
      <c r="K198" s="16">
        <f t="shared" si="12"/>
        <v>3</v>
      </c>
      <c r="L198" s="16">
        <f t="shared" si="14"/>
        <v>15</v>
      </c>
      <c r="M198" s="16" t="str">
        <f t="shared" si="13"/>
        <v>红</v>
      </c>
      <c r="N198" s="16" t="str">
        <f t="shared" si="15"/>
        <v>金币</v>
      </c>
      <c r="O198" s="16">
        <f>IF(L198&gt;1,INDEX(挂机升级突破!$AI$35:$AI$55,卡牌消耗!L198),"")</f>
        <v>60000</v>
      </c>
      <c r="P198" s="16" t="str">
        <f>IF(L198&gt;1,INDEX(价值概述!$A$4:$A$8,INDEX(挂机升级突破!$W$35:$W$55,卡牌消耗!L198)),"")</f>
        <v>橙色基础材料</v>
      </c>
      <c r="Q198" s="16">
        <f>IF(L198&gt;1,INDEX(挂机升级突破!$Z$35:$AD$55,卡牌消耗!L198,INDEX(挂机升级突破!$W$35:$W$55,卡牌消耗!L198)),"")</f>
        <v>355</v>
      </c>
      <c r="R198" s="16" t="str">
        <f>IF(INDEX(挂机升级突破!$X$35:$X$55,卡牌消耗!L198)&gt;0,INDEX($G$2:$I$2,INDEX(挂机升级突破!$X$35:$X$55,卡牌消耗!L198))&amp;M198,"")</f>
        <v>高级红</v>
      </c>
      <c r="S198" s="16">
        <f>IF(R198="","",INDEX(挂机升级突破!$AE$35:$AG$55,卡牌消耗!L198,INDEX(挂机升级突破!$X$35:$X$55,卡牌消耗!L198)))</f>
        <v>45</v>
      </c>
      <c r="T198" s="16" t="str">
        <f>IF(INDEX(挂机升级突破!$Y$35:$Y$55,卡牌消耗!L198)&gt;0,"灵玉","")</f>
        <v/>
      </c>
      <c r="U198" s="16" t="str">
        <f>IF(INDEX(挂机升级突破!$Y$35:$Y$55,卡牌消耗!L198)&gt;0,INDEX(挂机升级突破!$AH$35:$AH$55,卡牌消耗!L198),"")</f>
        <v/>
      </c>
    </row>
    <row r="199" spans="9:21" ht="16.5" x14ac:dyDescent="0.2">
      <c r="I199" s="36">
        <v>163</v>
      </c>
      <c r="J199" s="16">
        <f t="shared" si="11"/>
        <v>1102008</v>
      </c>
      <c r="K199" s="16">
        <f t="shared" si="12"/>
        <v>3</v>
      </c>
      <c r="L199" s="16">
        <f t="shared" si="14"/>
        <v>16</v>
      </c>
      <c r="M199" s="16" t="str">
        <f t="shared" si="13"/>
        <v>红</v>
      </c>
      <c r="N199" s="16" t="str">
        <f t="shared" si="15"/>
        <v>金币</v>
      </c>
      <c r="O199" s="16">
        <f>IF(L199&gt;1,INDEX(挂机升级突破!$AI$35:$AI$55,卡牌消耗!L199),"")</f>
        <v>69000</v>
      </c>
      <c r="P199" s="16" t="str">
        <f>IF(L199&gt;1,INDEX(价值概述!$A$4:$A$8,INDEX(挂机升级突破!$W$35:$W$55,卡牌消耗!L199)),"")</f>
        <v>橙色基础材料</v>
      </c>
      <c r="Q199" s="16">
        <f>IF(L199&gt;1,INDEX(挂机升级突破!$Z$35:$AD$55,卡牌消耗!L199,INDEX(挂机升级突破!$W$35:$W$55,卡牌消耗!L199)),"")</f>
        <v>475</v>
      </c>
      <c r="R199" s="16" t="str">
        <f>IF(INDEX(挂机升级突破!$X$35:$X$55,卡牌消耗!L199)&gt;0,INDEX($G$2:$I$2,INDEX(挂机升级突破!$X$35:$X$55,卡牌消耗!L199))&amp;M199,"")</f>
        <v>高级红</v>
      </c>
      <c r="S199" s="16">
        <f>IF(R199="","",INDEX(挂机升级突破!$AE$35:$AG$55,卡牌消耗!L199,INDEX(挂机升级突破!$X$35:$X$55,卡牌消耗!L199)))</f>
        <v>70</v>
      </c>
      <c r="T199" s="16" t="str">
        <f>IF(INDEX(挂机升级突破!$Y$35:$Y$55,卡牌消耗!L199)&gt;0,"灵玉","")</f>
        <v/>
      </c>
      <c r="U199" s="16" t="str">
        <f>IF(INDEX(挂机升级突破!$Y$35:$Y$55,卡牌消耗!L199)&gt;0,INDEX(挂机升级突破!$AH$35:$AH$55,卡牌消耗!L199),"")</f>
        <v/>
      </c>
    </row>
    <row r="200" spans="9:21" ht="16.5" x14ac:dyDescent="0.2">
      <c r="I200" s="36">
        <v>164</v>
      </c>
      <c r="J200" s="16">
        <f t="shared" si="11"/>
        <v>1102008</v>
      </c>
      <c r="K200" s="16">
        <f t="shared" si="12"/>
        <v>3</v>
      </c>
      <c r="L200" s="16">
        <f t="shared" si="14"/>
        <v>17</v>
      </c>
      <c r="M200" s="16" t="str">
        <f t="shared" si="13"/>
        <v>红</v>
      </c>
      <c r="N200" s="16" t="str">
        <f t="shared" si="15"/>
        <v>金币</v>
      </c>
      <c r="O200" s="16">
        <f>IF(L200&gt;1,INDEX(挂机升级突破!$AI$35:$AI$55,卡牌消耗!L200),"")</f>
        <v>76500</v>
      </c>
      <c r="P200" s="16" t="str">
        <f>IF(L200&gt;1,INDEX(价值概述!$A$4:$A$8,INDEX(挂机升级突破!$W$35:$W$55,卡牌消耗!L200)),"")</f>
        <v>红色基础材料</v>
      </c>
      <c r="Q200" s="16">
        <f>IF(L200&gt;1,INDEX(挂机升级突破!$Z$35:$AD$55,卡牌消耗!L200,INDEX(挂机升级突破!$W$35:$W$55,卡牌消耗!L200)),"")</f>
        <v>45</v>
      </c>
      <c r="R200" s="16" t="str">
        <f>IF(INDEX(挂机升级突破!$X$35:$X$55,卡牌消耗!L200)&gt;0,INDEX($G$2:$I$2,INDEX(挂机升级突破!$X$35:$X$55,卡牌消耗!L200))&amp;M200,"")</f>
        <v>高级红</v>
      </c>
      <c r="S200" s="16">
        <f>IF(R200="","",INDEX(挂机升级突破!$AE$35:$AG$55,卡牌消耗!L200,INDEX(挂机升级突破!$X$35:$X$55,卡牌消耗!L200)))</f>
        <v>100</v>
      </c>
      <c r="T200" s="16" t="str">
        <f>IF(INDEX(挂机升级突破!$Y$35:$Y$55,卡牌消耗!L200)&gt;0,"灵玉","")</f>
        <v>灵玉</v>
      </c>
      <c r="U200" s="16">
        <f>IF(INDEX(挂机升级突破!$Y$35:$Y$55,卡牌消耗!L200)&gt;0,INDEX(挂机升级突破!$AH$35:$AH$55,卡牌消耗!L200),"")</f>
        <v>25</v>
      </c>
    </row>
    <row r="201" spans="9:21" ht="16.5" x14ac:dyDescent="0.2">
      <c r="I201" s="36">
        <v>165</v>
      </c>
      <c r="J201" s="16">
        <f t="shared" si="11"/>
        <v>1102008</v>
      </c>
      <c r="K201" s="16">
        <f t="shared" si="12"/>
        <v>3</v>
      </c>
      <c r="L201" s="16">
        <f t="shared" si="14"/>
        <v>18</v>
      </c>
      <c r="M201" s="16" t="str">
        <f t="shared" si="13"/>
        <v>红</v>
      </c>
      <c r="N201" s="16" t="str">
        <f t="shared" si="15"/>
        <v>金币</v>
      </c>
      <c r="O201" s="16">
        <f>IF(L201&gt;1,INDEX(挂机升级突破!$AI$35:$AI$55,卡牌消耗!L201),"")</f>
        <v>107000</v>
      </c>
      <c r="P201" s="16" t="str">
        <f>IF(L201&gt;1,INDEX(价值概述!$A$4:$A$8,INDEX(挂机升级突破!$W$35:$W$55,卡牌消耗!L201)),"")</f>
        <v>红色基础材料</v>
      </c>
      <c r="Q201" s="16">
        <f>IF(L201&gt;1,INDEX(挂机升级突破!$Z$35:$AD$55,卡牌消耗!L201,INDEX(挂机升级突破!$W$35:$W$55,卡牌消耗!L201)),"")</f>
        <v>65</v>
      </c>
      <c r="R201" s="16" t="str">
        <f>IF(INDEX(挂机升级突破!$X$35:$X$55,卡牌消耗!L201)&gt;0,INDEX($G$2:$I$2,INDEX(挂机升级突破!$X$35:$X$55,卡牌消耗!L201))&amp;M201,"")</f>
        <v>高级红</v>
      </c>
      <c r="S201" s="16">
        <f>IF(R201="","",INDEX(挂机升级突破!$AE$35:$AG$55,卡牌消耗!L201,INDEX(挂机升级突破!$X$35:$X$55,卡牌消耗!L201)))</f>
        <v>125</v>
      </c>
      <c r="T201" s="16" t="str">
        <f>IF(INDEX(挂机升级突破!$Y$35:$Y$55,卡牌消耗!L201)&gt;0,"灵玉","")</f>
        <v>灵玉</v>
      </c>
      <c r="U201" s="16">
        <f>IF(INDEX(挂机升级突破!$Y$35:$Y$55,卡牌消耗!L201)&gt;0,INDEX(挂机升级突破!$AH$35:$AH$55,卡牌消耗!L201),"")</f>
        <v>35</v>
      </c>
    </row>
    <row r="202" spans="9:21" ht="16.5" x14ac:dyDescent="0.2">
      <c r="I202" s="36">
        <v>166</v>
      </c>
      <c r="J202" s="16">
        <f t="shared" si="11"/>
        <v>1102008</v>
      </c>
      <c r="K202" s="16">
        <f t="shared" si="12"/>
        <v>3</v>
      </c>
      <c r="L202" s="16">
        <f t="shared" si="14"/>
        <v>19</v>
      </c>
      <c r="M202" s="16" t="str">
        <f t="shared" si="13"/>
        <v>红</v>
      </c>
      <c r="N202" s="16" t="str">
        <f t="shared" si="15"/>
        <v>金币</v>
      </c>
      <c r="O202" s="16">
        <f>IF(L202&gt;1,INDEX(挂机升级突破!$AI$35:$AI$55,卡牌消耗!L202),"")</f>
        <v>142500</v>
      </c>
      <c r="P202" s="16" t="str">
        <f>IF(L202&gt;1,INDEX(价值概述!$A$4:$A$8,INDEX(挂机升级突破!$W$35:$W$55,卡牌消耗!L202)),"")</f>
        <v>红色基础材料</v>
      </c>
      <c r="Q202" s="16">
        <f>IF(L202&gt;1,INDEX(挂机升级突破!$Z$35:$AD$55,卡牌消耗!L202,INDEX(挂机升级突破!$W$35:$W$55,卡牌消耗!L202)),"")</f>
        <v>90</v>
      </c>
      <c r="R202" s="16" t="str">
        <f>IF(INDEX(挂机升级突破!$X$35:$X$55,卡牌消耗!L202)&gt;0,INDEX($G$2:$I$2,INDEX(挂机升级突破!$X$35:$X$55,卡牌消耗!L202))&amp;M202,"")</f>
        <v>高级红</v>
      </c>
      <c r="S202" s="16">
        <f>IF(R202="","",INDEX(挂机升级突破!$AE$35:$AG$55,卡牌消耗!L202,INDEX(挂机升级突破!$X$35:$X$55,卡牌消耗!L202)))</f>
        <v>155</v>
      </c>
      <c r="T202" s="16" t="str">
        <f>IF(INDEX(挂机升级突破!$Y$35:$Y$55,卡牌消耗!L202)&gt;0,"灵玉","")</f>
        <v>灵玉</v>
      </c>
      <c r="U202" s="16">
        <f>IF(INDEX(挂机升级突破!$Y$35:$Y$55,卡牌消耗!L202)&gt;0,INDEX(挂机升级突破!$AH$35:$AH$55,卡牌消耗!L202),"")</f>
        <v>50</v>
      </c>
    </row>
    <row r="203" spans="9:21" ht="16.5" x14ac:dyDescent="0.2">
      <c r="I203" s="36">
        <v>167</v>
      </c>
      <c r="J203" s="16">
        <f t="shared" si="11"/>
        <v>1102008</v>
      </c>
      <c r="K203" s="16">
        <f t="shared" si="12"/>
        <v>3</v>
      </c>
      <c r="L203" s="16">
        <f t="shared" si="14"/>
        <v>20</v>
      </c>
      <c r="M203" s="16" t="str">
        <f t="shared" si="13"/>
        <v>红</v>
      </c>
      <c r="N203" s="16" t="str">
        <f t="shared" si="15"/>
        <v>金币</v>
      </c>
      <c r="O203" s="16">
        <f>IF(L203&gt;1,INDEX(挂机升级突破!$AI$35:$AI$55,卡牌消耗!L203),"")</f>
        <v>178500</v>
      </c>
      <c r="P203" s="16" t="str">
        <f>IF(L203&gt;1,INDEX(价值概述!$A$4:$A$8,INDEX(挂机升级突破!$W$35:$W$55,卡牌消耗!L203)),"")</f>
        <v>红色基础材料</v>
      </c>
      <c r="Q203" s="16">
        <f>IF(L203&gt;1,INDEX(挂机升级突破!$Z$35:$AD$55,卡牌消耗!L203,INDEX(挂机升级突破!$W$35:$W$55,卡牌消耗!L203)),"")</f>
        <v>110</v>
      </c>
      <c r="R203" s="16" t="str">
        <f>IF(INDEX(挂机升级突破!$X$35:$X$55,卡牌消耗!L203)&gt;0,INDEX($G$2:$I$2,INDEX(挂机升级突破!$X$35:$X$55,卡牌消耗!L203))&amp;M203,"")</f>
        <v>高级红</v>
      </c>
      <c r="S203" s="16">
        <f>IF(R203="","",INDEX(挂机升级突破!$AE$35:$AG$55,卡牌消耗!L203,INDEX(挂机升级突破!$X$35:$X$55,卡牌消耗!L203)))</f>
        <v>180</v>
      </c>
      <c r="T203" s="16" t="str">
        <f>IF(INDEX(挂机升级突破!$Y$35:$Y$55,卡牌消耗!L203)&gt;0,"灵玉","")</f>
        <v>灵玉</v>
      </c>
      <c r="U203" s="16">
        <f>IF(INDEX(挂机升级突破!$Y$35:$Y$55,卡牌消耗!L203)&gt;0,INDEX(挂机升级突破!$AH$35:$AH$55,卡牌消耗!L203),"")</f>
        <v>65</v>
      </c>
    </row>
    <row r="204" spans="9:21" ht="16.5" x14ac:dyDescent="0.2">
      <c r="I204" s="36">
        <v>168</v>
      </c>
      <c r="J204" s="16">
        <f t="shared" si="11"/>
        <v>1102008</v>
      </c>
      <c r="K204" s="16">
        <f t="shared" si="12"/>
        <v>3</v>
      </c>
      <c r="L204" s="16">
        <f t="shared" si="14"/>
        <v>21</v>
      </c>
      <c r="M204" s="16" t="str">
        <f t="shared" si="13"/>
        <v>红</v>
      </c>
      <c r="N204" s="16" t="str">
        <f t="shared" si="15"/>
        <v>金币</v>
      </c>
      <c r="O204" s="16">
        <f>IF(L204&gt;1,INDEX(挂机升级突破!$AI$35:$AI$55,卡牌消耗!L204),"")</f>
        <v>214000</v>
      </c>
      <c r="P204" s="16" t="str">
        <f>IF(L204&gt;1,INDEX(价值概述!$A$4:$A$8,INDEX(挂机升级突破!$W$35:$W$55,卡牌消耗!L204)),"")</f>
        <v>红色基础材料</v>
      </c>
      <c r="Q204" s="16">
        <f>IF(L204&gt;1,INDEX(挂机升级突破!$Z$35:$AD$55,卡牌消耗!L204,INDEX(挂机升级突破!$W$35:$W$55,卡牌消耗!L204)),"")</f>
        <v>135</v>
      </c>
      <c r="R204" s="16" t="str">
        <f>IF(INDEX(挂机升级突破!$X$35:$X$55,卡牌消耗!L204)&gt;0,INDEX($G$2:$I$2,INDEX(挂机升级突破!$X$35:$X$55,卡牌消耗!L204))&amp;M204,"")</f>
        <v>高级红</v>
      </c>
      <c r="S204" s="16">
        <f>IF(R204="","",INDEX(挂机升级突破!$AE$35:$AG$55,卡牌消耗!L204,INDEX(挂机升级突破!$X$35:$X$55,卡牌消耗!L204)))</f>
        <v>225</v>
      </c>
      <c r="T204" s="16" t="str">
        <f>IF(INDEX(挂机升级突破!$Y$35:$Y$55,卡牌消耗!L204)&gt;0,"灵玉","")</f>
        <v>灵玉</v>
      </c>
      <c r="U204" s="16">
        <f>IF(INDEX(挂机升级突破!$Y$35:$Y$55,卡牌消耗!L204)&gt;0,INDEX(挂机升级突破!$AH$35:$AH$55,卡牌消耗!L204),"")</f>
        <v>75</v>
      </c>
    </row>
    <row r="205" spans="9:21" ht="16.5" x14ac:dyDescent="0.2">
      <c r="I205" s="36">
        <v>169</v>
      </c>
      <c r="J205" s="16">
        <f t="shared" si="11"/>
        <v>1102009</v>
      </c>
      <c r="K205" s="16">
        <f t="shared" si="12"/>
        <v>4</v>
      </c>
      <c r="L205" s="16">
        <f t="shared" si="14"/>
        <v>1</v>
      </c>
      <c r="M205" s="16" t="str">
        <f t="shared" si="13"/>
        <v>黄</v>
      </c>
      <c r="N205" s="16" t="str">
        <f t="shared" si="15"/>
        <v/>
      </c>
      <c r="O205" s="16" t="str">
        <f>IF(L205&gt;1,INDEX(挂机升级突破!$AI$35:$AI$55,卡牌消耗!L205),"")</f>
        <v/>
      </c>
      <c r="P205" s="16" t="str">
        <f>IF(L205&gt;1,INDEX(价值概述!$A$4:$A$8,INDEX(挂机升级突破!$W$35:$W$55,卡牌消耗!L205)),"")</f>
        <v/>
      </c>
      <c r="Q205" s="16" t="str">
        <f>IF(L205&gt;1,INDEX(挂机升级突破!$Z$35:$AD$55,卡牌消耗!L205,INDEX(挂机升级突破!$W$35:$W$55,卡牌消耗!L205)),"")</f>
        <v/>
      </c>
      <c r="R205" s="16" t="str">
        <f>IF(INDEX(挂机升级突破!$X$35:$X$55,卡牌消耗!L205)&gt;0,INDEX($G$2:$I$2,INDEX(挂机升级突破!$X$35:$X$55,卡牌消耗!L205))&amp;M205,"")</f>
        <v/>
      </c>
      <c r="S205" s="16" t="str">
        <f>IF(R205="","",INDEX(挂机升级突破!$AE$35:$AG$55,卡牌消耗!L205,INDEX(挂机升级突破!$X$35:$X$55,卡牌消耗!L205)))</f>
        <v/>
      </c>
      <c r="T205" s="16" t="str">
        <f>IF(INDEX(挂机升级突破!$Y$35:$Y$55,卡牌消耗!L205)&gt;0,"灵玉","")</f>
        <v/>
      </c>
      <c r="U205" s="16" t="str">
        <f>IF(INDEX(挂机升级突破!$Y$35:$Y$55,卡牌消耗!L205)&gt;0,INDEX(挂机升级突破!$AH$35:$AH$55,卡牌消耗!L205),"")</f>
        <v/>
      </c>
    </row>
    <row r="206" spans="9:21" ht="16.5" x14ac:dyDescent="0.2">
      <c r="I206" s="36">
        <v>170</v>
      </c>
      <c r="J206" s="16">
        <f t="shared" si="11"/>
        <v>1102009</v>
      </c>
      <c r="K206" s="16">
        <f t="shared" si="12"/>
        <v>4</v>
      </c>
      <c r="L206" s="16">
        <f t="shared" si="14"/>
        <v>2</v>
      </c>
      <c r="M206" s="16" t="str">
        <f t="shared" si="13"/>
        <v>黄</v>
      </c>
      <c r="N206" s="16" t="str">
        <f t="shared" si="15"/>
        <v>金币</v>
      </c>
      <c r="O206" s="16">
        <f>IF(L206&gt;1,INDEX(挂机升级突破!$AI$35:$AI$55,卡牌消耗!L206),"")</f>
        <v>2500</v>
      </c>
      <c r="P206" s="16" t="str">
        <f>IF(L206&gt;1,INDEX(价值概述!$A$4:$A$8,INDEX(挂机升级突破!$W$35:$W$55,卡牌消耗!L206)),"")</f>
        <v>绿色基础材料</v>
      </c>
      <c r="Q206" s="16">
        <f>IF(L206&gt;1,INDEX(挂机升级突破!$Z$35:$AD$55,卡牌消耗!L206,INDEX(挂机升级突破!$W$35:$W$55,卡牌消耗!L206)),"")</f>
        <v>40</v>
      </c>
      <c r="R206" s="16" t="str">
        <f>IF(INDEX(挂机升级突破!$X$35:$X$55,卡牌消耗!L206)&gt;0,INDEX($G$2:$I$2,INDEX(挂机升级突破!$X$35:$X$55,卡牌消耗!L206))&amp;M206,"")</f>
        <v/>
      </c>
      <c r="S206" s="16" t="str">
        <f>IF(R206="","",INDEX(挂机升级突破!$AE$35:$AG$55,卡牌消耗!L206,INDEX(挂机升级突破!$X$35:$X$55,卡牌消耗!L206)))</f>
        <v/>
      </c>
      <c r="T206" s="16" t="str">
        <f>IF(INDEX(挂机升级突破!$Y$35:$Y$55,卡牌消耗!L206)&gt;0,"灵玉","")</f>
        <v/>
      </c>
      <c r="U206" s="16" t="str">
        <f>IF(INDEX(挂机升级突破!$Y$35:$Y$55,卡牌消耗!L206)&gt;0,INDEX(挂机升级突破!$AH$35:$AH$55,卡牌消耗!L206),"")</f>
        <v/>
      </c>
    </row>
    <row r="207" spans="9:21" ht="16.5" x14ac:dyDescent="0.2">
      <c r="I207" s="36">
        <v>171</v>
      </c>
      <c r="J207" s="16">
        <f t="shared" si="11"/>
        <v>1102009</v>
      </c>
      <c r="K207" s="16">
        <f t="shared" si="12"/>
        <v>4</v>
      </c>
      <c r="L207" s="16">
        <f t="shared" si="14"/>
        <v>3</v>
      </c>
      <c r="M207" s="16" t="str">
        <f t="shared" si="13"/>
        <v>黄</v>
      </c>
      <c r="N207" s="16" t="str">
        <f t="shared" si="15"/>
        <v>金币</v>
      </c>
      <c r="O207" s="16">
        <f>IF(L207&gt;1,INDEX(挂机升级突破!$AI$35:$AI$55,卡牌消耗!L207),"")</f>
        <v>8500</v>
      </c>
      <c r="P207" s="16" t="str">
        <f>IF(L207&gt;1,INDEX(价值概述!$A$4:$A$8,INDEX(挂机升级突破!$W$35:$W$55,卡牌消耗!L207)),"")</f>
        <v>绿色基础材料</v>
      </c>
      <c r="Q207" s="16">
        <f>IF(L207&gt;1,INDEX(挂机升级突破!$Z$35:$AD$55,卡牌消耗!L207,INDEX(挂机升级突破!$W$35:$W$55,卡牌消耗!L207)),"")</f>
        <v>120</v>
      </c>
      <c r="R207" s="16" t="str">
        <f>IF(INDEX(挂机升级突破!$X$35:$X$55,卡牌消耗!L207)&gt;0,INDEX($G$2:$I$2,INDEX(挂机升级突破!$X$35:$X$55,卡牌消耗!L207))&amp;M207,"")</f>
        <v/>
      </c>
      <c r="S207" s="16" t="str">
        <f>IF(R207="","",INDEX(挂机升级突破!$AE$35:$AG$55,卡牌消耗!L207,INDEX(挂机升级突破!$X$35:$X$55,卡牌消耗!L207)))</f>
        <v/>
      </c>
      <c r="T207" s="16" t="str">
        <f>IF(INDEX(挂机升级突破!$Y$35:$Y$55,卡牌消耗!L207)&gt;0,"灵玉","")</f>
        <v/>
      </c>
      <c r="U207" s="16" t="str">
        <f>IF(INDEX(挂机升级突破!$Y$35:$Y$55,卡牌消耗!L207)&gt;0,INDEX(挂机升级突破!$AH$35:$AH$55,卡牌消耗!L207),"")</f>
        <v/>
      </c>
    </row>
    <row r="208" spans="9:21" ht="16.5" x14ac:dyDescent="0.2">
      <c r="I208" s="36">
        <v>172</v>
      </c>
      <c r="J208" s="16">
        <f t="shared" si="11"/>
        <v>1102009</v>
      </c>
      <c r="K208" s="16">
        <f t="shared" si="12"/>
        <v>4</v>
      </c>
      <c r="L208" s="16">
        <f t="shared" si="14"/>
        <v>4</v>
      </c>
      <c r="M208" s="16" t="str">
        <f t="shared" si="13"/>
        <v>黄</v>
      </c>
      <c r="N208" s="16" t="str">
        <f t="shared" si="15"/>
        <v>金币</v>
      </c>
      <c r="O208" s="16">
        <f>IF(L208&gt;1,INDEX(挂机升级突破!$AI$35:$AI$55,卡牌消耗!L208),"")</f>
        <v>17000</v>
      </c>
      <c r="P208" s="16" t="str">
        <f>IF(L208&gt;1,INDEX(价值概述!$A$4:$A$8,INDEX(挂机升级突破!$W$35:$W$55,卡牌消耗!L208)),"")</f>
        <v>绿色基础材料</v>
      </c>
      <c r="Q208" s="16">
        <f>IF(L208&gt;1,INDEX(挂机升级突破!$Z$35:$AD$55,卡牌消耗!L208,INDEX(挂机升级突破!$W$35:$W$55,卡牌消耗!L208)),"")</f>
        <v>240</v>
      </c>
      <c r="R208" s="16" t="str">
        <f>IF(INDEX(挂机升级突破!$X$35:$X$55,卡牌消耗!L208)&gt;0,INDEX($G$2:$I$2,INDEX(挂机升级突破!$X$35:$X$55,卡牌消耗!L208))&amp;M208,"")</f>
        <v>初级黄</v>
      </c>
      <c r="S208" s="16">
        <f>IF(R208="","",INDEX(挂机升级突破!$AE$35:$AG$55,卡牌消耗!L208,INDEX(挂机升级突破!$X$35:$X$55,卡牌消耗!L208)))</f>
        <v>130</v>
      </c>
      <c r="T208" s="16" t="str">
        <f>IF(INDEX(挂机升级突破!$Y$35:$Y$55,卡牌消耗!L208)&gt;0,"灵玉","")</f>
        <v/>
      </c>
      <c r="U208" s="16" t="str">
        <f>IF(INDEX(挂机升级突破!$Y$35:$Y$55,卡牌消耗!L208)&gt;0,INDEX(挂机升级突破!$AH$35:$AH$55,卡牌消耗!L208),"")</f>
        <v/>
      </c>
    </row>
    <row r="209" spans="9:21" ht="16.5" x14ac:dyDescent="0.2">
      <c r="I209" s="36">
        <v>173</v>
      </c>
      <c r="J209" s="16">
        <f t="shared" si="11"/>
        <v>1102009</v>
      </c>
      <c r="K209" s="16">
        <f t="shared" si="12"/>
        <v>4</v>
      </c>
      <c r="L209" s="16">
        <f t="shared" si="14"/>
        <v>5</v>
      </c>
      <c r="M209" s="16" t="str">
        <f t="shared" si="13"/>
        <v>黄</v>
      </c>
      <c r="N209" s="16" t="str">
        <f t="shared" si="15"/>
        <v>金币</v>
      </c>
      <c r="O209" s="16">
        <f>IF(L209&gt;1,INDEX(挂机升级突破!$AI$35:$AI$55,卡牌消耗!L209),"")</f>
        <v>10500</v>
      </c>
      <c r="P209" s="16" t="str">
        <f>IF(L209&gt;1,INDEX(价值概述!$A$4:$A$8,INDEX(挂机升级突破!$W$35:$W$55,卡牌消耗!L209)),"")</f>
        <v>蓝色基础材料</v>
      </c>
      <c r="Q209" s="16">
        <f>IF(L209&gt;1,INDEX(挂机升级突破!$Z$35:$AD$55,卡牌消耗!L209,INDEX(挂机升级突破!$W$35:$W$55,卡牌消耗!L209)),"")</f>
        <v>85</v>
      </c>
      <c r="R209" s="16" t="str">
        <f>IF(INDEX(挂机升级突破!$X$35:$X$55,卡牌消耗!L209)&gt;0,INDEX($G$2:$I$2,INDEX(挂机升级突破!$X$35:$X$55,卡牌消耗!L209))&amp;M209,"")</f>
        <v>初级黄</v>
      </c>
      <c r="S209" s="16">
        <f>IF(R209="","",INDEX(挂机升级突破!$AE$35:$AG$55,卡牌消耗!L209,INDEX(挂机升级突破!$X$35:$X$55,卡牌消耗!L209)))</f>
        <v>160</v>
      </c>
      <c r="T209" s="16" t="str">
        <f>IF(INDEX(挂机升级突破!$Y$35:$Y$55,卡牌消耗!L209)&gt;0,"灵玉","")</f>
        <v/>
      </c>
      <c r="U209" s="16" t="str">
        <f>IF(INDEX(挂机升级突破!$Y$35:$Y$55,卡牌消耗!L209)&gt;0,INDEX(挂机升级突破!$AH$35:$AH$55,卡牌消耗!L209),"")</f>
        <v/>
      </c>
    </row>
    <row r="210" spans="9:21" ht="16.5" x14ac:dyDescent="0.2">
      <c r="I210" s="36">
        <v>174</v>
      </c>
      <c r="J210" s="16">
        <f t="shared" si="11"/>
        <v>1102009</v>
      </c>
      <c r="K210" s="16">
        <f t="shared" si="12"/>
        <v>4</v>
      </c>
      <c r="L210" s="16">
        <f t="shared" si="14"/>
        <v>6</v>
      </c>
      <c r="M210" s="16" t="str">
        <f t="shared" si="13"/>
        <v>黄</v>
      </c>
      <c r="N210" s="16" t="str">
        <f t="shared" si="15"/>
        <v>金币</v>
      </c>
      <c r="O210" s="16">
        <f>IF(L210&gt;1,INDEX(挂机升级突破!$AI$35:$AI$55,卡牌消耗!L210),"")</f>
        <v>25000</v>
      </c>
      <c r="P210" s="16" t="str">
        <f>IF(L210&gt;1,INDEX(价值概述!$A$4:$A$8,INDEX(挂机升级突破!$W$35:$W$55,卡牌消耗!L210)),"")</f>
        <v>蓝色基础材料</v>
      </c>
      <c r="Q210" s="16">
        <f>IF(L210&gt;1,INDEX(挂机升级突破!$Z$35:$AD$55,卡牌消耗!L210,INDEX(挂机升级突破!$W$35:$W$55,卡牌消耗!L210)),"")</f>
        <v>145</v>
      </c>
      <c r="R210" s="16" t="str">
        <f>IF(INDEX(挂机升级突破!$X$35:$X$55,卡牌消耗!L210)&gt;0,INDEX($G$2:$I$2,INDEX(挂机升级突破!$X$35:$X$55,卡牌消耗!L210))&amp;M210,"")</f>
        <v>初级黄</v>
      </c>
      <c r="S210" s="16">
        <f>IF(R210="","",INDEX(挂机升级突破!$AE$35:$AG$55,卡牌消耗!L210,INDEX(挂机升级突破!$X$35:$X$55,卡牌消耗!L210)))</f>
        <v>175</v>
      </c>
      <c r="T210" s="16" t="str">
        <f>IF(INDEX(挂机升级突破!$Y$35:$Y$55,卡牌消耗!L210)&gt;0,"灵玉","")</f>
        <v/>
      </c>
      <c r="U210" s="16" t="str">
        <f>IF(INDEX(挂机升级突破!$Y$35:$Y$55,卡牌消耗!L210)&gt;0,INDEX(挂机升级突破!$AH$35:$AH$55,卡牌消耗!L210),"")</f>
        <v/>
      </c>
    </row>
    <row r="211" spans="9:21" ht="16.5" x14ac:dyDescent="0.2">
      <c r="I211" s="36">
        <v>175</v>
      </c>
      <c r="J211" s="16">
        <f t="shared" si="11"/>
        <v>1102009</v>
      </c>
      <c r="K211" s="16">
        <f t="shared" si="12"/>
        <v>4</v>
      </c>
      <c r="L211" s="16">
        <f t="shared" si="14"/>
        <v>7</v>
      </c>
      <c r="M211" s="16" t="str">
        <f t="shared" si="13"/>
        <v>黄</v>
      </c>
      <c r="N211" s="16" t="str">
        <f t="shared" si="15"/>
        <v>金币</v>
      </c>
      <c r="O211" s="16">
        <f>IF(L211&gt;1,INDEX(挂机升级突破!$AI$35:$AI$55,卡牌消耗!L211),"")</f>
        <v>28000</v>
      </c>
      <c r="P211" s="16" t="str">
        <f>IF(L211&gt;1,INDEX(价值概述!$A$4:$A$8,INDEX(挂机升级突破!$W$35:$W$55,卡牌消耗!L211)),"")</f>
        <v>蓝色基础材料</v>
      </c>
      <c r="Q211" s="16">
        <f>IF(L211&gt;1,INDEX(挂机升级突破!$Z$35:$AD$55,卡牌消耗!L211,INDEX(挂机升级突破!$W$35:$W$55,卡牌消耗!L211)),"")</f>
        <v>185</v>
      </c>
      <c r="R211" s="16" t="str">
        <f>IF(INDEX(挂机升级突破!$X$35:$X$55,卡牌消耗!L211)&gt;0,INDEX($G$2:$I$2,INDEX(挂机升级突破!$X$35:$X$55,卡牌消耗!L211))&amp;M211,"")</f>
        <v>初级黄</v>
      </c>
      <c r="S211" s="16">
        <f>IF(R211="","",INDEX(挂机升级突破!$AE$35:$AG$55,卡牌消耗!L211,INDEX(挂机升级突破!$X$35:$X$55,卡牌消耗!L211)))</f>
        <v>190</v>
      </c>
      <c r="T211" s="16" t="str">
        <f>IF(INDEX(挂机升级突破!$Y$35:$Y$55,卡牌消耗!L211)&gt;0,"灵玉","")</f>
        <v/>
      </c>
      <c r="U211" s="16" t="str">
        <f>IF(INDEX(挂机升级突破!$Y$35:$Y$55,卡牌消耗!L211)&gt;0,INDEX(挂机升级突破!$AH$35:$AH$55,卡牌消耗!L211),"")</f>
        <v/>
      </c>
    </row>
    <row r="212" spans="9:21" ht="16.5" x14ac:dyDescent="0.2">
      <c r="I212" s="36">
        <v>176</v>
      </c>
      <c r="J212" s="16">
        <f t="shared" si="11"/>
        <v>1102009</v>
      </c>
      <c r="K212" s="16">
        <f t="shared" si="12"/>
        <v>4</v>
      </c>
      <c r="L212" s="16">
        <f t="shared" si="14"/>
        <v>8</v>
      </c>
      <c r="M212" s="16" t="str">
        <f t="shared" si="13"/>
        <v>黄</v>
      </c>
      <c r="N212" s="16" t="str">
        <f t="shared" si="15"/>
        <v>金币</v>
      </c>
      <c r="O212" s="16">
        <f>IF(L212&gt;1,INDEX(挂机升级突破!$AI$35:$AI$55,卡牌消耗!L212),"")</f>
        <v>31000</v>
      </c>
      <c r="P212" s="16" t="str">
        <f>IF(L212&gt;1,INDEX(价值概述!$A$4:$A$8,INDEX(挂机升级突破!$W$35:$W$55,卡牌消耗!L212)),"")</f>
        <v>蓝色基础材料</v>
      </c>
      <c r="Q212" s="16">
        <f>IF(L212&gt;1,INDEX(挂机升级突破!$Z$35:$AD$55,卡牌消耗!L212,INDEX(挂机升级突破!$W$35:$W$55,卡牌消耗!L212)),"")</f>
        <v>220</v>
      </c>
      <c r="R212" s="16" t="str">
        <f>IF(INDEX(挂机升级突破!$X$35:$X$55,卡牌消耗!L212)&gt;0,INDEX($G$2:$I$2,INDEX(挂机升级突破!$X$35:$X$55,卡牌消耗!L212))&amp;M212,"")</f>
        <v>初级黄</v>
      </c>
      <c r="S212" s="16">
        <f>IF(R212="","",INDEX(挂机升级突破!$AE$35:$AG$55,卡牌消耗!L212,INDEX(挂机升级突破!$X$35:$X$55,卡牌消耗!L212)))</f>
        <v>200</v>
      </c>
      <c r="T212" s="16" t="str">
        <f>IF(INDEX(挂机升级突破!$Y$35:$Y$55,卡牌消耗!L212)&gt;0,"灵玉","")</f>
        <v/>
      </c>
      <c r="U212" s="16" t="str">
        <f>IF(INDEX(挂机升级突破!$Y$35:$Y$55,卡牌消耗!L212)&gt;0,INDEX(挂机升级突破!$AH$35:$AH$55,卡牌消耗!L212),"")</f>
        <v/>
      </c>
    </row>
    <row r="213" spans="9:21" ht="16.5" x14ac:dyDescent="0.2">
      <c r="I213" s="36">
        <v>177</v>
      </c>
      <c r="J213" s="16">
        <f t="shared" si="11"/>
        <v>1102009</v>
      </c>
      <c r="K213" s="16">
        <f t="shared" si="12"/>
        <v>4</v>
      </c>
      <c r="L213" s="16">
        <f t="shared" si="14"/>
        <v>9</v>
      </c>
      <c r="M213" s="16" t="str">
        <f t="shared" si="13"/>
        <v>黄</v>
      </c>
      <c r="N213" s="16" t="str">
        <f t="shared" si="15"/>
        <v>金币</v>
      </c>
      <c r="O213" s="16">
        <f>IF(L213&gt;1,INDEX(挂机升级突破!$AI$35:$AI$55,卡牌消耗!L213),"")</f>
        <v>24000</v>
      </c>
      <c r="P213" s="16" t="str">
        <f>IF(L213&gt;1,INDEX(价值概述!$A$4:$A$8,INDEX(挂机升级突破!$W$35:$W$55,卡牌消耗!L213)),"")</f>
        <v>紫色基础材料</v>
      </c>
      <c r="Q213" s="16">
        <f>IF(L213&gt;1,INDEX(挂机升级突破!$Z$35:$AD$55,卡牌消耗!L213,INDEX(挂机升级突破!$W$35:$W$55,卡牌消耗!L213)),"")</f>
        <v>95</v>
      </c>
      <c r="R213" s="16" t="str">
        <f>IF(INDEX(挂机升级突破!$X$35:$X$55,卡牌消耗!L213)&gt;0,INDEX($G$2:$I$2,INDEX(挂机升级突破!$X$35:$X$55,卡牌消耗!L213))&amp;M213,"")</f>
        <v>中级黄</v>
      </c>
      <c r="S213" s="16">
        <f>IF(R213="","",INDEX(挂机升级突破!$AE$35:$AG$55,卡牌消耗!L213,INDEX(挂机升级突破!$X$35:$X$55,卡牌消耗!L213)))</f>
        <v>80</v>
      </c>
      <c r="T213" s="16" t="str">
        <f>IF(INDEX(挂机升级突破!$Y$35:$Y$55,卡牌消耗!L213)&gt;0,"灵玉","")</f>
        <v/>
      </c>
      <c r="U213" s="16" t="str">
        <f>IF(INDEX(挂机升级突破!$Y$35:$Y$55,卡牌消耗!L213)&gt;0,INDEX(挂机升级突破!$AH$35:$AH$55,卡牌消耗!L213),"")</f>
        <v/>
      </c>
    </row>
    <row r="214" spans="9:21" ht="16.5" x14ac:dyDescent="0.2">
      <c r="I214" s="36">
        <v>178</v>
      </c>
      <c r="J214" s="16">
        <f t="shared" si="11"/>
        <v>1102009</v>
      </c>
      <c r="K214" s="16">
        <f t="shared" si="12"/>
        <v>4</v>
      </c>
      <c r="L214" s="16">
        <f t="shared" si="14"/>
        <v>10</v>
      </c>
      <c r="M214" s="16" t="str">
        <f t="shared" si="13"/>
        <v>黄</v>
      </c>
      <c r="N214" s="16" t="str">
        <f t="shared" si="15"/>
        <v>金币</v>
      </c>
      <c r="O214" s="16">
        <f>IF(L214&gt;1,INDEX(挂机升级突破!$AI$35:$AI$55,卡牌消耗!L214),"")</f>
        <v>26500</v>
      </c>
      <c r="P214" s="16" t="str">
        <f>IF(L214&gt;1,INDEX(价值概述!$A$4:$A$8,INDEX(挂机升级突破!$W$35:$W$55,卡牌消耗!L214)),"")</f>
        <v>紫色基础材料</v>
      </c>
      <c r="Q214" s="16">
        <f>IF(L214&gt;1,INDEX(挂机升级突破!$Z$35:$AD$55,卡牌消耗!L214,INDEX(挂机升级突破!$W$35:$W$55,卡牌消耗!L214)),"")</f>
        <v>175</v>
      </c>
      <c r="R214" s="16" t="str">
        <f>IF(INDEX(挂机升级突破!$X$35:$X$55,卡牌消耗!L214)&gt;0,INDEX($G$2:$I$2,INDEX(挂机升级突破!$X$35:$X$55,卡牌消耗!L214))&amp;M214,"")</f>
        <v>中级黄</v>
      </c>
      <c r="S214" s="16">
        <f>IF(R214="","",INDEX(挂机升级突破!$AE$35:$AG$55,卡牌消耗!L214,INDEX(挂机升级突破!$X$35:$X$55,卡牌消耗!L214)))</f>
        <v>120</v>
      </c>
      <c r="T214" s="16" t="str">
        <f>IF(INDEX(挂机升级突破!$Y$35:$Y$55,卡牌消耗!L214)&gt;0,"灵玉","")</f>
        <v/>
      </c>
      <c r="U214" s="16" t="str">
        <f>IF(INDEX(挂机升级突破!$Y$35:$Y$55,卡牌消耗!L214)&gt;0,INDEX(挂机升级突破!$AH$35:$AH$55,卡牌消耗!L214),"")</f>
        <v/>
      </c>
    </row>
    <row r="215" spans="9:21" ht="16.5" x14ac:dyDescent="0.2">
      <c r="I215" s="36">
        <v>179</v>
      </c>
      <c r="J215" s="16">
        <f t="shared" si="11"/>
        <v>1102009</v>
      </c>
      <c r="K215" s="16">
        <f t="shared" si="12"/>
        <v>4</v>
      </c>
      <c r="L215" s="16">
        <f t="shared" si="14"/>
        <v>11</v>
      </c>
      <c r="M215" s="16" t="str">
        <f t="shared" si="13"/>
        <v>黄</v>
      </c>
      <c r="N215" s="16" t="str">
        <f t="shared" si="15"/>
        <v>金币</v>
      </c>
      <c r="O215" s="16">
        <f>IF(L215&gt;1,INDEX(挂机升级突破!$AI$35:$AI$55,卡牌消耗!L215),"")</f>
        <v>28500</v>
      </c>
      <c r="P215" s="16" t="str">
        <f>IF(L215&gt;1,INDEX(价值概述!$A$4:$A$8,INDEX(挂机升级突破!$W$35:$W$55,卡牌消耗!L215)),"")</f>
        <v>紫色基础材料</v>
      </c>
      <c r="Q215" s="16">
        <f>IF(L215&gt;1,INDEX(挂机升级突破!$Z$35:$AD$55,卡牌消耗!L215,INDEX(挂机升级突破!$W$35:$W$55,卡牌消耗!L215)),"")</f>
        <v>245</v>
      </c>
      <c r="R215" s="16" t="str">
        <f>IF(INDEX(挂机升级突破!$X$35:$X$55,卡牌消耗!L215)&gt;0,INDEX($G$2:$I$2,INDEX(挂机升级突破!$X$35:$X$55,卡牌消耗!L215))&amp;M215,"")</f>
        <v>中级黄</v>
      </c>
      <c r="S215" s="16">
        <f>IF(R215="","",INDEX(挂机升级突破!$AE$35:$AG$55,卡牌消耗!L215,INDEX(挂机升级突破!$X$35:$X$55,卡牌消耗!L215)))</f>
        <v>170</v>
      </c>
      <c r="T215" s="16" t="str">
        <f>IF(INDEX(挂机升级突破!$Y$35:$Y$55,卡牌消耗!L215)&gt;0,"灵玉","")</f>
        <v/>
      </c>
      <c r="U215" s="16" t="str">
        <f>IF(INDEX(挂机升级突破!$Y$35:$Y$55,卡牌消耗!L215)&gt;0,INDEX(挂机升级突破!$AH$35:$AH$55,卡牌消耗!L215),"")</f>
        <v/>
      </c>
    </row>
    <row r="216" spans="9:21" ht="16.5" x14ac:dyDescent="0.2">
      <c r="I216" s="36">
        <v>180</v>
      </c>
      <c r="J216" s="16">
        <f t="shared" si="11"/>
        <v>1102009</v>
      </c>
      <c r="K216" s="16">
        <f t="shared" si="12"/>
        <v>4</v>
      </c>
      <c r="L216" s="16">
        <f t="shared" si="14"/>
        <v>12</v>
      </c>
      <c r="M216" s="16" t="str">
        <f t="shared" si="13"/>
        <v>黄</v>
      </c>
      <c r="N216" s="16" t="str">
        <f t="shared" si="15"/>
        <v>金币</v>
      </c>
      <c r="O216" s="16">
        <f>IF(L216&gt;1,INDEX(挂机升级突破!$AI$35:$AI$55,卡牌消耗!L216),"")</f>
        <v>30500</v>
      </c>
      <c r="P216" s="16" t="str">
        <f>IF(L216&gt;1,INDEX(价值概述!$A$4:$A$8,INDEX(挂机升级突破!$W$35:$W$55,卡牌消耗!L216)),"")</f>
        <v>紫色基础材料</v>
      </c>
      <c r="Q216" s="16">
        <f>IF(L216&gt;1,INDEX(挂机升级突破!$Z$35:$AD$55,卡牌消耗!L216,INDEX(挂机升级突破!$W$35:$W$55,卡牌消耗!L216)),"")</f>
        <v>305</v>
      </c>
      <c r="R216" s="16" t="str">
        <f>IF(INDEX(挂机升级突破!$X$35:$X$55,卡牌消耗!L216)&gt;0,INDEX($G$2:$I$2,INDEX(挂机升级突破!$X$35:$X$55,卡牌消耗!L216))&amp;M216,"")</f>
        <v>中级黄</v>
      </c>
      <c r="S216" s="16">
        <f>IF(R216="","",INDEX(挂机升级突破!$AE$35:$AG$55,卡牌消耗!L216,INDEX(挂机升级突破!$X$35:$X$55,卡牌消耗!L216)))</f>
        <v>200</v>
      </c>
      <c r="T216" s="16" t="str">
        <f>IF(INDEX(挂机升级突破!$Y$35:$Y$55,卡牌消耗!L216)&gt;0,"灵玉","")</f>
        <v/>
      </c>
      <c r="U216" s="16" t="str">
        <f>IF(INDEX(挂机升级突破!$Y$35:$Y$55,卡牌消耗!L216)&gt;0,INDEX(挂机升级突破!$AH$35:$AH$55,卡牌消耗!L216),"")</f>
        <v/>
      </c>
    </row>
    <row r="217" spans="9:21" ht="16.5" x14ac:dyDescent="0.2">
      <c r="I217" s="36">
        <v>181</v>
      </c>
      <c r="J217" s="16">
        <f t="shared" si="11"/>
        <v>1102009</v>
      </c>
      <c r="K217" s="16">
        <f t="shared" si="12"/>
        <v>4</v>
      </c>
      <c r="L217" s="16">
        <f t="shared" si="14"/>
        <v>13</v>
      </c>
      <c r="M217" s="16" t="str">
        <f t="shared" si="13"/>
        <v>黄</v>
      </c>
      <c r="N217" s="16" t="str">
        <f t="shared" si="15"/>
        <v>金币</v>
      </c>
      <c r="O217" s="16">
        <f>IF(L217&gt;1,INDEX(挂机升级突破!$AI$35:$AI$55,卡牌消耗!L217),"")</f>
        <v>38500</v>
      </c>
      <c r="P217" s="16" t="str">
        <f>IF(L217&gt;1,INDEX(价值概述!$A$4:$A$8,INDEX(挂机升级突破!$W$35:$W$55,卡牌消耗!L217)),"")</f>
        <v>橙色基础材料</v>
      </c>
      <c r="Q217" s="16">
        <f>IF(L217&gt;1,INDEX(挂机升级突破!$Z$35:$AD$55,卡牌消耗!L217,INDEX(挂机升级突破!$W$35:$W$55,卡牌消耗!L217)),"")</f>
        <v>115</v>
      </c>
      <c r="R217" s="16" t="str">
        <f>IF(INDEX(挂机升级突破!$X$35:$X$55,卡牌消耗!L217)&gt;0,INDEX($G$2:$I$2,INDEX(挂机升级突破!$X$35:$X$55,卡牌消耗!L217))&amp;M217,"")</f>
        <v>中级黄</v>
      </c>
      <c r="S217" s="16">
        <f>IF(R217="","",INDEX(挂机升级突破!$AE$35:$AG$55,卡牌消耗!L217,INDEX(挂机升级突破!$X$35:$X$55,卡牌消耗!L217)))</f>
        <v>225</v>
      </c>
      <c r="T217" s="16" t="str">
        <f>IF(INDEX(挂机升级突破!$Y$35:$Y$55,卡牌消耗!L217)&gt;0,"灵玉","")</f>
        <v/>
      </c>
      <c r="U217" s="16" t="str">
        <f>IF(INDEX(挂机升级突破!$Y$35:$Y$55,卡牌消耗!L217)&gt;0,INDEX(挂机升级突破!$AH$35:$AH$55,卡牌消耗!L217),"")</f>
        <v/>
      </c>
    </row>
    <row r="218" spans="9:21" ht="16.5" x14ac:dyDescent="0.2">
      <c r="I218" s="36">
        <v>182</v>
      </c>
      <c r="J218" s="16">
        <f t="shared" si="11"/>
        <v>1102009</v>
      </c>
      <c r="K218" s="16">
        <f t="shared" si="12"/>
        <v>4</v>
      </c>
      <c r="L218" s="16">
        <f t="shared" si="14"/>
        <v>14</v>
      </c>
      <c r="M218" s="16" t="str">
        <f t="shared" si="13"/>
        <v>黄</v>
      </c>
      <c r="N218" s="16" t="str">
        <f t="shared" si="15"/>
        <v>金币</v>
      </c>
      <c r="O218" s="16">
        <f>IF(L218&gt;1,INDEX(挂机升级突破!$AI$35:$AI$55,卡牌消耗!L218),"")</f>
        <v>51000</v>
      </c>
      <c r="P218" s="16" t="str">
        <f>IF(L218&gt;1,INDEX(价值概述!$A$4:$A$8,INDEX(挂机升级突破!$W$35:$W$55,卡牌消耗!L218)),"")</f>
        <v>橙色基础材料</v>
      </c>
      <c r="Q218" s="16">
        <f>IF(L218&gt;1,INDEX(挂机升级突破!$Z$35:$AD$55,卡牌消耗!L218,INDEX(挂机升级突破!$W$35:$W$55,卡牌消耗!L218)),"")</f>
        <v>235</v>
      </c>
      <c r="R218" s="16" t="str">
        <f>IF(INDEX(挂机升级突破!$X$35:$X$55,卡牌消耗!L218)&gt;0,INDEX($G$2:$I$2,INDEX(挂机升级突破!$X$35:$X$55,卡牌消耗!L218))&amp;M218,"")</f>
        <v>中级黄</v>
      </c>
      <c r="S218" s="16">
        <f>IF(R218="","",INDEX(挂机升级突破!$AE$35:$AG$55,卡牌消耗!L218,INDEX(挂机升级突破!$X$35:$X$55,卡牌消耗!L218)))</f>
        <v>265</v>
      </c>
      <c r="T218" s="16" t="str">
        <f>IF(INDEX(挂机升级突破!$Y$35:$Y$55,卡牌消耗!L218)&gt;0,"灵玉","")</f>
        <v/>
      </c>
      <c r="U218" s="16" t="str">
        <f>IF(INDEX(挂机升级突破!$Y$35:$Y$55,卡牌消耗!L218)&gt;0,INDEX(挂机升级突破!$AH$35:$AH$55,卡牌消耗!L218),"")</f>
        <v/>
      </c>
    </row>
    <row r="219" spans="9:21" ht="16.5" x14ac:dyDescent="0.2">
      <c r="I219" s="36">
        <v>183</v>
      </c>
      <c r="J219" s="16">
        <f t="shared" si="11"/>
        <v>1102009</v>
      </c>
      <c r="K219" s="16">
        <f t="shared" si="12"/>
        <v>4</v>
      </c>
      <c r="L219" s="16">
        <f t="shared" si="14"/>
        <v>15</v>
      </c>
      <c r="M219" s="16" t="str">
        <f t="shared" si="13"/>
        <v>黄</v>
      </c>
      <c r="N219" s="16" t="str">
        <f t="shared" si="15"/>
        <v>金币</v>
      </c>
      <c r="O219" s="16">
        <f>IF(L219&gt;1,INDEX(挂机升级突破!$AI$35:$AI$55,卡牌消耗!L219),"")</f>
        <v>60000</v>
      </c>
      <c r="P219" s="16" t="str">
        <f>IF(L219&gt;1,INDEX(价值概述!$A$4:$A$8,INDEX(挂机升级突破!$W$35:$W$55,卡牌消耗!L219)),"")</f>
        <v>橙色基础材料</v>
      </c>
      <c r="Q219" s="16">
        <f>IF(L219&gt;1,INDEX(挂机升级突破!$Z$35:$AD$55,卡牌消耗!L219,INDEX(挂机升级突破!$W$35:$W$55,卡牌消耗!L219)),"")</f>
        <v>355</v>
      </c>
      <c r="R219" s="16" t="str">
        <f>IF(INDEX(挂机升级突破!$X$35:$X$55,卡牌消耗!L219)&gt;0,INDEX($G$2:$I$2,INDEX(挂机升级突破!$X$35:$X$55,卡牌消耗!L219))&amp;M219,"")</f>
        <v>高级黄</v>
      </c>
      <c r="S219" s="16">
        <f>IF(R219="","",INDEX(挂机升级突破!$AE$35:$AG$55,卡牌消耗!L219,INDEX(挂机升级突破!$X$35:$X$55,卡牌消耗!L219)))</f>
        <v>45</v>
      </c>
      <c r="T219" s="16" t="str">
        <f>IF(INDEX(挂机升级突破!$Y$35:$Y$55,卡牌消耗!L219)&gt;0,"灵玉","")</f>
        <v/>
      </c>
      <c r="U219" s="16" t="str">
        <f>IF(INDEX(挂机升级突破!$Y$35:$Y$55,卡牌消耗!L219)&gt;0,INDEX(挂机升级突破!$AH$35:$AH$55,卡牌消耗!L219),"")</f>
        <v/>
      </c>
    </row>
    <row r="220" spans="9:21" ht="16.5" x14ac:dyDescent="0.2">
      <c r="I220" s="36">
        <v>184</v>
      </c>
      <c r="J220" s="16">
        <f t="shared" si="11"/>
        <v>1102009</v>
      </c>
      <c r="K220" s="16">
        <f t="shared" si="12"/>
        <v>4</v>
      </c>
      <c r="L220" s="16">
        <f t="shared" si="14"/>
        <v>16</v>
      </c>
      <c r="M220" s="16" t="str">
        <f t="shared" si="13"/>
        <v>黄</v>
      </c>
      <c r="N220" s="16" t="str">
        <f t="shared" si="15"/>
        <v>金币</v>
      </c>
      <c r="O220" s="16">
        <f>IF(L220&gt;1,INDEX(挂机升级突破!$AI$35:$AI$55,卡牌消耗!L220),"")</f>
        <v>69000</v>
      </c>
      <c r="P220" s="16" t="str">
        <f>IF(L220&gt;1,INDEX(价值概述!$A$4:$A$8,INDEX(挂机升级突破!$W$35:$W$55,卡牌消耗!L220)),"")</f>
        <v>橙色基础材料</v>
      </c>
      <c r="Q220" s="16">
        <f>IF(L220&gt;1,INDEX(挂机升级突破!$Z$35:$AD$55,卡牌消耗!L220,INDEX(挂机升级突破!$W$35:$W$55,卡牌消耗!L220)),"")</f>
        <v>475</v>
      </c>
      <c r="R220" s="16" t="str">
        <f>IF(INDEX(挂机升级突破!$X$35:$X$55,卡牌消耗!L220)&gt;0,INDEX($G$2:$I$2,INDEX(挂机升级突破!$X$35:$X$55,卡牌消耗!L220))&amp;M220,"")</f>
        <v>高级黄</v>
      </c>
      <c r="S220" s="16">
        <f>IF(R220="","",INDEX(挂机升级突破!$AE$35:$AG$55,卡牌消耗!L220,INDEX(挂机升级突破!$X$35:$X$55,卡牌消耗!L220)))</f>
        <v>70</v>
      </c>
      <c r="T220" s="16" t="str">
        <f>IF(INDEX(挂机升级突破!$Y$35:$Y$55,卡牌消耗!L220)&gt;0,"灵玉","")</f>
        <v/>
      </c>
      <c r="U220" s="16" t="str">
        <f>IF(INDEX(挂机升级突破!$Y$35:$Y$55,卡牌消耗!L220)&gt;0,INDEX(挂机升级突破!$AH$35:$AH$55,卡牌消耗!L220),"")</f>
        <v/>
      </c>
    </row>
    <row r="221" spans="9:21" ht="16.5" x14ac:dyDescent="0.2">
      <c r="I221" s="36">
        <v>185</v>
      </c>
      <c r="J221" s="16">
        <f t="shared" si="11"/>
        <v>1102009</v>
      </c>
      <c r="K221" s="16">
        <f t="shared" si="12"/>
        <v>4</v>
      </c>
      <c r="L221" s="16">
        <f t="shared" si="14"/>
        <v>17</v>
      </c>
      <c r="M221" s="16" t="str">
        <f t="shared" si="13"/>
        <v>黄</v>
      </c>
      <c r="N221" s="16" t="str">
        <f t="shared" si="15"/>
        <v>金币</v>
      </c>
      <c r="O221" s="16">
        <f>IF(L221&gt;1,INDEX(挂机升级突破!$AI$35:$AI$55,卡牌消耗!L221),"")</f>
        <v>76500</v>
      </c>
      <c r="P221" s="16" t="str">
        <f>IF(L221&gt;1,INDEX(价值概述!$A$4:$A$8,INDEX(挂机升级突破!$W$35:$W$55,卡牌消耗!L221)),"")</f>
        <v>红色基础材料</v>
      </c>
      <c r="Q221" s="16">
        <f>IF(L221&gt;1,INDEX(挂机升级突破!$Z$35:$AD$55,卡牌消耗!L221,INDEX(挂机升级突破!$W$35:$W$55,卡牌消耗!L221)),"")</f>
        <v>45</v>
      </c>
      <c r="R221" s="16" t="str">
        <f>IF(INDEX(挂机升级突破!$X$35:$X$55,卡牌消耗!L221)&gt;0,INDEX($G$2:$I$2,INDEX(挂机升级突破!$X$35:$X$55,卡牌消耗!L221))&amp;M221,"")</f>
        <v>高级黄</v>
      </c>
      <c r="S221" s="16">
        <f>IF(R221="","",INDEX(挂机升级突破!$AE$35:$AG$55,卡牌消耗!L221,INDEX(挂机升级突破!$X$35:$X$55,卡牌消耗!L221)))</f>
        <v>100</v>
      </c>
      <c r="T221" s="16" t="str">
        <f>IF(INDEX(挂机升级突破!$Y$35:$Y$55,卡牌消耗!L221)&gt;0,"灵玉","")</f>
        <v>灵玉</v>
      </c>
      <c r="U221" s="16">
        <f>IF(INDEX(挂机升级突破!$Y$35:$Y$55,卡牌消耗!L221)&gt;0,INDEX(挂机升级突破!$AH$35:$AH$55,卡牌消耗!L221),"")</f>
        <v>25</v>
      </c>
    </row>
    <row r="222" spans="9:21" ht="16.5" x14ac:dyDescent="0.2">
      <c r="I222" s="36">
        <v>186</v>
      </c>
      <c r="J222" s="16">
        <f t="shared" si="11"/>
        <v>1102009</v>
      </c>
      <c r="K222" s="16">
        <f t="shared" si="12"/>
        <v>4</v>
      </c>
      <c r="L222" s="16">
        <f t="shared" si="14"/>
        <v>18</v>
      </c>
      <c r="M222" s="16" t="str">
        <f t="shared" si="13"/>
        <v>黄</v>
      </c>
      <c r="N222" s="16" t="str">
        <f t="shared" si="15"/>
        <v>金币</v>
      </c>
      <c r="O222" s="16">
        <f>IF(L222&gt;1,INDEX(挂机升级突破!$AI$35:$AI$55,卡牌消耗!L222),"")</f>
        <v>107000</v>
      </c>
      <c r="P222" s="16" t="str">
        <f>IF(L222&gt;1,INDEX(价值概述!$A$4:$A$8,INDEX(挂机升级突破!$W$35:$W$55,卡牌消耗!L222)),"")</f>
        <v>红色基础材料</v>
      </c>
      <c r="Q222" s="16">
        <f>IF(L222&gt;1,INDEX(挂机升级突破!$Z$35:$AD$55,卡牌消耗!L222,INDEX(挂机升级突破!$W$35:$W$55,卡牌消耗!L222)),"")</f>
        <v>65</v>
      </c>
      <c r="R222" s="16" t="str">
        <f>IF(INDEX(挂机升级突破!$X$35:$X$55,卡牌消耗!L222)&gt;0,INDEX($G$2:$I$2,INDEX(挂机升级突破!$X$35:$X$55,卡牌消耗!L222))&amp;M222,"")</f>
        <v>高级黄</v>
      </c>
      <c r="S222" s="16">
        <f>IF(R222="","",INDEX(挂机升级突破!$AE$35:$AG$55,卡牌消耗!L222,INDEX(挂机升级突破!$X$35:$X$55,卡牌消耗!L222)))</f>
        <v>125</v>
      </c>
      <c r="T222" s="16" t="str">
        <f>IF(INDEX(挂机升级突破!$Y$35:$Y$55,卡牌消耗!L222)&gt;0,"灵玉","")</f>
        <v>灵玉</v>
      </c>
      <c r="U222" s="16">
        <f>IF(INDEX(挂机升级突破!$Y$35:$Y$55,卡牌消耗!L222)&gt;0,INDEX(挂机升级突破!$AH$35:$AH$55,卡牌消耗!L222),"")</f>
        <v>35</v>
      </c>
    </row>
    <row r="223" spans="9:21" ht="16.5" x14ac:dyDescent="0.2">
      <c r="I223" s="36">
        <v>187</v>
      </c>
      <c r="J223" s="16">
        <f t="shared" si="11"/>
        <v>1102009</v>
      </c>
      <c r="K223" s="16">
        <f t="shared" si="12"/>
        <v>4</v>
      </c>
      <c r="L223" s="16">
        <f t="shared" si="14"/>
        <v>19</v>
      </c>
      <c r="M223" s="16" t="str">
        <f t="shared" si="13"/>
        <v>黄</v>
      </c>
      <c r="N223" s="16" t="str">
        <f t="shared" si="15"/>
        <v>金币</v>
      </c>
      <c r="O223" s="16">
        <f>IF(L223&gt;1,INDEX(挂机升级突破!$AI$35:$AI$55,卡牌消耗!L223),"")</f>
        <v>142500</v>
      </c>
      <c r="P223" s="16" t="str">
        <f>IF(L223&gt;1,INDEX(价值概述!$A$4:$A$8,INDEX(挂机升级突破!$W$35:$W$55,卡牌消耗!L223)),"")</f>
        <v>红色基础材料</v>
      </c>
      <c r="Q223" s="16">
        <f>IF(L223&gt;1,INDEX(挂机升级突破!$Z$35:$AD$55,卡牌消耗!L223,INDEX(挂机升级突破!$W$35:$W$55,卡牌消耗!L223)),"")</f>
        <v>90</v>
      </c>
      <c r="R223" s="16" t="str">
        <f>IF(INDEX(挂机升级突破!$X$35:$X$55,卡牌消耗!L223)&gt;0,INDEX($G$2:$I$2,INDEX(挂机升级突破!$X$35:$X$55,卡牌消耗!L223))&amp;M223,"")</f>
        <v>高级黄</v>
      </c>
      <c r="S223" s="16">
        <f>IF(R223="","",INDEX(挂机升级突破!$AE$35:$AG$55,卡牌消耗!L223,INDEX(挂机升级突破!$X$35:$X$55,卡牌消耗!L223)))</f>
        <v>155</v>
      </c>
      <c r="T223" s="16" t="str">
        <f>IF(INDEX(挂机升级突破!$Y$35:$Y$55,卡牌消耗!L223)&gt;0,"灵玉","")</f>
        <v>灵玉</v>
      </c>
      <c r="U223" s="16">
        <f>IF(INDEX(挂机升级突破!$Y$35:$Y$55,卡牌消耗!L223)&gt;0,INDEX(挂机升级突破!$AH$35:$AH$55,卡牌消耗!L223),"")</f>
        <v>50</v>
      </c>
    </row>
    <row r="224" spans="9:21" ht="16.5" x14ac:dyDescent="0.2">
      <c r="I224" s="36">
        <v>188</v>
      </c>
      <c r="J224" s="16">
        <f t="shared" si="11"/>
        <v>1102009</v>
      </c>
      <c r="K224" s="16">
        <f t="shared" si="12"/>
        <v>4</v>
      </c>
      <c r="L224" s="16">
        <f t="shared" si="14"/>
        <v>20</v>
      </c>
      <c r="M224" s="16" t="str">
        <f t="shared" si="13"/>
        <v>黄</v>
      </c>
      <c r="N224" s="16" t="str">
        <f t="shared" si="15"/>
        <v>金币</v>
      </c>
      <c r="O224" s="16">
        <f>IF(L224&gt;1,INDEX(挂机升级突破!$AI$35:$AI$55,卡牌消耗!L224),"")</f>
        <v>178500</v>
      </c>
      <c r="P224" s="16" t="str">
        <f>IF(L224&gt;1,INDEX(价值概述!$A$4:$A$8,INDEX(挂机升级突破!$W$35:$W$55,卡牌消耗!L224)),"")</f>
        <v>红色基础材料</v>
      </c>
      <c r="Q224" s="16">
        <f>IF(L224&gt;1,INDEX(挂机升级突破!$Z$35:$AD$55,卡牌消耗!L224,INDEX(挂机升级突破!$W$35:$W$55,卡牌消耗!L224)),"")</f>
        <v>110</v>
      </c>
      <c r="R224" s="16" t="str">
        <f>IF(INDEX(挂机升级突破!$X$35:$X$55,卡牌消耗!L224)&gt;0,INDEX($G$2:$I$2,INDEX(挂机升级突破!$X$35:$X$55,卡牌消耗!L224))&amp;M224,"")</f>
        <v>高级黄</v>
      </c>
      <c r="S224" s="16">
        <f>IF(R224="","",INDEX(挂机升级突破!$AE$35:$AG$55,卡牌消耗!L224,INDEX(挂机升级突破!$X$35:$X$55,卡牌消耗!L224)))</f>
        <v>180</v>
      </c>
      <c r="T224" s="16" t="str">
        <f>IF(INDEX(挂机升级突破!$Y$35:$Y$55,卡牌消耗!L224)&gt;0,"灵玉","")</f>
        <v>灵玉</v>
      </c>
      <c r="U224" s="16">
        <f>IF(INDEX(挂机升级突破!$Y$35:$Y$55,卡牌消耗!L224)&gt;0,INDEX(挂机升级突破!$AH$35:$AH$55,卡牌消耗!L224),"")</f>
        <v>65</v>
      </c>
    </row>
    <row r="225" spans="9:21" ht="16.5" x14ac:dyDescent="0.2">
      <c r="I225" s="36">
        <v>189</v>
      </c>
      <c r="J225" s="16">
        <f t="shared" si="11"/>
        <v>1102009</v>
      </c>
      <c r="K225" s="16">
        <f t="shared" si="12"/>
        <v>4</v>
      </c>
      <c r="L225" s="16">
        <f t="shared" si="14"/>
        <v>21</v>
      </c>
      <c r="M225" s="16" t="str">
        <f t="shared" si="13"/>
        <v>黄</v>
      </c>
      <c r="N225" s="16" t="str">
        <f t="shared" si="15"/>
        <v>金币</v>
      </c>
      <c r="O225" s="16">
        <f>IF(L225&gt;1,INDEX(挂机升级突破!$AI$35:$AI$55,卡牌消耗!L225),"")</f>
        <v>214000</v>
      </c>
      <c r="P225" s="16" t="str">
        <f>IF(L225&gt;1,INDEX(价值概述!$A$4:$A$8,INDEX(挂机升级突破!$W$35:$W$55,卡牌消耗!L225)),"")</f>
        <v>红色基础材料</v>
      </c>
      <c r="Q225" s="16">
        <f>IF(L225&gt;1,INDEX(挂机升级突破!$Z$35:$AD$55,卡牌消耗!L225,INDEX(挂机升级突破!$W$35:$W$55,卡牌消耗!L225)),"")</f>
        <v>135</v>
      </c>
      <c r="R225" s="16" t="str">
        <f>IF(INDEX(挂机升级突破!$X$35:$X$55,卡牌消耗!L225)&gt;0,INDEX($G$2:$I$2,INDEX(挂机升级突破!$X$35:$X$55,卡牌消耗!L225))&amp;M225,"")</f>
        <v>高级黄</v>
      </c>
      <c r="S225" s="16">
        <f>IF(R225="","",INDEX(挂机升级突破!$AE$35:$AG$55,卡牌消耗!L225,INDEX(挂机升级突破!$X$35:$X$55,卡牌消耗!L225)))</f>
        <v>225</v>
      </c>
      <c r="T225" s="16" t="str">
        <f>IF(INDEX(挂机升级突破!$Y$35:$Y$55,卡牌消耗!L225)&gt;0,"灵玉","")</f>
        <v>灵玉</v>
      </c>
      <c r="U225" s="16">
        <f>IF(INDEX(挂机升级突破!$Y$35:$Y$55,卡牌消耗!L225)&gt;0,INDEX(挂机升级突破!$AH$35:$AH$55,卡牌消耗!L225),"")</f>
        <v>75</v>
      </c>
    </row>
    <row r="226" spans="9:21" ht="16.5" x14ac:dyDescent="0.2">
      <c r="I226" s="36">
        <v>190</v>
      </c>
      <c r="J226" s="16">
        <f t="shared" si="11"/>
        <v>1102010</v>
      </c>
      <c r="K226" s="16">
        <f t="shared" si="12"/>
        <v>4</v>
      </c>
      <c r="L226" s="16">
        <f t="shared" si="14"/>
        <v>1</v>
      </c>
      <c r="M226" s="16" t="str">
        <f t="shared" si="13"/>
        <v>蓝</v>
      </c>
      <c r="N226" s="16" t="str">
        <f t="shared" si="15"/>
        <v/>
      </c>
      <c r="O226" s="16" t="str">
        <f>IF(L226&gt;1,INDEX(挂机升级突破!$AI$35:$AI$55,卡牌消耗!L226),"")</f>
        <v/>
      </c>
      <c r="P226" s="16" t="str">
        <f>IF(L226&gt;1,INDEX(价值概述!$A$4:$A$8,INDEX(挂机升级突破!$W$35:$W$55,卡牌消耗!L226)),"")</f>
        <v/>
      </c>
      <c r="Q226" s="16" t="str">
        <f>IF(L226&gt;1,INDEX(挂机升级突破!$Z$35:$AD$55,卡牌消耗!L226,INDEX(挂机升级突破!$W$35:$W$55,卡牌消耗!L226)),"")</f>
        <v/>
      </c>
      <c r="R226" s="16" t="str">
        <f>IF(INDEX(挂机升级突破!$X$35:$X$55,卡牌消耗!L226)&gt;0,INDEX($G$2:$I$2,INDEX(挂机升级突破!$X$35:$X$55,卡牌消耗!L226))&amp;M226,"")</f>
        <v/>
      </c>
      <c r="S226" s="16" t="str">
        <f>IF(R226="","",INDEX(挂机升级突破!$AE$35:$AG$55,卡牌消耗!L226,INDEX(挂机升级突破!$X$35:$X$55,卡牌消耗!L226)))</f>
        <v/>
      </c>
      <c r="T226" s="16" t="str">
        <f>IF(INDEX(挂机升级突破!$Y$35:$Y$55,卡牌消耗!L226)&gt;0,"灵玉","")</f>
        <v/>
      </c>
      <c r="U226" s="16" t="str">
        <f>IF(INDEX(挂机升级突破!$Y$35:$Y$55,卡牌消耗!L226)&gt;0,INDEX(挂机升级突破!$AH$35:$AH$55,卡牌消耗!L226),"")</f>
        <v/>
      </c>
    </row>
    <row r="227" spans="9:21" ht="16.5" x14ac:dyDescent="0.2">
      <c r="I227" s="36">
        <v>191</v>
      </c>
      <c r="J227" s="16">
        <f t="shared" si="11"/>
        <v>1102010</v>
      </c>
      <c r="K227" s="16">
        <f t="shared" si="12"/>
        <v>4</v>
      </c>
      <c r="L227" s="16">
        <f t="shared" si="14"/>
        <v>2</v>
      </c>
      <c r="M227" s="16" t="str">
        <f t="shared" si="13"/>
        <v>蓝</v>
      </c>
      <c r="N227" s="16" t="str">
        <f t="shared" si="15"/>
        <v>金币</v>
      </c>
      <c r="O227" s="16">
        <f>IF(L227&gt;1,INDEX(挂机升级突破!$AI$35:$AI$55,卡牌消耗!L227),"")</f>
        <v>2500</v>
      </c>
      <c r="P227" s="16" t="str">
        <f>IF(L227&gt;1,INDEX(价值概述!$A$4:$A$8,INDEX(挂机升级突破!$W$35:$W$55,卡牌消耗!L227)),"")</f>
        <v>绿色基础材料</v>
      </c>
      <c r="Q227" s="16">
        <f>IF(L227&gt;1,INDEX(挂机升级突破!$Z$35:$AD$55,卡牌消耗!L227,INDEX(挂机升级突破!$W$35:$W$55,卡牌消耗!L227)),"")</f>
        <v>40</v>
      </c>
      <c r="R227" s="16" t="str">
        <f>IF(INDEX(挂机升级突破!$X$35:$X$55,卡牌消耗!L227)&gt;0,INDEX($G$2:$I$2,INDEX(挂机升级突破!$X$35:$X$55,卡牌消耗!L227))&amp;M227,"")</f>
        <v/>
      </c>
      <c r="S227" s="16" t="str">
        <f>IF(R227="","",INDEX(挂机升级突破!$AE$35:$AG$55,卡牌消耗!L227,INDEX(挂机升级突破!$X$35:$X$55,卡牌消耗!L227)))</f>
        <v/>
      </c>
      <c r="T227" s="16" t="str">
        <f>IF(INDEX(挂机升级突破!$Y$35:$Y$55,卡牌消耗!L227)&gt;0,"灵玉","")</f>
        <v/>
      </c>
      <c r="U227" s="16" t="str">
        <f>IF(INDEX(挂机升级突破!$Y$35:$Y$55,卡牌消耗!L227)&gt;0,INDEX(挂机升级突破!$AH$35:$AH$55,卡牌消耗!L227),"")</f>
        <v/>
      </c>
    </row>
    <row r="228" spans="9:21" ht="16.5" x14ac:dyDescent="0.2">
      <c r="I228" s="36">
        <v>192</v>
      </c>
      <c r="J228" s="16">
        <f t="shared" si="11"/>
        <v>1102010</v>
      </c>
      <c r="K228" s="16">
        <f t="shared" si="12"/>
        <v>4</v>
      </c>
      <c r="L228" s="16">
        <f t="shared" si="14"/>
        <v>3</v>
      </c>
      <c r="M228" s="16" t="str">
        <f t="shared" si="13"/>
        <v>蓝</v>
      </c>
      <c r="N228" s="16" t="str">
        <f t="shared" si="15"/>
        <v>金币</v>
      </c>
      <c r="O228" s="16">
        <f>IF(L228&gt;1,INDEX(挂机升级突破!$AI$35:$AI$55,卡牌消耗!L228),"")</f>
        <v>8500</v>
      </c>
      <c r="P228" s="16" t="str">
        <f>IF(L228&gt;1,INDEX(价值概述!$A$4:$A$8,INDEX(挂机升级突破!$W$35:$W$55,卡牌消耗!L228)),"")</f>
        <v>绿色基础材料</v>
      </c>
      <c r="Q228" s="16">
        <f>IF(L228&gt;1,INDEX(挂机升级突破!$Z$35:$AD$55,卡牌消耗!L228,INDEX(挂机升级突破!$W$35:$W$55,卡牌消耗!L228)),"")</f>
        <v>120</v>
      </c>
      <c r="R228" s="16" t="str">
        <f>IF(INDEX(挂机升级突破!$X$35:$X$55,卡牌消耗!L228)&gt;0,INDEX($G$2:$I$2,INDEX(挂机升级突破!$X$35:$X$55,卡牌消耗!L228))&amp;M228,"")</f>
        <v/>
      </c>
      <c r="S228" s="16" t="str">
        <f>IF(R228="","",INDEX(挂机升级突破!$AE$35:$AG$55,卡牌消耗!L228,INDEX(挂机升级突破!$X$35:$X$55,卡牌消耗!L228)))</f>
        <v/>
      </c>
      <c r="T228" s="16" t="str">
        <f>IF(INDEX(挂机升级突破!$Y$35:$Y$55,卡牌消耗!L228)&gt;0,"灵玉","")</f>
        <v/>
      </c>
      <c r="U228" s="16" t="str">
        <f>IF(INDEX(挂机升级突破!$Y$35:$Y$55,卡牌消耗!L228)&gt;0,INDEX(挂机升级突破!$AH$35:$AH$55,卡牌消耗!L228),"")</f>
        <v/>
      </c>
    </row>
    <row r="229" spans="9:21" ht="16.5" x14ac:dyDescent="0.2">
      <c r="I229" s="36">
        <v>193</v>
      </c>
      <c r="J229" s="16">
        <f t="shared" ref="J229:J292" si="16">INDEX($A$13:$A$33,INT((I229-1)/21)+1)</f>
        <v>1102010</v>
      </c>
      <c r="K229" s="16">
        <f t="shared" ref="K229:K292" si="17">VLOOKUP(J229,$A$13:$D$33,3)</f>
        <v>4</v>
      </c>
      <c r="L229" s="16">
        <f t="shared" si="14"/>
        <v>4</v>
      </c>
      <c r="M229" s="16" t="str">
        <f t="shared" ref="M229:M292" si="18">INDEX($J$2:$L$2,INDEX($E$13:$E$33,INT((I229-1)/21)+1))</f>
        <v>蓝</v>
      </c>
      <c r="N229" s="16" t="str">
        <f t="shared" si="15"/>
        <v>金币</v>
      </c>
      <c r="O229" s="16">
        <f>IF(L229&gt;1,INDEX(挂机升级突破!$AI$35:$AI$55,卡牌消耗!L229),"")</f>
        <v>17000</v>
      </c>
      <c r="P229" s="16" t="str">
        <f>IF(L229&gt;1,INDEX(价值概述!$A$4:$A$8,INDEX(挂机升级突破!$W$35:$W$55,卡牌消耗!L229)),"")</f>
        <v>绿色基础材料</v>
      </c>
      <c r="Q229" s="16">
        <f>IF(L229&gt;1,INDEX(挂机升级突破!$Z$35:$AD$55,卡牌消耗!L229,INDEX(挂机升级突破!$W$35:$W$55,卡牌消耗!L229)),"")</f>
        <v>240</v>
      </c>
      <c r="R229" s="16" t="str">
        <f>IF(INDEX(挂机升级突破!$X$35:$X$55,卡牌消耗!L229)&gt;0,INDEX($G$2:$I$2,INDEX(挂机升级突破!$X$35:$X$55,卡牌消耗!L229))&amp;M229,"")</f>
        <v>初级蓝</v>
      </c>
      <c r="S229" s="16">
        <f>IF(R229="","",INDEX(挂机升级突破!$AE$35:$AG$55,卡牌消耗!L229,INDEX(挂机升级突破!$X$35:$X$55,卡牌消耗!L229)))</f>
        <v>130</v>
      </c>
      <c r="T229" s="16" t="str">
        <f>IF(INDEX(挂机升级突破!$Y$35:$Y$55,卡牌消耗!L229)&gt;0,"灵玉","")</f>
        <v/>
      </c>
      <c r="U229" s="16" t="str">
        <f>IF(INDEX(挂机升级突破!$Y$35:$Y$55,卡牌消耗!L229)&gt;0,INDEX(挂机升级突破!$AH$35:$AH$55,卡牌消耗!L229),"")</f>
        <v/>
      </c>
    </row>
    <row r="230" spans="9:21" ht="16.5" x14ac:dyDescent="0.2">
      <c r="I230" s="36">
        <v>194</v>
      </c>
      <c r="J230" s="16">
        <f t="shared" si="16"/>
        <v>1102010</v>
      </c>
      <c r="K230" s="16">
        <f t="shared" si="17"/>
        <v>4</v>
      </c>
      <c r="L230" s="16">
        <f t="shared" ref="L230:L293" si="19">MOD((I230-1),21)+1</f>
        <v>5</v>
      </c>
      <c r="M230" s="16" t="str">
        <f t="shared" si="18"/>
        <v>蓝</v>
      </c>
      <c r="N230" s="16" t="str">
        <f t="shared" ref="N230:N293" si="20">IF(L230&gt;1,"金币","")</f>
        <v>金币</v>
      </c>
      <c r="O230" s="16">
        <f>IF(L230&gt;1,INDEX(挂机升级突破!$AI$35:$AI$55,卡牌消耗!L230),"")</f>
        <v>10500</v>
      </c>
      <c r="P230" s="16" t="str">
        <f>IF(L230&gt;1,INDEX(价值概述!$A$4:$A$8,INDEX(挂机升级突破!$W$35:$W$55,卡牌消耗!L230)),"")</f>
        <v>蓝色基础材料</v>
      </c>
      <c r="Q230" s="16">
        <f>IF(L230&gt;1,INDEX(挂机升级突破!$Z$35:$AD$55,卡牌消耗!L230,INDEX(挂机升级突破!$W$35:$W$55,卡牌消耗!L230)),"")</f>
        <v>85</v>
      </c>
      <c r="R230" s="16" t="str">
        <f>IF(INDEX(挂机升级突破!$X$35:$X$55,卡牌消耗!L230)&gt;0,INDEX($G$2:$I$2,INDEX(挂机升级突破!$X$35:$X$55,卡牌消耗!L230))&amp;M230,"")</f>
        <v>初级蓝</v>
      </c>
      <c r="S230" s="16">
        <f>IF(R230="","",INDEX(挂机升级突破!$AE$35:$AG$55,卡牌消耗!L230,INDEX(挂机升级突破!$X$35:$X$55,卡牌消耗!L230)))</f>
        <v>160</v>
      </c>
      <c r="T230" s="16" t="str">
        <f>IF(INDEX(挂机升级突破!$Y$35:$Y$55,卡牌消耗!L230)&gt;0,"灵玉","")</f>
        <v/>
      </c>
      <c r="U230" s="16" t="str">
        <f>IF(INDEX(挂机升级突破!$Y$35:$Y$55,卡牌消耗!L230)&gt;0,INDEX(挂机升级突破!$AH$35:$AH$55,卡牌消耗!L230),"")</f>
        <v/>
      </c>
    </row>
    <row r="231" spans="9:21" ht="16.5" x14ac:dyDescent="0.2">
      <c r="I231" s="36">
        <v>195</v>
      </c>
      <c r="J231" s="16">
        <f t="shared" si="16"/>
        <v>1102010</v>
      </c>
      <c r="K231" s="16">
        <f t="shared" si="17"/>
        <v>4</v>
      </c>
      <c r="L231" s="16">
        <f t="shared" si="19"/>
        <v>6</v>
      </c>
      <c r="M231" s="16" t="str">
        <f t="shared" si="18"/>
        <v>蓝</v>
      </c>
      <c r="N231" s="16" t="str">
        <f t="shared" si="20"/>
        <v>金币</v>
      </c>
      <c r="O231" s="16">
        <f>IF(L231&gt;1,INDEX(挂机升级突破!$AI$35:$AI$55,卡牌消耗!L231),"")</f>
        <v>25000</v>
      </c>
      <c r="P231" s="16" t="str">
        <f>IF(L231&gt;1,INDEX(价值概述!$A$4:$A$8,INDEX(挂机升级突破!$W$35:$W$55,卡牌消耗!L231)),"")</f>
        <v>蓝色基础材料</v>
      </c>
      <c r="Q231" s="16">
        <f>IF(L231&gt;1,INDEX(挂机升级突破!$Z$35:$AD$55,卡牌消耗!L231,INDEX(挂机升级突破!$W$35:$W$55,卡牌消耗!L231)),"")</f>
        <v>145</v>
      </c>
      <c r="R231" s="16" t="str">
        <f>IF(INDEX(挂机升级突破!$X$35:$X$55,卡牌消耗!L231)&gt;0,INDEX($G$2:$I$2,INDEX(挂机升级突破!$X$35:$X$55,卡牌消耗!L231))&amp;M231,"")</f>
        <v>初级蓝</v>
      </c>
      <c r="S231" s="16">
        <f>IF(R231="","",INDEX(挂机升级突破!$AE$35:$AG$55,卡牌消耗!L231,INDEX(挂机升级突破!$X$35:$X$55,卡牌消耗!L231)))</f>
        <v>175</v>
      </c>
      <c r="T231" s="16" t="str">
        <f>IF(INDEX(挂机升级突破!$Y$35:$Y$55,卡牌消耗!L231)&gt;0,"灵玉","")</f>
        <v/>
      </c>
      <c r="U231" s="16" t="str">
        <f>IF(INDEX(挂机升级突破!$Y$35:$Y$55,卡牌消耗!L231)&gt;0,INDEX(挂机升级突破!$AH$35:$AH$55,卡牌消耗!L231),"")</f>
        <v/>
      </c>
    </row>
    <row r="232" spans="9:21" ht="16.5" x14ac:dyDescent="0.2">
      <c r="I232" s="36">
        <v>196</v>
      </c>
      <c r="J232" s="16">
        <f t="shared" si="16"/>
        <v>1102010</v>
      </c>
      <c r="K232" s="16">
        <f t="shared" si="17"/>
        <v>4</v>
      </c>
      <c r="L232" s="16">
        <f t="shared" si="19"/>
        <v>7</v>
      </c>
      <c r="M232" s="16" t="str">
        <f t="shared" si="18"/>
        <v>蓝</v>
      </c>
      <c r="N232" s="16" t="str">
        <f t="shared" si="20"/>
        <v>金币</v>
      </c>
      <c r="O232" s="16">
        <f>IF(L232&gt;1,INDEX(挂机升级突破!$AI$35:$AI$55,卡牌消耗!L232),"")</f>
        <v>28000</v>
      </c>
      <c r="P232" s="16" t="str">
        <f>IF(L232&gt;1,INDEX(价值概述!$A$4:$A$8,INDEX(挂机升级突破!$W$35:$W$55,卡牌消耗!L232)),"")</f>
        <v>蓝色基础材料</v>
      </c>
      <c r="Q232" s="16">
        <f>IF(L232&gt;1,INDEX(挂机升级突破!$Z$35:$AD$55,卡牌消耗!L232,INDEX(挂机升级突破!$W$35:$W$55,卡牌消耗!L232)),"")</f>
        <v>185</v>
      </c>
      <c r="R232" s="16" t="str">
        <f>IF(INDEX(挂机升级突破!$X$35:$X$55,卡牌消耗!L232)&gt;0,INDEX($G$2:$I$2,INDEX(挂机升级突破!$X$35:$X$55,卡牌消耗!L232))&amp;M232,"")</f>
        <v>初级蓝</v>
      </c>
      <c r="S232" s="16">
        <f>IF(R232="","",INDEX(挂机升级突破!$AE$35:$AG$55,卡牌消耗!L232,INDEX(挂机升级突破!$X$35:$X$55,卡牌消耗!L232)))</f>
        <v>190</v>
      </c>
      <c r="T232" s="16" t="str">
        <f>IF(INDEX(挂机升级突破!$Y$35:$Y$55,卡牌消耗!L232)&gt;0,"灵玉","")</f>
        <v/>
      </c>
      <c r="U232" s="16" t="str">
        <f>IF(INDEX(挂机升级突破!$Y$35:$Y$55,卡牌消耗!L232)&gt;0,INDEX(挂机升级突破!$AH$35:$AH$55,卡牌消耗!L232),"")</f>
        <v/>
      </c>
    </row>
    <row r="233" spans="9:21" ht="16.5" x14ac:dyDescent="0.2">
      <c r="I233" s="36">
        <v>197</v>
      </c>
      <c r="J233" s="16">
        <f t="shared" si="16"/>
        <v>1102010</v>
      </c>
      <c r="K233" s="16">
        <f t="shared" si="17"/>
        <v>4</v>
      </c>
      <c r="L233" s="16">
        <f t="shared" si="19"/>
        <v>8</v>
      </c>
      <c r="M233" s="16" t="str">
        <f t="shared" si="18"/>
        <v>蓝</v>
      </c>
      <c r="N233" s="16" t="str">
        <f t="shared" si="20"/>
        <v>金币</v>
      </c>
      <c r="O233" s="16">
        <f>IF(L233&gt;1,INDEX(挂机升级突破!$AI$35:$AI$55,卡牌消耗!L233),"")</f>
        <v>31000</v>
      </c>
      <c r="P233" s="16" t="str">
        <f>IF(L233&gt;1,INDEX(价值概述!$A$4:$A$8,INDEX(挂机升级突破!$W$35:$W$55,卡牌消耗!L233)),"")</f>
        <v>蓝色基础材料</v>
      </c>
      <c r="Q233" s="16">
        <f>IF(L233&gt;1,INDEX(挂机升级突破!$Z$35:$AD$55,卡牌消耗!L233,INDEX(挂机升级突破!$W$35:$W$55,卡牌消耗!L233)),"")</f>
        <v>220</v>
      </c>
      <c r="R233" s="16" t="str">
        <f>IF(INDEX(挂机升级突破!$X$35:$X$55,卡牌消耗!L233)&gt;0,INDEX($G$2:$I$2,INDEX(挂机升级突破!$X$35:$X$55,卡牌消耗!L233))&amp;M233,"")</f>
        <v>初级蓝</v>
      </c>
      <c r="S233" s="16">
        <f>IF(R233="","",INDEX(挂机升级突破!$AE$35:$AG$55,卡牌消耗!L233,INDEX(挂机升级突破!$X$35:$X$55,卡牌消耗!L233)))</f>
        <v>200</v>
      </c>
      <c r="T233" s="16" t="str">
        <f>IF(INDEX(挂机升级突破!$Y$35:$Y$55,卡牌消耗!L233)&gt;0,"灵玉","")</f>
        <v/>
      </c>
      <c r="U233" s="16" t="str">
        <f>IF(INDEX(挂机升级突破!$Y$35:$Y$55,卡牌消耗!L233)&gt;0,INDEX(挂机升级突破!$AH$35:$AH$55,卡牌消耗!L233),"")</f>
        <v/>
      </c>
    </row>
    <row r="234" spans="9:21" ht="16.5" x14ac:dyDescent="0.2">
      <c r="I234" s="36">
        <v>198</v>
      </c>
      <c r="J234" s="16">
        <f t="shared" si="16"/>
        <v>1102010</v>
      </c>
      <c r="K234" s="16">
        <f t="shared" si="17"/>
        <v>4</v>
      </c>
      <c r="L234" s="16">
        <f t="shared" si="19"/>
        <v>9</v>
      </c>
      <c r="M234" s="16" t="str">
        <f t="shared" si="18"/>
        <v>蓝</v>
      </c>
      <c r="N234" s="16" t="str">
        <f t="shared" si="20"/>
        <v>金币</v>
      </c>
      <c r="O234" s="16">
        <f>IF(L234&gt;1,INDEX(挂机升级突破!$AI$35:$AI$55,卡牌消耗!L234),"")</f>
        <v>24000</v>
      </c>
      <c r="P234" s="16" t="str">
        <f>IF(L234&gt;1,INDEX(价值概述!$A$4:$A$8,INDEX(挂机升级突破!$W$35:$W$55,卡牌消耗!L234)),"")</f>
        <v>紫色基础材料</v>
      </c>
      <c r="Q234" s="16">
        <f>IF(L234&gt;1,INDEX(挂机升级突破!$Z$35:$AD$55,卡牌消耗!L234,INDEX(挂机升级突破!$W$35:$W$55,卡牌消耗!L234)),"")</f>
        <v>95</v>
      </c>
      <c r="R234" s="16" t="str">
        <f>IF(INDEX(挂机升级突破!$X$35:$X$55,卡牌消耗!L234)&gt;0,INDEX($G$2:$I$2,INDEX(挂机升级突破!$X$35:$X$55,卡牌消耗!L234))&amp;M234,"")</f>
        <v>中级蓝</v>
      </c>
      <c r="S234" s="16">
        <f>IF(R234="","",INDEX(挂机升级突破!$AE$35:$AG$55,卡牌消耗!L234,INDEX(挂机升级突破!$X$35:$X$55,卡牌消耗!L234)))</f>
        <v>80</v>
      </c>
      <c r="T234" s="16" t="str">
        <f>IF(INDEX(挂机升级突破!$Y$35:$Y$55,卡牌消耗!L234)&gt;0,"灵玉","")</f>
        <v/>
      </c>
      <c r="U234" s="16" t="str">
        <f>IF(INDEX(挂机升级突破!$Y$35:$Y$55,卡牌消耗!L234)&gt;0,INDEX(挂机升级突破!$AH$35:$AH$55,卡牌消耗!L234),"")</f>
        <v/>
      </c>
    </row>
    <row r="235" spans="9:21" ht="16.5" x14ac:dyDescent="0.2">
      <c r="I235" s="36">
        <v>199</v>
      </c>
      <c r="J235" s="16">
        <f t="shared" si="16"/>
        <v>1102010</v>
      </c>
      <c r="K235" s="16">
        <f t="shared" si="17"/>
        <v>4</v>
      </c>
      <c r="L235" s="16">
        <f t="shared" si="19"/>
        <v>10</v>
      </c>
      <c r="M235" s="16" t="str">
        <f t="shared" si="18"/>
        <v>蓝</v>
      </c>
      <c r="N235" s="16" t="str">
        <f t="shared" si="20"/>
        <v>金币</v>
      </c>
      <c r="O235" s="16">
        <f>IF(L235&gt;1,INDEX(挂机升级突破!$AI$35:$AI$55,卡牌消耗!L235),"")</f>
        <v>26500</v>
      </c>
      <c r="P235" s="16" t="str">
        <f>IF(L235&gt;1,INDEX(价值概述!$A$4:$A$8,INDEX(挂机升级突破!$W$35:$W$55,卡牌消耗!L235)),"")</f>
        <v>紫色基础材料</v>
      </c>
      <c r="Q235" s="16">
        <f>IF(L235&gt;1,INDEX(挂机升级突破!$Z$35:$AD$55,卡牌消耗!L235,INDEX(挂机升级突破!$W$35:$W$55,卡牌消耗!L235)),"")</f>
        <v>175</v>
      </c>
      <c r="R235" s="16" t="str">
        <f>IF(INDEX(挂机升级突破!$X$35:$X$55,卡牌消耗!L235)&gt;0,INDEX($G$2:$I$2,INDEX(挂机升级突破!$X$35:$X$55,卡牌消耗!L235))&amp;M235,"")</f>
        <v>中级蓝</v>
      </c>
      <c r="S235" s="16">
        <f>IF(R235="","",INDEX(挂机升级突破!$AE$35:$AG$55,卡牌消耗!L235,INDEX(挂机升级突破!$X$35:$X$55,卡牌消耗!L235)))</f>
        <v>120</v>
      </c>
      <c r="T235" s="16" t="str">
        <f>IF(INDEX(挂机升级突破!$Y$35:$Y$55,卡牌消耗!L235)&gt;0,"灵玉","")</f>
        <v/>
      </c>
      <c r="U235" s="16" t="str">
        <f>IF(INDEX(挂机升级突破!$Y$35:$Y$55,卡牌消耗!L235)&gt;0,INDEX(挂机升级突破!$AH$35:$AH$55,卡牌消耗!L235),"")</f>
        <v/>
      </c>
    </row>
    <row r="236" spans="9:21" ht="16.5" x14ac:dyDescent="0.2">
      <c r="I236" s="36">
        <v>200</v>
      </c>
      <c r="J236" s="16">
        <f t="shared" si="16"/>
        <v>1102010</v>
      </c>
      <c r="K236" s="16">
        <f t="shared" si="17"/>
        <v>4</v>
      </c>
      <c r="L236" s="16">
        <f t="shared" si="19"/>
        <v>11</v>
      </c>
      <c r="M236" s="16" t="str">
        <f t="shared" si="18"/>
        <v>蓝</v>
      </c>
      <c r="N236" s="16" t="str">
        <f t="shared" si="20"/>
        <v>金币</v>
      </c>
      <c r="O236" s="16">
        <f>IF(L236&gt;1,INDEX(挂机升级突破!$AI$35:$AI$55,卡牌消耗!L236),"")</f>
        <v>28500</v>
      </c>
      <c r="P236" s="16" t="str">
        <f>IF(L236&gt;1,INDEX(价值概述!$A$4:$A$8,INDEX(挂机升级突破!$W$35:$W$55,卡牌消耗!L236)),"")</f>
        <v>紫色基础材料</v>
      </c>
      <c r="Q236" s="16">
        <f>IF(L236&gt;1,INDEX(挂机升级突破!$Z$35:$AD$55,卡牌消耗!L236,INDEX(挂机升级突破!$W$35:$W$55,卡牌消耗!L236)),"")</f>
        <v>245</v>
      </c>
      <c r="R236" s="16" t="str">
        <f>IF(INDEX(挂机升级突破!$X$35:$X$55,卡牌消耗!L236)&gt;0,INDEX($G$2:$I$2,INDEX(挂机升级突破!$X$35:$X$55,卡牌消耗!L236))&amp;M236,"")</f>
        <v>中级蓝</v>
      </c>
      <c r="S236" s="16">
        <f>IF(R236="","",INDEX(挂机升级突破!$AE$35:$AG$55,卡牌消耗!L236,INDEX(挂机升级突破!$X$35:$X$55,卡牌消耗!L236)))</f>
        <v>170</v>
      </c>
      <c r="T236" s="16" t="str">
        <f>IF(INDEX(挂机升级突破!$Y$35:$Y$55,卡牌消耗!L236)&gt;0,"灵玉","")</f>
        <v/>
      </c>
      <c r="U236" s="16" t="str">
        <f>IF(INDEX(挂机升级突破!$Y$35:$Y$55,卡牌消耗!L236)&gt;0,INDEX(挂机升级突破!$AH$35:$AH$55,卡牌消耗!L236),"")</f>
        <v/>
      </c>
    </row>
    <row r="237" spans="9:21" ht="16.5" x14ac:dyDescent="0.2">
      <c r="I237" s="36">
        <v>201</v>
      </c>
      <c r="J237" s="16">
        <f t="shared" si="16"/>
        <v>1102010</v>
      </c>
      <c r="K237" s="16">
        <f t="shared" si="17"/>
        <v>4</v>
      </c>
      <c r="L237" s="16">
        <f t="shared" si="19"/>
        <v>12</v>
      </c>
      <c r="M237" s="16" t="str">
        <f t="shared" si="18"/>
        <v>蓝</v>
      </c>
      <c r="N237" s="16" t="str">
        <f t="shared" si="20"/>
        <v>金币</v>
      </c>
      <c r="O237" s="16">
        <f>IF(L237&gt;1,INDEX(挂机升级突破!$AI$35:$AI$55,卡牌消耗!L237),"")</f>
        <v>30500</v>
      </c>
      <c r="P237" s="16" t="str">
        <f>IF(L237&gt;1,INDEX(价值概述!$A$4:$A$8,INDEX(挂机升级突破!$W$35:$W$55,卡牌消耗!L237)),"")</f>
        <v>紫色基础材料</v>
      </c>
      <c r="Q237" s="16">
        <f>IF(L237&gt;1,INDEX(挂机升级突破!$Z$35:$AD$55,卡牌消耗!L237,INDEX(挂机升级突破!$W$35:$W$55,卡牌消耗!L237)),"")</f>
        <v>305</v>
      </c>
      <c r="R237" s="16" t="str">
        <f>IF(INDEX(挂机升级突破!$X$35:$X$55,卡牌消耗!L237)&gt;0,INDEX($G$2:$I$2,INDEX(挂机升级突破!$X$35:$X$55,卡牌消耗!L237))&amp;M237,"")</f>
        <v>中级蓝</v>
      </c>
      <c r="S237" s="16">
        <f>IF(R237="","",INDEX(挂机升级突破!$AE$35:$AG$55,卡牌消耗!L237,INDEX(挂机升级突破!$X$35:$X$55,卡牌消耗!L237)))</f>
        <v>200</v>
      </c>
      <c r="T237" s="16" t="str">
        <f>IF(INDEX(挂机升级突破!$Y$35:$Y$55,卡牌消耗!L237)&gt;0,"灵玉","")</f>
        <v/>
      </c>
      <c r="U237" s="16" t="str">
        <f>IF(INDEX(挂机升级突破!$Y$35:$Y$55,卡牌消耗!L237)&gt;0,INDEX(挂机升级突破!$AH$35:$AH$55,卡牌消耗!L237),"")</f>
        <v/>
      </c>
    </row>
    <row r="238" spans="9:21" ht="16.5" x14ac:dyDescent="0.2">
      <c r="I238" s="36">
        <v>202</v>
      </c>
      <c r="J238" s="16">
        <f t="shared" si="16"/>
        <v>1102010</v>
      </c>
      <c r="K238" s="16">
        <f t="shared" si="17"/>
        <v>4</v>
      </c>
      <c r="L238" s="16">
        <f t="shared" si="19"/>
        <v>13</v>
      </c>
      <c r="M238" s="16" t="str">
        <f t="shared" si="18"/>
        <v>蓝</v>
      </c>
      <c r="N238" s="16" t="str">
        <f t="shared" si="20"/>
        <v>金币</v>
      </c>
      <c r="O238" s="16">
        <f>IF(L238&gt;1,INDEX(挂机升级突破!$AI$35:$AI$55,卡牌消耗!L238),"")</f>
        <v>38500</v>
      </c>
      <c r="P238" s="16" t="str">
        <f>IF(L238&gt;1,INDEX(价值概述!$A$4:$A$8,INDEX(挂机升级突破!$W$35:$W$55,卡牌消耗!L238)),"")</f>
        <v>橙色基础材料</v>
      </c>
      <c r="Q238" s="16">
        <f>IF(L238&gt;1,INDEX(挂机升级突破!$Z$35:$AD$55,卡牌消耗!L238,INDEX(挂机升级突破!$W$35:$W$55,卡牌消耗!L238)),"")</f>
        <v>115</v>
      </c>
      <c r="R238" s="16" t="str">
        <f>IF(INDEX(挂机升级突破!$X$35:$X$55,卡牌消耗!L238)&gt;0,INDEX($G$2:$I$2,INDEX(挂机升级突破!$X$35:$X$55,卡牌消耗!L238))&amp;M238,"")</f>
        <v>中级蓝</v>
      </c>
      <c r="S238" s="16">
        <f>IF(R238="","",INDEX(挂机升级突破!$AE$35:$AG$55,卡牌消耗!L238,INDEX(挂机升级突破!$X$35:$X$55,卡牌消耗!L238)))</f>
        <v>225</v>
      </c>
      <c r="T238" s="16" t="str">
        <f>IF(INDEX(挂机升级突破!$Y$35:$Y$55,卡牌消耗!L238)&gt;0,"灵玉","")</f>
        <v/>
      </c>
      <c r="U238" s="16" t="str">
        <f>IF(INDEX(挂机升级突破!$Y$35:$Y$55,卡牌消耗!L238)&gt;0,INDEX(挂机升级突破!$AH$35:$AH$55,卡牌消耗!L238),"")</f>
        <v/>
      </c>
    </row>
    <row r="239" spans="9:21" ht="16.5" x14ac:dyDescent="0.2">
      <c r="I239" s="36">
        <v>203</v>
      </c>
      <c r="J239" s="16">
        <f t="shared" si="16"/>
        <v>1102010</v>
      </c>
      <c r="K239" s="16">
        <f t="shared" si="17"/>
        <v>4</v>
      </c>
      <c r="L239" s="16">
        <f t="shared" si="19"/>
        <v>14</v>
      </c>
      <c r="M239" s="16" t="str">
        <f t="shared" si="18"/>
        <v>蓝</v>
      </c>
      <c r="N239" s="16" t="str">
        <f t="shared" si="20"/>
        <v>金币</v>
      </c>
      <c r="O239" s="16">
        <f>IF(L239&gt;1,INDEX(挂机升级突破!$AI$35:$AI$55,卡牌消耗!L239),"")</f>
        <v>51000</v>
      </c>
      <c r="P239" s="16" t="str">
        <f>IF(L239&gt;1,INDEX(价值概述!$A$4:$A$8,INDEX(挂机升级突破!$W$35:$W$55,卡牌消耗!L239)),"")</f>
        <v>橙色基础材料</v>
      </c>
      <c r="Q239" s="16">
        <f>IF(L239&gt;1,INDEX(挂机升级突破!$Z$35:$AD$55,卡牌消耗!L239,INDEX(挂机升级突破!$W$35:$W$55,卡牌消耗!L239)),"")</f>
        <v>235</v>
      </c>
      <c r="R239" s="16" t="str">
        <f>IF(INDEX(挂机升级突破!$X$35:$X$55,卡牌消耗!L239)&gt;0,INDEX($G$2:$I$2,INDEX(挂机升级突破!$X$35:$X$55,卡牌消耗!L239))&amp;M239,"")</f>
        <v>中级蓝</v>
      </c>
      <c r="S239" s="16">
        <f>IF(R239="","",INDEX(挂机升级突破!$AE$35:$AG$55,卡牌消耗!L239,INDEX(挂机升级突破!$X$35:$X$55,卡牌消耗!L239)))</f>
        <v>265</v>
      </c>
      <c r="T239" s="16" t="str">
        <f>IF(INDEX(挂机升级突破!$Y$35:$Y$55,卡牌消耗!L239)&gt;0,"灵玉","")</f>
        <v/>
      </c>
      <c r="U239" s="16" t="str">
        <f>IF(INDEX(挂机升级突破!$Y$35:$Y$55,卡牌消耗!L239)&gt;0,INDEX(挂机升级突破!$AH$35:$AH$55,卡牌消耗!L239),"")</f>
        <v/>
      </c>
    </row>
    <row r="240" spans="9:21" ht="16.5" x14ac:dyDescent="0.2">
      <c r="I240" s="36">
        <v>204</v>
      </c>
      <c r="J240" s="16">
        <f t="shared" si="16"/>
        <v>1102010</v>
      </c>
      <c r="K240" s="16">
        <f t="shared" si="17"/>
        <v>4</v>
      </c>
      <c r="L240" s="16">
        <f t="shared" si="19"/>
        <v>15</v>
      </c>
      <c r="M240" s="16" t="str">
        <f t="shared" si="18"/>
        <v>蓝</v>
      </c>
      <c r="N240" s="16" t="str">
        <f t="shared" si="20"/>
        <v>金币</v>
      </c>
      <c r="O240" s="16">
        <f>IF(L240&gt;1,INDEX(挂机升级突破!$AI$35:$AI$55,卡牌消耗!L240),"")</f>
        <v>60000</v>
      </c>
      <c r="P240" s="16" t="str">
        <f>IF(L240&gt;1,INDEX(价值概述!$A$4:$A$8,INDEX(挂机升级突破!$W$35:$W$55,卡牌消耗!L240)),"")</f>
        <v>橙色基础材料</v>
      </c>
      <c r="Q240" s="16">
        <f>IF(L240&gt;1,INDEX(挂机升级突破!$Z$35:$AD$55,卡牌消耗!L240,INDEX(挂机升级突破!$W$35:$W$55,卡牌消耗!L240)),"")</f>
        <v>355</v>
      </c>
      <c r="R240" s="16" t="str">
        <f>IF(INDEX(挂机升级突破!$X$35:$X$55,卡牌消耗!L240)&gt;0,INDEX($G$2:$I$2,INDEX(挂机升级突破!$X$35:$X$55,卡牌消耗!L240))&amp;M240,"")</f>
        <v>高级蓝</v>
      </c>
      <c r="S240" s="16">
        <f>IF(R240="","",INDEX(挂机升级突破!$AE$35:$AG$55,卡牌消耗!L240,INDEX(挂机升级突破!$X$35:$X$55,卡牌消耗!L240)))</f>
        <v>45</v>
      </c>
      <c r="T240" s="16" t="str">
        <f>IF(INDEX(挂机升级突破!$Y$35:$Y$55,卡牌消耗!L240)&gt;0,"灵玉","")</f>
        <v/>
      </c>
      <c r="U240" s="16" t="str">
        <f>IF(INDEX(挂机升级突破!$Y$35:$Y$55,卡牌消耗!L240)&gt;0,INDEX(挂机升级突破!$AH$35:$AH$55,卡牌消耗!L240),"")</f>
        <v/>
      </c>
    </row>
    <row r="241" spans="9:21" ht="16.5" x14ac:dyDescent="0.2">
      <c r="I241" s="36">
        <v>205</v>
      </c>
      <c r="J241" s="16">
        <f t="shared" si="16"/>
        <v>1102010</v>
      </c>
      <c r="K241" s="16">
        <f t="shared" si="17"/>
        <v>4</v>
      </c>
      <c r="L241" s="16">
        <f t="shared" si="19"/>
        <v>16</v>
      </c>
      <c r="M241" s="16" t="str">
        <f t="shared" si="18"/>
        <v>蓝</v>
      </c>
      <c r="N241" s="16" t="str">
        <f t="shared" si="20"/>
        <v>金币</v>
      </c>
      <c r="O241" s="16">
        <f>IF(L241&gt;1,INDEX(挂机升级突破!$AI$35:$AI$55,卡牌消耗!L241),"")</f>
        <v>69000</v>
      </c>
      <c r="P241" s="16" t="str">
        <f>IF(L241&gt;1,INDEX(价值概述!$A$4:$A$8,INDEX(挂机升级突破!$W$35:$W$55,卡牌消耗!L241)),"")</f>
        <v>橙色基础材料</v>
      </c>
      <c r="Q241" s="16">
        <f>IF(L241&gt;1,INDEX(挂机升级突破!$Z$35:$AD$55,卡牌消耗!L241,INDEX(挂机升级突破!$W$35:$W$55,卡牌消耗!L241)),"")</f>
        <v>475</v>
      </c>
      <c r="R241" s="16" t="str">
        <f>IF(INDEX(挂机升级突破!$X$35:$X$55,卡牌消耗!L241)&gt;0,INDEX($G$2:$I$2,INDEX(挂机升级突破!$X$35:$X$55,卡牌消耗!L241))&amp;M241,"")</f>
        <v>高级蓝</v>
      </c>
      <c r="S241" s="16">
        <f>IF(R241="","",INDEX(挂机升级突破!$AE$35:$AG$55,卡牌消耗!L241,INDEX(挂机升级突破!$X$35:$X$55,卡牌消耗!L241)))</f>
        <v>70</v>
      </c>
      <c r="T241" s="16" t="str">
        <f>IF(INDEX(挂机升级突破!$Y$35:$Y$55,卡牌消耗!L241)&gt;0,"灵玉","")</f>
        <v/>
      </c>
      <c r="U241" s="16" t="str">
        <f>IF(INDEX(挂机升级突破!$Y$35:$Y$55,卡牌消耗!L241)&gt;0,INDEX(挂机升级突破!$AH$35:$AH$55,卡牌消耗!L241),"")</f>
        <v/>
      </c>
    </row>
    <row r="242" spans="9:21" ht="16.5" x14ac:dyDescent="0.2">
      <c r="I242" s="36">
        <v>206</v>
      </c>
      <c r="J242" s="16">
        <f t="shared" si="16"/>
        <v>1102010</v>
      </c>
      <c r="K242" s="16">
        <f t="shared" si="17"/>
        <v>4</v>
      </c>
      <c r="L242" s="16">
        <f t="shared" si="19"/>
        <v>17</v>
      </c>
      <c r="M242" s="16" t="str">
        <f t="shared" si="18"/>
        <v>蓝</v>
      </c>
      <c r="N242" s="16" t="str">
        <f t="shared" si="20"/>
        <v>金币</v>
      </c>
      <c r="O242" s="16">
        <f>IF(L242&gt;1,INDEX(挂机升级突破!$AI$35:$AI$55,卡牌消耗!L242),"")</f>
        <v>76500</v>
      </c>
      <c r="P242" s="16" t="str">
        <f>IF(L242&gt;1,INDEX(价值概述!$A$4:$A$8,INDEX(挂机升级突破!$W$35:$W$55,卡牌消耗!L242)),"")</f>
        <v>红色基础材料</v>
      </c>
      <c r="Q242" s="16">
        <f>IF(L242&gt;1,INDEX(挂机升级突破!$Z$35:$AD$55,卡牌消耗!L242,INDEX(挂机升级突破!$W$35:$W$55,卡牌消耗!L242)),"")</f>
        <v>45</v>
      </c>
      <c r="R242" s="16" t="str">
        <f>IF(INDEX(挂机升级突破!$X$35:$X$55,卡牌消耗!L242)&gt;0,INDEX($G$2:$I$2,INDEX(挂机升级突破!$X$35:$X$55,卡牌消耗!L242))&amp;M242,"")</f>
        <v>高级蓝</v>
      </c>
      <c r="S242" s="16">
        <f>IF(R242="","",INDEX(挂机升级突破!$AE$35:$AG$55,卡牌消耗!L242,INDEX(挂机升级突破!$X$35:$X$55,卡牌消耗!L242)))</f>
        <v>100</v>
      </c>
      <c r="T242" s="16" t="str">
        <f>IF(INDEX(挂机升级突破!$Y$35:$Y$55,卡牌消耗!L242)&gt;0,"灵玉","")</f>
        <v>灵玉</v>
      </c>
      <c r="U242" s="16">
        <f>IF(INDEX(挂机升级突破!$Y$35:$Y$55,卡牌消耗!L242)&gt;0,INDEX(挂机升级突破!$AH$35:$AH$55,卡牌消耗!L242),"")</f>
        <v>25</v>
      </c>
    </row>
    <row r="243" spans="9:21" ht="16.5" x14ac:dyDescent="0.2">
      <c r="I243" s="36">
        <v>207</v>
      </c>
      <c r="J243" s="16">
        <f t="shared" si="16"/>
        <v>1102010</v>
      </c>
      <c r="K243" s="16">
        <f t="shared" si="17"/>
        <v>4</v>
      </c>
      <c r="L243" s="16">
        <f t="shared" si="19"/>
        <v>18</v>
      </c>
      <c r="M243" s="16" t="str">
        <f t="shared" si="18"/>
        <v>蓝</v>
      </c>
      <c r="N243" s="16" t="str">
        <f t="shared" si="20"/>
        <v>金币</v>
      </c>
      <c r="O243" s="16">
        <f>IF(L243&gt;1,INDEX(挂机升级突破!$AI$35:$AI$55,卡牌消耗!L243),"")</f>
        <v>107000</v>
      </c>
      <c r="P243" s="16" t="str">
        <f>IF(L243&gt;1,INDEX(价值概述!$A$4:$A$8,INDEX(挂机升级突破!$W$35:$W$55,卡牌消耗!L243)),"")</f>
        <v>红色基础材料</v>
      </c>
      <c r="Q243" s="16">
        <f>IF(L243&gt;1,INDEX(挂机升级突破!$Z$35:$AD$55,卡牌消耗!L243,INDEX(挂机升级突破!$W$35:$W$55,卡牌消耗!L243)),"")</f>
        <v>65</v>
      </c>
      <c r="R243" s="16" t="str">
        <f>IF(INDEX(挂机升级突破!$X$35:$X$55,卡牌消耗!L243)&gt;0,INDEX($G$2:$I$2,INDEX(挂机升级突破!$X$35:$X$55,卡牌消耗!L243))&amp;M243,"")</f>
        <v>高级蓝</v>
      </c>
      <c r="S243" s="16">
        <f>IF(R243="","",INDEX(挂机升级突破!$AE$35:$AG$55,卡牌消耗!L243,INDEX(挂机升级突破!$X$35:$X$55,卡牌消耗!L243)))</f>
        <v>125</v>
      </c>
      <c r="T243" s="16" t="str">
        <f>IF(INDEX(挂机升级突破!$Y$35:$Y$55,卡牌消耗!L243)&gt;0,"灵玉","")</f>
        <v>灵玉</v>
      </c>
      <c r="U243" s="16">
        <f>IF(INDEX(挂机升级突破!$Y$35:$Y$55,卡牌消耗!L243)&gt;0,INDEX(挂机升级突破!$AH$35:$AH$55,卡牌消耗!L243),"")</f>
        <v>35</v>
      </c>
    </row>
    <row r="244" spans="9:21" ht="16.5" x14ac:dyDescent="0.2">
      <c r="I244" s="36">
        <v>208</v>
      </c>
      <c r="J244" s="16">
        <f t="shared" si="16"/>
        <v>1102010</v>
      </c>
      <c r="K244" s="16">
        <f t="shared" si="17"/>
        <v>4</v>
      </c>
      <c r="L244" s="16">
        <f t="shared" si="19"/>
        <v>19</v>
      </c>
      <c r="M244" s="16" t="str">
        <f t="shared" si="18"/>
        <v>蓝</v>
      </c>
      <c r="N244" s="16" t="str">
        <f t="shared" si="20"/>
        <v>金币</v>
      </c>
      <c r="O244" s="16">
        <f>IF(L244&gt;1,INDEX(挂机升级突破!$AI$35:$AI$55,卡牌消耗!L244),"")</f>
        <v>142500</v>
      </c>
      <c r="P244" s="16" t="str">
        <f>IF(L244&gt;1,INDEX(价值概述!$A$4:$A$8,INDEX(挂机升级突破!$W$35:$W$55,卡牌消耗!L244)),"")</f>
        <v>红色基础材料</v>
      </c>
      <c r="Q244" s="16">
        <f>IF(L244&gt;1,INDEX(挂机升级突破!$Z$35:$AD$55,卡牌消耗!L244,INDEX(挂机升级突破!$W$35:$W$55,卡牌消耗!L244)),"")</f>
        <v>90</v>
      </c>
      <c r="R244" s="16" t="str">
        <f>IF(INDEX(挂机升级突破!$X$35:$X$55,卡牌消耗!L244)&gt;0,INDEX($G$2:$I$2,INDEX(挂机升级突破!$X$35:$X$55,卡牌消耗!L244))&amp;M244,"")</f>
        <v>高级蓝</v>
      </c>
      <c r="S244" s="16">
        <f>IF(R244="","",INDEX(挂机升级突破!$AE$35:$AG$55,卡牌消耗!L244,INDEX(挂机升级突破!$X$35:$X$55,卡牌消耗!L244)))</f>
        <v>155</v>
      </c>
      <c r="T244" s="16" t="str">
        <f>IF(INDEX(挂机升级突破!$Y$35:$Y$55,卡牌消耗!L244)&gt;0,"灵玉","")</f>
        <v>灵玉</v>
      </c>
      <c r="U244" s="16">
        <f>IF(INDEX(挂机升级突破!$Y$35:$Y$55,卡牌消耗!L244)&gt;0,INDEX(挂机升级突破!$AH$35:$AH$55,卡牌消耗!L244),"")</f>
        <v>50</v>
      </c>
    </row>
    <row r="245" spans="9:21" ht="16.5" x14ac:dyDescent="0.2">
      <c r="I245" s="36">
        <v>209</v>
      </c>
      <c r="J245" s="16">
        <f t="shared" si="16"/>
        <v>1102010</v>
      </c>
      <c r="K245" s="16">
        <f t="shared" si="17"/>
        <v>4</v>
      </c>
      <c r="L245" s="16">
        <f t="shared" si="19"/>
        <v>20</v>
      </c>
      <c r="M245" s="16" t="str">
        <f t="shared" si="18"/>
        <v>蓝</v>
      </c>
      <c r="N245" s="16" t="str">
        <f t="shared" si="20"/>
        <v>金币</v>
      </c>
      <c r="O245" s="16">
        <f>IF(L245&gt;1,INDEX(挂机升级突破!$AI$35:$AI$55,卡牌消耗!L245),"")</f>
        <v>178500</v>
      </c>
      <c r="P245" s="16" t="str">
        <f>IF(L245&gt;1,INDEX(价值概述!$A$4:$A$8,INDEX(挂机升级突破!$W$35:$W$55,卡牌消耗!L245)),"")</f>
        <v>红色基础材料</v>
      </c>
      <c r="Q245" s="16">
        <f>IF(L245&gt;1,INDEX(挂机升级突破!$Z$35:$AD$55,卡牌消耗!L245,INDEX(挂机升级突破!$W$35:$W$55,卡牌消耗!L245)),"")</f>
        <v>110</v>
      </c>
      <c r="R245" s="16" t="str">
        <f>IF(INDEX(挂机升级突破!$X$35:$X$55,卡牌消耗!L245)&gt;0,INDEX($G$2:$I$2,INDEX(挂机升级突破!$X$35:$X$55,卡牌消耗!L245))&amp;M245,"")</f>
        <v>高级蓝</v>
      </c>
      <c r="S245" s="16">
        <f>IF(R245="","",INDEX(挂机升级突破!$AE$35:$AG$55,卡牌消耗!L245,INDEX(挂机升级突破!$X$35:$X$55,卡牌消耗!L245)))</f>
        <v>180</v>
      </c>
      <c r="T245" s="16" t="str">
        <f>IF(INDEX(挂机升级突破!$Y$35:$Y$55,卡牌消耗!L245)&gt;0,"灵玉","")</f>
        <v>灵玉</v>
      </c>
      <c r="U245" s="16">
        <f>IF(INDEX(挂机升级突破!$Y$35:$Y$55,卡牌消耗!L245)&gt;0,INDEX(挂机升级突破!$AH$35:$AH$55,卡牌消耗!L245),"")</f>
        <v>65</v>
      </c>
    </row>
    <row r="246" spans="9:21" ht="16.5" x14ac:dyDescent="0.2">
      <c r="I246" s="36">
        <v>210</v>
      </c>
      <c r="J246" s="16">
        <f t="shared" si="16"/>
        <v>1102010</v>
      </c>
      <c r="K246" s="16">
        <f t="shared" si="17"/>
        <v>4</v>
      </c>
      <c r="L246" s="16">
        <f t="shared" si="19"/>
        <v>21</v>
      </c>
      <c r="M246" s="16" t="str">
        <f t="shared" si="18"/>
        <v>蓝</v>
      </c>
      <c r="N246" s="16" t="str">
        <f t="shared" si="20"/>
        <v>金币</v>
      </c>
      <c r="O246" s="16">
        <f>IF(L246&gt;1,INDEX(挂机升级突破!$AI$35:$AI$55,卡牌消耗!L246),"")</f>
        <v>214000</v>
      </c>
      <c r="P246" s="16" t="str">
        <f>IF(L246&gt;1,INDEX(价值概述!$A$4:$A$8,INDEX(挂机升级突破!$W$35:$W$55,卡牌消耗!L246)),"")</f>
        <v>红色基础材料</v>
      </c>
      <c r="Q246" s="16">
        <f>IF(L246&gt;1,INDEX(挂机升级突破!$Z$35:$AD$55,卡牌消耗!L246,INDEX(挂机升级突破!$W$35:$W$55,卡牌消耗!L246)),"")</f>
        <v>135</v>
      </c>
      <c r="R246" s="16" t="str">
        <f>IF(INDEX(挂机升级突破!$X$35:$X$55,卡牌消耗!L246)&gt;0,INDEX($G$2:$I$2,INDEX(挂机升级突破!$X$35:$X$55,卡牌消耗!L246))&amp;M246,"")</f>
        <v>高级蓝</v>
      </c>
      <c r="S246" s="16">
        <f>IF(R246="","",INDEX(挂机升级突破!$AE$35:$AG$55,卡牌消耗!L246,INDEX(挂机升级突破!$X$35:$X$55,卡牌消耗!L246)))</f>
        <v>225</v>
      </c>
      <c r="T246" s="16" t="str">
        <f>IF(INDEX(挂机升级突破!$Y$35:$Y$55,卡牌消耗!L246)&gt;0,"灵玉","")</f>
        <v>灵玉</v>
      </c>
      <c r="U246" s="16">
        <f>IF(INDEX(挂机升级突破!$Y$35:$Y$55,卡牌消耗!L246)&gt;0,INDEX(挂机升级突破!$AH$35:$AH$55,卡牌消耗!L246),"")</f>
        <v>75</v>
      </c>
    </row>
    <row r="247" spans="9:21" ht="16.5" x14ac:dyDescent="0.2">
      <c r="I247" s="36">
        <v>211</v>
      </c>
      <c r="J247" s="16">
        <f t="shared" si="16"/>
        <v>1102011</v>
      </c>
      <c r="K247" s="16">
        <f t="shared" si="17"/>
        <v>4</v>
      </c>
      <c r="L247" s="16">
        <f t="shared" si="19"/>
        <v>1</v>
      </c>
      <c r="M247" s="16" t="str">
        <f t="shared" si="18"/>
        <v>黄</v>
      </c>
      <c r="N247" s="16" t="str">
        <f t="shared" si="20"/>
        <v/>
      </c>
      <c r="O247" s="16" t="str">
        <f>IF(L247&gt;1,INDEX(挂机升级突破!$AI$35:$AI$55,卡牌消耗!L247),"")</f>
        <v/>
      </c>
      <c r="P247" s="16" t="str">
        <f>IF(L247&gt;1,INDEX(价值概述!$A$4:$A$8,INDEX(挂机升级突破!$W$35:$W$55,卡牌消耗!L247)),"")</f>
        <v/>
      </c>
      <c r="Q247" s="16" t="str">
        <f>IF(L247&gt;1,INDEX(挂机升级突破!$Z$35:$AD$55,卡牌消耗!L247,INDEX(挂机升级突破!$W$35:$W$55,卡牌消耗!L247)),"")</f>
        <v/>
      </c>
      <c r="R247" s="16" t="str">
        <f>IF(INDEX(挂机升级突破!$X$35:$X$55,卡牌消耗!L247)&gt;0,INDEX($G$2:$I$2,INDEX(挂机升级突破!$X$35:$X$55,卡牌消耗!L247))&amp;M247,"")</f>
        <v/>
      </c>
      <c r="S247" s="16" t="str">
        <f>IF(R247="","",INDEX(挂机升级突破!$AE$35:$AG$55,卡牌消耗!L247,INDEX(挂机升级突破!$X$35:$X$55,卡牌消耗!L247)))</f>
        <v/>
      </c>
      <c r="T247" s="16" t="str">
        <f>IF(INDEX(挂机升级突破!$Y$35:$Y$55,卡牌消耗!L247)&gt;0,"灵玉","")</f>
        <v/>
      </c>
      <c r="U247" s="16" t="str">
        <f>IF(INDEX(挂机升级突破!$Y$35:$Y$55,卡牌消耗!L247)&gt;0,INDEX(挂机升级突破!$AH$35:$AH$55,卡牌消耗!L247),"")</f>
        <v/>
      </c>
    </row>
    <row r="248" spans="9:21" ht="16.5" x14ac:dyDescent="0.2">
      <c r="I248" s="36">
        <v>212</v>
      </c>
      <c r="J248" s="16">
        <f t="shared" si="16"/>
        <v>1102011</v>
      </c>
      <c r="K248" s="16">
        <f t="shared" si="17"/>
        <v>4</v>
      </c>
      <c r="L248" s="16">
        <f t="shared" si="19"/>
        <v>2</v>
      </c>
      <c r="M248" s="16" t="str">
        <f t="shared" si="18"/>
        <v>黄</v>
      </c>
      <c r="N248" s="16" t="str">
        <f t="shared" si="20"/>
        <v>金币</v>
      </c>
      <c r="O248" s="16">
        <f>IF(L248&gt;1,INDEX(挂机升级突破!$AI$35:$AI$55,卡牌消耗!L248),"")</f>
        <v>2500</v>
      </c>
      <c r="P248" s="16" t="str">
        <f>IF(L248&gt;1,INDEX(价值概述!$A$4:$A$8,INDEX(挂机升级突破!$W$35:$W$55,卡牌消耗!L248)),"")</f>
        <v>绿色基础材料</v>
      </c>
      <c r="Q248" s="16">
        <f>IF(L248&gt;1,INDEX(挂机升级突破!$Z$35:$AD$55,卡牌消耗!L248,INDEX(挂机升级突破!$W$35:$W$55,卡牌消耗!L248)),"")</f>
        <v>40</v>
      </c>
      <c r="R248" s="16" t="str">
        <f>IF(INDEX(挂机升级突破!$X$35:$X$55,卡牌消耗!L248)&gt;0,INDEX($G$2:$I$2,INDEX(挂机升级突破!$X$35:$X$55,卡牌消耗!L248))&amp;M248,"")</f>
        <v/>
      </c>
      <c r="S248" s="16" t="str">
        <f>IF(R248="","",INDEX(挂机升级突破!$AE$35:$AG$55,卡牌消耗!L248,INDEX(挂机升级突破!$X$35:$X$55,卡牌消耗!L248)))</f>
        <v/>
      </c>
      <c r="T248" s="16" t="str">
        <f>IF(INDEX(挂机升级突破!$Y$35:$Y$55,卡牌消耗!L248)&gt;0,"灵玉","")</f>
        <v/>
      </c>
      <c r="U248" s="16" t="str">
        <f>IF(INDEX(挂机升级突破!$Y$35:$Y$55,卡牌消耗!L248)&gt;0,INDEX(挂机升级突破!$AH$35:$AH$55,卡牌消耗!L248),"")</f>
        <v/>
      </c>
    </row>
    <row r="249" spans="9:21" ht="16.5" x14ac:dyDescent="0.2">
      <c r="I249" s="36">
        <v>213</v>
      </c>
      <c r="J249" s="16">
        <f t="shared" si="16"/>
        <v>1102011</v>
      </c>
      <c r="K249" s="16">
        <f t="shared" si="17"/>
        <v>4</v>
      </c>
      <c r="L249" s="16">
        <f t="shared" si="19"/>
        <v>3</v>
      </c>
      <c r="M249" s="16" t="str">
        <f t="shared" si="18"/>
        <v>黄</v>
      </c>
      <c r="N249" s="16" t="str">
        <f t="shared" si="20"/>
        <v>金币</v>
      </c>
      <c r="O249" s="16">
        <f>IF(L249&gt;1,INDEX(挂机升级突破!$AI$35:$AI$55,卡牌消耗!L249),"")</f>
        <v>8500</v>
      </c>
      <c r="P249" s="16" t="str">
        <f>IF(L249&gt;1,INDEX(价值概述!$A$4:$A$8,INDEX(挂机升级突破!$W$35:$W$55,卡牌消耗!L249)),"")</f>
        <v>绿色基础材料</v>
      </c>
      <c r="Q249" s="16">
        <f>IF(L249&gt;1,INDEX(挂机升级突破!$Z$35:$AD$55,卡牌消耗!L249,INDEX(挂机升级突破!$W$35:$W$55,卡牌消耗!L249)),"")</f>
        <v>120</v>
      </c>
      <c r="R249" s="16" t="str">
        <f>IF(INDEX(挂机升级突破!$X$35:$X$55,卡牌消耗!L249)&gt;0,INDEX($G$2:$I$2,INDEX(挂机升级突破!$X$35:$X$55,卡牌消耗!L249))&amp;M249,"")</f>
        <v/>
      </c>
      <c r="S249" s="16" t="str">
        <f>IF(R249="","",INDEX(挂机升级突破!$AE$35:$AG$55,卡牌消耗!L249,INDEX(挂机升级突破!$X$35:$X$55,卡牌消耗!L249)))</f>
        <v/>
      </c>
      <c r="T249" s="16" t="str">
        <f>IF(INDEX(挂机升级突破!$Y$35:$Y$55,卡牌消耗!L249)&gt;0,"灵玉","")</f>
        <v/>
      </c>
      <c r="U249" s="16" t="str">
        <f>IF(INDEX(挂机升级突破!$Y$35:$Y$55,卡牌消耗!L249)&gt;0,INDEX(挂机升级突破!$AH$35:$AH$55,卡牌消耗!L249),"")</f>
        <v/>
      </c>
    </row>
    <row r="250" spans="9:21" ht="16.5" x14ac:dyDescent="0.2">
      <c r="I250" s="36">
        <v>214</v>
      </c>
      <c r="J250" s="16">
        <f t="shared" si="16"/>
        <v>1102011</v>
      </c>
      <c r="K250" s="16">
        <f t="shared" si="17"/>
        <v>4</v>
      </c>
      <c r="L250" s="16">
        <f t="shared" si="19"/>
        <v>4</v>
      </c>
      <c r="M250" s="16" t="str">
        <f t="shared" si="18"/>
        <v>黄</v>
      </c>
      <c r="N250" s="16" t="str">
        <f t="shared" si="20"/>
        <v>金币</v>
      </c>
      <c r="O250" s="16">
        <f>IF(L250&gt;1,INDEX(挂机升级突破!$AI$35:$AI$55,卡牌消耗!L250),"")</f>
        <v>17000</v>
      </c>
      <c r="P250" s="16" t="str">
        <f>IF(L250&gt;1,INDEX(价值概述!$A$4:$A$8,INDEX(挂机升级突破!$W$35:$W$55,卡牌消耗!L250)),"")</f>
        <v>绿色基础材料</v>
      </c>
      <c r="Q250" s="16">
        <f>IF(L250&gt;1,INDEX(挂机升级突破!$Z$35:$AD$55,卡牌消耗!L250,INDEX(挂机升级突破!$W$35:$W$55,卡牌消耗!L250)),"")</f>
        <v>240</v>
      </c>
      <c r="R250" s="16" t="str">
        <f>IF(INDEX(挂机升级突破!$X$35:$X$55,卡牌消耗!L250)&gt;0,INDEX($G$2:$I$2,INDEX(挂机升级突破!$X$35:$X$55,卡牌消耗!L250))&amp;M250,"")</f>
        <v>初级黄</v>
      </c>
      <c r="S250" s="16">
        <f>IF(R250="","",INDEX(挂机升级突破!$AE$35:$AG$55,卡牌消耗!L250,INDEX(挂机升级突破!$X$35:$X$55,卡牌消耗!L250)))</f>
        <v>130</v>
      </c>
      <c r="T250" s="16" t="str">
        <f>IF(INDEX(挂机升级突破!$Y$35:$Y$55,卡牌消耗!L250)&gt;0,"灵玉","")</f>
        <v/>
      </c>
      <c r="U250" s="16" t="str">
        <f>IF(INDEX(挂机升级突破!$Y$35:$Y$55,卡牌消耗!L250)&gt;0,INDEX(挂机升级突破!$AH$35:$AH$55,卡牌消耗!L250),"")</f>
        <v/>
      </c>
    </row>
    <row r="251" spans="9:21" ht="16.5" x14ac:dyDescent="0.2">
      <c r="I251" s="36">
        <v>215</v>
      </c>
      <c r="J251" s="16">
        <f t="shared" si="16"/>
        <v>1102011</v>
      </c>
      <c r="K251" s="16">
        <f t="shared" si="17"/>
        <v>4</v>
      </c>
      <c r="L251" s="16">
        <f t="shared" si="19"/>
        <v>5</v>
      </c>
      <c r="M251" s="16" t="str">
        <f t="shared" si="18"/>
        <v>黄</v>
      </c>
      <c r="N251" s="16" t="str">
        <f t="shared" si="20"/>
        <v>金币</v>
      </c>
      <c r="O251" s="16">
        <f>IF(L251&gt;1,INDEX(挂机升级突破!$AI$35:$AI$55,卡牌消耗!L251),"")</f>
        <v>10500</v>
      </c>
      <c r="P251" s="16" t="str">
        <f>IF(L251&gt;1,INDEX(价值概述!$A$4:$A$8,INDEX(挂机升级突破!$W$35:$W$55,卡牌消耗!L251)),"")</f>
        <v>蓝色基础材料</v>
      </c>
      <c r="Q251" s="16">
        <f>IF(L251&gt;1,INDEX(挂机升级突破!$Z$35:$AD$55,卡牌消耗!L251,INDEX(挂机升级突破!$W$35:$W$55,卡牌消耗!L251)),"")</f>
        <v>85</v>
      </c>
      <c r="R251" s="16" t="str">
        <f>IF(INDEX(挂机升级突破!$X$35:$X$55,卡牌消耗!L251)&gt;0,INDEX($G$2:$I$2,INDEX(挂机升级突破!$X$35:$X$55,卡牌消耗!L251))&amp;M251,"")</f>
        <v>初级黄</v>
      </c>
      <c r="S251" s="16">
        <f>IF(R251="","",INDEX(挂机升级突破!$AE$35:$AG$55,卡牌消耗!L251,INDEX(挂机升级突破!$X$35:$X$55,卡牌消耗!L251)))</f>
        <v>160</v>
      </c>
      <c r="T251" s="16" t="str">
        <f>IF(INDEX(挂机升级突破!$Y$35:$Y$55,卡牌消耗!L251)&gt;0,"灵玉","")</f>
        <v/>
      </c>
      <c r="U251" s="16" t="str">
        <f>IF(INDEX(挂机升级突破!$Y$35:$Y$55,卡牌消耗!L251)&gt;0,INDEX(挂机升级突破!$AH$35:$AH$55,卡牌消耗!L251),"")</f>
        <v/>
      </c>
    </row>
    <row r="252" spans="9:21" ht="16.5" x14ac:dyDescent="0.2">
      <c r="I252" s="36">
        <v>216</v>
      </c>
      <c r="J252" s="16">
        <f t="shared" si="16"/>
        <v>1102011</v>
      </c>
      <c r="K252" s="16">
        <f t="shared" si="17"/>
        <v>4</v>
      </c>
      <c r="L252" s="16">
        <f t="shared" si="19"/>
        <v>6</v>
      </c>
      <c r="M252" s="16" t="str">
        <f t="shared" si="18"/>
        <v>黄</v>
      </c>
      <c r="N252" s="16" t="str">
        <f t="shared" si="20"/>
        <v>金币</v>
      </c>
      <c r="O252" s="16">
        <f>IF(L252&gt;1,INDEX(挂机升级突破!$AI$35:$AI$55,卡牌消耗!L252),"")</f>
        <v>25000</v>
      </c>
      <c r="P252" s="16" t="str">
        <f>IF(L252&gt;1,INDEX(价值概述!$A$4:$A$8,INDEX(挂机升级突破!$W$35:$W$55,卡牌消耗!L252)),"")</f>
        <v>蓝色基础材料</v>
      </c>
      <c r="Q252" s="16">
        <f>IF(L252&gt;1,INDEX(挂机升级突破!$Z$35:$AD$55,卡牌消耗!L252,INDEX(挂机升级突破!$W$35:$W$55,卡牌消耗!L252)),"")</f>
        <v>145</v>
      </c>
      <c r="R252" s="16" t="str">
        <f>IF(INDEX(挂机升级突破!$X$35:$X$55,卡牌消耗!L252)&gt;0,INDEX($G$2:$I$2,INDEX(挂机升级突破!$X$35:$X$55,卡牌消耗!L252))&amp;M252,"")</f>
        <v>初级黄</v>
      </c>
      <c r="S252" s="16">
        <f>IF(R252="","",INDEX(挂机升级突破!$AE$35:$AG$55,卡牌消耗!L252,INDEX(挂机升级突破!$X$35:$X$55,卡牌消耗!L252)))</f>
        <v>175</v>
      </c>
      <c r="T252" s="16" t="str">
        <f>IF(INDEX(挂机升级突破!$Y$35:$Y$55,卡牌消耗!L252)&gt;0,"灵玉","")</f>
        <v/>
      </c>
      <c r="U252" s="16" t="str">
        <f>IF(INDEX(挂机升级突破!$Y$35:$Y$55,卡牌消耗!L252)&gt;0,INDEX(挂机升级突破!$AH$35:$AH$55,卡牌消耗!L252),"")</f>
        <v/>
      </c>
    </row>
    <row r="253" spans="9:21" ht="16.5" x14ac:dyDescent="0.2">
      <c r="I253" s="36">
        <v>217</v>
      </c>
      <c r="J253" s="16">
        <f t="shared" si="16"/>
        <v>1102011</v>
      </c>
      <c r="K253" s="16">
        <f t="shared" si="17"/>
        <v>4</v>
      </c>
      <c r="L253" s="16">
        <f t="shared" si="19"/>
        <v>7</v>
      </c>
      <c r="M253" s="16" t="str">
        <f t="shared" si="18"/>
        <v>黄</v>
      </c>
      <c r="N253" s="16" t="str">
        <f t="shared" si="20"/>
        <v>金币</v>
      </c>
      <c r="O253" s="16">
        <f>IF(L253&gt;1,INDEX(挂机升级突破!$AI$35:$AI$55,卡牌消耗!L253),"")</f>
        <v>28000</v>
      </c>
      <c r="P253" s="16" t="str">
        <f>IF(L253&gt;1,INDEX(价值概述!$A$4:$A$8,INDEX(挂机升级突破!$W$35:$W$55,卡牌消耗!L253)),"")</f>
        <v>蓝色基础材料</v>
      </c>
      <c r="Q253" s="16">
        <f>IF(L253&gt;1,INDEX(挂机升级突破!$Z$35:$AD$55,卡牌消耗!L253,INDEX(挂机升级突破!$W$35:$W$55,卡牌消耗!L253)),"")</f>
        <v>185</v>
      </c>
      <c r="R253" s="16" t="str">
        <f>IF(INDEX(挂机升级突破!$X$35:$X$55,卡牌消耗!L253)&gt;0,INDEX($G$2:$I$2,INDEX(挂机升级突破!$X$35:$X$55,卡牌消耗!L253))&amp;M253,"")</f>
        <v>初级黄</v>
      </c>
      <c r="S253" s="16">
        <f>IF(R253="","",INDEX(挂机升级突破!$AE$35:$AG$55,卡牌消耗!L253,INDEX(挂机升级突破!$X$35:$X$55,卡牌消耗!L253)))</f>
        <v>190</v>
      </c>
      <c r="T253" s="16" t="str">
        <f>IF(INDEX(挂机升级突破!$Y$35:$Y$55,卡牌消耗!L253)&gt;0,"灵玉","")</f>
        <v/>
      </c>
      <c r="U253" s="16" t="str">
        <f>IF(INDEX(挂机升级突破!$Y$35:$Y$55,卡牌消耗!L253)&gt;0,INDEX(挂机升级突破!$AH$35:$AH$55,卡牌消耗!L253),"")</f>
        <v/>
      </c>
    </row>
    <row r="254" spans="9:21" ht="16.5" x14ac:dyDescent="0.2">
      <c r="I254" s="36">
        <v>218</v>
      </c>
      <c r="J254" s="16">
        <f t="shared" si="16"/>
        <v>1102011</v>
      </c>
      <c r="K254" s="16">
        <f t="shared" si="17"/>
        <v>4</v>
      </c>
      <c r="L254" s="16">
        <f t="shared" si="19"/>
        <v>8</v>
      </c>
      <c r="M254" s="16" t="str">
        <f t="shared" si="18"/>
        <v>黄</v>
      </c>
      <c r="N254" s="16" t="str">
        <f t="shared" si="20"/>
        <v>金币</v>
      </c>
      <c r="O254" s="16">
        <f>IF(L254&gt;1,INDEX(挂机升级突破!$AI$35:$AI$55,卡牌消耗!L254),"")</f>
        <v>31000</v>
      </c>
      <c r="P254" s="16" t="str">
        <f>IF(L254&gt;1,INDEX(价值概述!$A$4:$A$8,INDEX(挂机升级突破!$W$35:$W$55,卡牌消耗!L254)),"")</f>
        <v>蓝色基础材料</v>
      </c>
      <c r="Q254" s="16">
        <f>IF(L254&gt;1,INDEX(挂机升级突破!$Z$35:$AD$55,卡牌消耗!L254,INDEX(挂机升级突破!$W$35:$W$55,卡牌消耗!L254)),"")</f>
        <v>220</v>
      </c>
      <c r="R254" s="16" t="str">
        <f>IF(INDEX(挂机升级突破!$X$35:$X$55,卡牌消耗!L254)&gt;0,INDEX($G$2:$I$2,INDEX(挂机升级突破!$X$35:$X$55,卡牌消耗!L254))&amp;M254,"")</f>
        <v>初级黄</v>
      </c>
      <c r="S254" s="16">
        <f>IF(R254="","",INDEX(挂机升级突破!$AE$35:$AG$55,卡牌消耗!L254,INDEX(挂机升级突破!$X$35:$X$55,卡牌消耗!L254)))</f>
        <v>200</v>
      </c>
      <c r="T254" s="16" t="str">
        <f>IF(INDEX(挂机升级突破!$Y$35:$Y$55,卡牌消耗!L254)&gt;0,"灵玉","")</f>
        <v/>
      </c>
      <c r="U254" s="16" t="str">
        <f>IF(INDEX(挂机升级突破!$Y$35:$Y$55,卡牌消耗!L254)&gt;0,INDEX(挂机升级突破!$AH$35:$AH$55,卡牌消耗!L254),"")</f>
        <v/>
      </c>
    </row>
    <row r="255" spans="9:21" ht="16.5" x14ac:dyDescent="0.2">
      <c r="I255" s="36">
        <v>219</v>
      </c>
      <c r="J255" s="16">
        <f t="shared" si="16"/>
        <v>1102011</v>
      </c>
      <c r="K255" s="16">
        <f t="shared" si="17"/>
        <v>4</v>
      </c>
      <c r="L255" s="16">
        <f t="shared" si="19"/>
        <v>9</v>
      </c>
      <c r="M255" s="16" t="str">
        <f t="shared" si="18"/>
        <v>黄</v>
      </c>
      <c r="N255" s="16" t="str">
        <f t="shared" si="20"/>
        <v>金币</v>
      </c>
      <c r="O255" s="16">
        <f>IF(L255&gt;1,INDEX(挂机升级突破!$AI$35:$AI$55,卡牌消耗!L255),"")</f>
        <v>24000</v>
      </c>
      <c r="P255" s="16" t="str">
        <f>IF(L255&gt;1,INDEX(价值概述!$A$4:$A$8,INDEX(挂机升级突破!$W$35:$W$55,卡牌消耗!L255)),"")</f>
        <v>紫色基础材料</v>
      </c>
      <c r="Q255" s="16">
        <f>IF(L255&gt;1,INDEX(挂机升级突破!$Z$35:$AD$55,卡牌消耗!L255,INDEX(挂机升级突破!$W$35:$W$55,卡牌消耗!L255)),"")</f>
        <v>95</v>
      </c>
      <c r="R255" s="16" t="str">
        <f>IF(INDEX(挂机升级突破!$X$35:$X$55,卡牌消耗!L255)&gt;0,INDEX($G$2:$I$2,INDEX(挂机升级突破!$X$35:$X$55,卡牌消耗!L255))&amp;M255,"")</f>
        <v>中级黄</v>
      </c>
      <c r="S255" s="16">
        <f>IF(R255="","",INDEX(挂机升级突破!$AE$35:$AG$55,卡牌消耗!L255,INDEX(挂机升级突破!$X$35:$X$55,卡牌消耗!L255)))</f>
        <v>80</v>
      </c>
      <c r="T255" s="16" t="str">
        <f>IF(INDEX(挂机升级突破!$Y$35:$Y$55,卡牌消耗!L255)&gt;0,"灵玉","")</f>
        <v/>
      </c>
      <c r="U255" s="16" t="str">
        <f>IF(INDEX(挂机升级突破!$Y$35:$Y$55,卡牌消耗!L255)&gt;0,INDEX(挂机升级突破!$AH$35:$AH$55,卡牌消耗!L255),"")</f>
        <v/>
      </c>
    </row>
    <row r="256" spans="9:21" ht="16.5" x14ac:dyDescent="0.2">
      <c r="I256" s="36">
        <v>220</v>
      </c>
      <c r="J256" s="16">
        <f t="shared" si="16"/>
        <v>1102011</v>
      </c>
      <c r="K256" s="16">
        <f t="shared" si="17"/>
        <v>4</v>
      </c>
      <c r="L256" s="16">
        <f t="shared" si="19"/>
        <v>10</v>
      </c>
      <c r="M256" s="16" t="str">
        <f t="shared" si="18"/>
        <v>黄</v>
      </c>
      <c r="N256" s="16" t="str">
        <f t="shared" si="20"/>
        <v>金币</v>
      </c>
      <c r="O256" s="16">
        <f>IF(L256&gt;1,INDEX(挂机升级突破!$AI$35:$AI$55,卡牌消耗!L256),"")</f>
        <v>26500</v>
      </c>
      <c r="P256" s="16" t="str">
        <f>IF(L256&gt;1,INDEX(价值概述!$A$4:$A$8,INDEX(挂机升级突破!$W$35:$W$55,卡牌消耗!L256)),"")</f>
        <v>紫色基础材料</v>
      </c>
      <c r="Q256" s="16">
        <f>IF(L256&gt;1,INDEX(挂机升级突破!$Z$35:$AD$55,卡牌消耗!L256,INDEX(挂机升级突破!$W$35:$W$55,卡牌消耗!L256)),"")</f>
        <v>175</v>
      </c>
      <c r="R256" s="16" t="str">
        <f>IF(INDEX(挂机升级突破!$X$35:$X$55,卡牌消耗!L256)&gt;0,INDEX($G$2:$I$2,INDEX(挂机升级突破!$X$35:$X$55,卡牌消耗!L256))&amp;M256,"")</f>
        <v>中级黄</v>
      </c>
      <c r="S256" s="16">
        <f>IF(R256="","",INDEX(挂机升级突破!$AE$35:$AG$55,卡牌消耗!L256,INDEX(挂机升级突破!$X$35:$X$55,卡牌消耗!L256)))</f>
        <v>120</v>
      </c>
      <c r="T256" s="16" t="str">
        <f>IF(INDEX(挂机升级突破!$Y$35:$Y$55,卡牌消耗!L256)&gt;0,"灵玉","")</f>
        <v/>
      </c>
      <c r="U256" s="16" t="str">
        <f>IF(INDEX(挂机升级突破!$Y$35:$Y$55,卡牌消耗!L256)&gt;0,INDEX(挂机升级突破!$AH$35:$AH$55,卡牌消耗!L256),"")</f>
        <v/>
      </c>
    </row>
    <row r="257" spans="9:21" ht="16.5" x14ac:dyDescent="0.2">
      <c r="I257" s="36">
        <v>221</v>
      </c>
      <c r="J257" s="16">
        <f t="shared" si="16"/>
        <v>1102011</v>
      </c>
      <c r="K257" s="16">
        <f t="shared" si="17"/>
        <v>4</v>
      </c>
      <c r="L257" s="16">
        <f t="shared" si="19"/>
        <v>11</v>
      </c>
      <c r="M257" s="16" t="str">
        <f t="shared" si="18"/>
        <v>黄</v>
      </c>
      <c r="N257" s="16" t="str">
        <f t="shared" si="20"/>
        <v>金币</v>
      </c>
      <c r="O257" s="16">
        <f>IF(L257&gt;1,INDEX(挂机升级突破!$AI$35:$AI$55,卡牌消耗!L257),"")</f>
        <v>28500</v>
      </c>
      <c r="P257" s="16" t="str">
        <f>IF(L257&gt;1,INDEX(价值概述!$A$4:$A$8,INDEX(挂机升级突破!$W$35:$W$55,卡牌消耗!L257)),"")</f>
        <v>紫色基础材料</v>
      </c>
      <c r="Q257" s="16">
        <f>IF(L257&gt;1,INDEX(挂机升级突破!$Z$35:$AD$55,卡牌消耗!L257,INDEX(挂机升级突破!$W$35:$W$55,卡牌消耗!L257)),"")</f>
        <v>245</v>
      </c>
      <c r="R257" s="16" t="str">
        <f>IF(INDEX(挂机升级突破!$X$35:$X$55,卡牌消耗!L257)&gt;0,INDEX($G$2:$I$2,INDEX(挂机升级突破!$X$35:$X$55,卡牌消耗!L257))&amp;M257,"")</f>
        <v>中级黄</v>
      </c>
      <c r="S257" s="16">
        <f>IF(R257="","",INDEX(挂机升级突破!$AE$35:$AG$55,卡牌消耗!L257,INDEX(挂机升级突破!$X$35:$X$55,卡牌消耗!L257)))</f>
        <v>170</v>
      </c>
      <c r="T257" s="16" t="str">
        <f>IF(INDEX(挂机升级突破!$Y$35:$Y$55,卡牌消耗!L257)&gt;0,"灵玉","")</f>
        <v/>
      </c>
      <c r="U257" s="16" t="str">
        <f>IF(INDEX(挂机升级突破!$Y$35:$Y$55,卡牌消耗!L257)&gt;0,INDEX(挂机升级突破!$AH$35:$AH$55,卡牌消耗!L257),"")</f>
        <v/>
      </c>
    </row>
    <row r="258" spans="9:21" ht="16.5" x14ac:dyDescent="0.2">
      <c r="I258" s="36">
        <v>222</v>
      </c>
      <c r="J258" s="16">
        <f t="shared" si="16"/>
        <v>1102011</v>
      </c>
      <c r="K258" s="16">
        <f t="shared" si="17"/>
        <v>4</v>
      </c>
      <c r="L258" s="16">
        <f t="shared" si="19"/>
        <v>12</v>
      </c>
      <c r="M258" s="16" t="str">
        <f t="shared" si="18"/>
        <v>黄</v>
      </c>
      <c r="N258" s="16" t="str">
        <f t="shared" si="20"/>
        <v>金币</v>
      </c>
      <c r="O258" s="16">
        <f>IF(L258&gt;1,INDEX(挂机升级突破!$AI$35:$AI$55,卡牌消耗!L258),"")</f>
        <v>30500</v>
      </c>
      <c r="P258" s="16" t="str">
        <f>IF(L258&gt;1,INDEX(价值概述!$A$4:$A$8,INDEX(挂机升级突破!$W$35:$W$55,卡牌消耗!L258)),"")</f>
        <v>紫色基础材料</v>
      </c>
      <c r="Q258" s="16">
        <f>IF(L258&gt;1,INDEX(挂机升级突破!$Z$35:$AD$55,卡牌消耗!L258,INDEX(挂机升级突破!$W$35:$W$55,卡牌消耗!L258)),"")</f>
        <v>305</v>
      </c>
      <c r="R258" s="16" t="str">
        <f>IF(INDEX(挂机升级突破!$X$35:$X$55,卡牌消耗!L258)&gt;0,INDEX($G$2:$I$2,INDEX(挂机升级突破!$X$35:$X$55,卡牌消耗!L258))&amp;M258,"")</f>
        <v>中级黄</v>
      </c>
      <c r="S258" s="16">
        <f>IF(R258="","",INDEX(挂机升级突破!$AE$35:$AG$55,卡牌消耗!L258,INDEX(挂机升级突破!$X$35:$X$55,卡牌消耗!L258)))</f>
        <v>200</v>
      </c>
      <c r="T258" s="16" t="str">
        <f>IF(INDEX(挂机升级突破!$Y$35:$Y$55,卡牌消耗!L258)&gt;0,"灵玉","")</f>
        <v/>
      </c>
      <c r="U258" s="16" t="str">
        <f>IF(INDEX(挂机升级突破!$Y$35:$Y$55,卡牌消耗!L258)&gt;0,INDEX(挂机升级突破!$AH$35:$AH$55,卡牌消耗!L258),"")</f>
        <v/>
      </c>
    </row>
    <row r="259" spans="9:21" ht="16.5" x14ac:dyDescent="0.2">
      <c r="I259" s="36">
        <v>223</v>
      </c>
      <c r="J259" s="16">
        <f t="shared" si="16"/>
        <v>1102011</v>
      </c>
      <c r="K259" s="16">
        <f t="shared" si="17"/>
        <v>4</v>
      </c>
      <c r="L259" s="16">
        <f t="shared" si="19"/>
        <v>13</v>
      </c>
      <c r="M259" s="16" t="str">
        <f t="shared" si="18"/>
        <v>黄</v>
      </c>
      <c r="N259" s="16" t="str">
        <f t="shared" si="20"/>
        <v>金币</v>
      </c>
      <c r="O259" s="16">
        <f>IF(L259&gt;1,INDEX(挂机升级突破!$AI$35:$AI$55,卡牌消耗!L259),"")</f>
        <v>38500</v>
      </c>
      <c r="P259" s="16" t="str">
        <f>IF(L259&gt;1,INDEX(价值概述!$A$4:$A$8,INDEX(挂机升级突破!$W$35:$W$55,卡牌消耗!L259)),"")</f>
        <v>橙色基础材料</v>
      </c>
      <c r="Q259" s="16">
        <f>IF(L259&gt;1,INDEX(挂机升级突破!$Z$35:$AD$55,卡牌消耗!L259,INDEX(挂机升级突破!$W$35:$W$55,卡牌消耗!L259)),"")</f>
        <v>115</v>
      </c>
      <c r="R259" s="16" t="str">
        <f>IF(INDEX(挂机升级突破!$X$35:$X$55,卡牌消耗!L259)&gt;0,INDEX($G$2:$I$2,INDEX(挂机升级突破!$X$35:$X$55,卡牌消耗!L259))&amp;M259,"")</f>
        <v>中级黄</v>
      </c>
      <c r="S259" s="16">
        <f>IF(R259="","",INDEX(挂机升级突破!$AE$35:$AG$55,卡牌消耗!L259,INDEX(挂机升级突破!$X$35:$X$55,卡牌消耗!L259)))</f>
        <v>225</v>
      </c>
      <c r="T259" s="16" t="str">
        <f>IF(INDEX(挂机升级突破!$Y$35:$Y$55,卡牌消耗!L259)&gt;0,"灵玉","")</f>
        <v/>
      </c>
      <c r="U259" s="16" t="str">
        <f>IF(INDEX(挂机升级突破!$Y$35:$Y$55,卡牌消耗!L259)&gt;0,INDEX(挂机升级突破!$AH$35:$AH$55,卡牌消耗!L259),"")</f>
        <v/>
      </c>
    </row>
    <row r="260" spans="9:21" ht="16.5" x14ac:dyDescent="0.2">
      <c r="I260" s="36">
        <v>224</v>
      </c>
      <c r="J260" s="16">
        <f t="shared" si="16"/>
        <v>1102011</v>
      </c>
      <c r="K260" s="16">
        <f t="shared" si="17"/>
        <v>4</v>
      </c>
      <c r="L260" s="16">
        <f t="shared" si="19"/>
        <v>14</v>
      </c>
      <c r="M260" s="16" t="str">
        <f t="shared" si="18"/>
        <v>黄</v>
      </c>
      <c r="N260" s="16" t="str">
        <f t="shared" si="20"/>
        <v>金币</v>
      </c>
      <c r="O260" s="16">
        <f>IF(L260&gt;1,INDEX(挂机升级突破!$AI$35:$AI$55,卡牌消耗!L260),"")</f>
        <v>51000</v>
      </c>
      <c r="P260" s="16" t="str">
        <f>IF(L260&gt;1,INDEX(价值概述!$A$4:$A$8,INDEX(挂机升级突破!$W$35:$W$55,卡牌消耗!L260)),"")</f>
        <v>橙色基础材料</v>
      </c>
      <c r="Q260" s="16">
        <f>IF(L260&gt;1,INDEX(挂机升级突破!$Z$35:$AD$55,卡牌消耗!L260,INDEX(挂机升级突破!$W$35:$W$55,卡牌消耗!L260)),"")</f>
        <v>235</v>
      </c>
      <c r="R260" s="16" t="str">
        <f>IF(INDEX(挂机升级突破!$X$35:$X$55,卡牌消耗!L260)&gt;0,INDEX($G$2:$I$2,INDEX(挂机升级突破!$X$35:$X$55,卡牌消耗!L260))&amp;M260,"")</f>
        <v>中级黄</v>
      </c>
      <c r="S260" s="16">
        <f>IF(R260="","",INDEX(挂机升级突破!$AE$35:$AG$55,卡牌消耗!L260,INDEX(挂机升级突破!$X$35:$X$55,卡牌消耗!L260)))</f>
        <v>265</v>
      </c>
      <c r="T260" s="16" t="str">
        <f>IF(INDEX(挂机升级突破!$Y$35:$Y$55,卡牌消耗!L260)&gt;0,"灵玉","")</f>
        <v/>
      </c>
      <c r="U260" s="16" t="str">
        <f>IF(INDEX(挂机升级突破!$Y$35:$Y$55,卡牌消耗!L260)&gt;0,INDEX(挂机升级突破!$AH$35:$AH$55,卡牌消耗!L260),"")</f>
        <v/>
      </c>
    </row>
    <row r="261" spans="9:21" ht="16.5" x14ac:dyDescent="0.2">
      <c r="I261" s="36">
        <v>225</v>
      </c>
      <c r="J261" s="16">
        <f t="shared" si="16"/>
        <v>1102011</v>
      </c>
      <c r="K261" s="16">
        <f t="shared" si="17"/>
        <v>4</v>
      </c>
      <c r="L261" s="16">
        <f t="shared" si="19"/>
        <v>15</v>
      </c>
      <c r="M261" s="16" t="str">
        <f t="shared" si="18"/>
        <v>黄</v>
      </c>
      <c r="N261" s="16" t="str">
        <f t="shared" si="20"/>
        <v>金币</v>
      </c>
      <c r="O261" s="16">
        <f>IF(L261&gt;1,INDEX(挂机升级突破!$AI$35:$AI$55,卡牌消耗!L261),"")</f>
        <v>60000</v>
      </c>
      <c r="P261" s="16" t="str">
        <f>IF(L261&gt;1,INDEX(价值概述!$A$4:$A$8,INDEX(挂机升级突破!$W$35:$W$55,卡牌消耗!L261)),"")</f>
        <v>橙色基础材料</v>
      </c>
      <c r="Q261" s="16">
        <f>IF(L261&gt;1,INDEX(挂机升级突破!$Z$35:$AD$55,卡牌消耗!L261,INDEX(挂机升级突破!$W$35:$W$55,卡牌消耗!L261)),"")</f>
        <v>355</v>
      </c>
      <c r="R261" s="16" t="str">
        <f>IF(INDEX(挂机升级突破!$X$35:$X$55,卡牌消耗!L261)&gt;0,INDEX($G$2:$I$2,INDEX(挂机升级突破!$X$35:$X$55,卡牌消耗!L261))&amp;M261,"")</f>
        <v>高级黄</v>
      </c>
      <c r="S261" s="16">
        <f>IF(R261="","",INDEX(挂机升级突破!$AE$35:$AG$55,卡牌消耗!L261,INDEX(挂机升级突破!$X$35:$X$55,卡牌消耗!L261)))</f>
        <v>45</v>
      </c>
      <c r="T261" s="16" t="str">
        <f>IF(INDEX(挂机升级突破!$Y$35:$Y$55,卡牌消耗!L261)&gt;0,"灵玉","")</f>
        <v/>
      </c>
      <c r="U261" s="16" t="str">
        <f>IF(INDEX(挂机升级突破!$Y$35:$Y$55,卡牌消耗!L261)&gt;0,INDEX(挂机升级突破!$AH$35:$AH$55,卡牌消耗!L261),"")</f>
        <v/>
      </c>
    </row>
    <row r="262" spans="9:21" ht="16.5" x14ac:dyDescent="0.2">
      <c r="I262" s="36">
        <v>226</v>
      </c>
      <c r="J262" s="16">
        <f t="shared" si="16"/>
        <v>1102011</v>
      </c>
      <c r="K262" s="16">
        <f t="shared" si="17"/>
        <v>4</v>
      </c>
      <c r="L262" s="16">
        <f t="shared" si="19"/>
        <v>16</v>
      </c>
      <c r="M262" s="16" t="str">
        <f t="shared" si="18"/>
        <v>黄</v>
      </c>
      <c r="N262" s="16" t="str">
        <f t="shared" si="20"/>
        <v>金币</v>
      </c>
      <c r="O262" s="16">
        <f>IF(L262&gt;1,INDEX(挂机升级突破!$AI$35:$AI$55,卡牌消耗!L262),"")</f>
        <v>69000</v>
      </c>
      <c r="P262" s="16" t="str">
        <f>IF(L262&gt;1,INDEX(价值概述!$A$4:$A$8,INDEX(挂机升级突破!$W$35:$W$55,卡牌消耗!L262)),"")</f>
        <v>橙色基础材料</v>
      </c>
      <c r="Q262" s="16">
        <f>IF(L262&gt;1,INDEX(挂机升级突破!$Z$35:$AD$55,卡牌消耗!L262,INDEX(挂机升级突破!$W$35:$W$55,卡牌消耗!L262)),"")</f>
        <v>475</v>
      </c>
      <c r="R262" s="16" t="str">
        <f>IF(INDEX(挂机升级突破!$X$35:$X$55,卡牌消耗!L262)&gt;0,INDEX($G$2:$I$2,INDEX(挂机升级突破!$X$35:$X$55,卡牌消耗!L262))&amp;M262,"")</f>
        <v>高级黄</v>
      </c>
      <c r="S262" s="16">
        <f>IF(R262="","",INDEX(挂机升级突破!$AE$35:$AG$55,卡牌消耗!L262,INDEX(挂机升级突破!$X$35:$X$55,卡牌消耗!L262)))</f>
        <v>70</v>
      </c>
      <c r="T262" s="16" t="str">
        <f>IF(INDEX(挂机升级突破!$Y$35:$Y$55,卡牌消耗!L262)&gt;0,"灵玉","")</f>
        <v/>
      </c>
      <c r="U262" s="16" t="str">
        <f>IF(INDEX(挂机升级突破!$Y$35:$Y$55,卡牌消耗!L262)&gt;0,INDEX(挂机升级突破!$AH$35:$AH$55,卡牌消耗!L262),"")</f>
        <v/>
      </c>
    </row>
    <row r="263" spans="9:21" ht="16.5" x14ac:dyDescent="0.2">
      <c r="I263" s="36">
        <v>227</v>
      </c>
      <c r="J263" s="16">
        <f t="shared" si="16"/>
        <v>1102011</v>
      </c>
      <c r="K263" s="16">
        <f t="shared" si="17"/>
        <v>4</v>
      </c>
      <c r="L263" s="16">
        <f t="shared" si="19"/>
        <v>17</v>
      </c>
      <c r="M263" s="16" t="str">
        <f t="shared" si="18"/>
        <v>黄</v>
      </c>
      <c r="N263" s="16" t="str">
        <f t="shared" si="20"/>
        <v>金币</v>
      </c>
      <c r="O263" s="16">
        <f>IF(L263&gt;1,INDEX(挂机升级突破!$AI$35:$AI$55,卡牌消耗!L263),"")</f>
        <v>76500</v>
      </c>
      <c r="P263" s="16" t="str">
        <f>IF(L263&gt;1,INDEX(价值概述!$A$4:$A$8,INDEX(挂机升级突破!$W$35:$W$55,卡牌消耗!L263)),"")</f>
        <v>红色基础材料</v>
      </c>
      <c r="Q263" s="16">
        <f>IF(L263&gt;1,INDEX(挂机升级突破!$Z$35:$AD$55,卡牌消耗!L263,INDEX(挂机升级突破!$W$35:$W$55,卡牌消耗!L263)),"")</f>
        <v>45</v>
      </c>
      <c r="R263" s="16" t="str">
        <f>IF(INDEX(挂机升级突破!$X$35:$X$55,卡牌消耗!L263)&gt;0,INDEX($G$2:$I$2,INDEX(挂机升级突破!$X$35:$X$55,卡牌消耗!L263))&amp;M263,"")</f>
        <v>高级黄</v>
      </c>
      <c r="S263" s="16">
        <f>IF(R263="","",INDEX(挂机升级突破!$AE$35:$AG$55,卡牌消耗!L263,INDEX(挂机升级突破!$X$35:$X$55,卡牌消耗!L263)))</f>
        <v>100</v>
      </c>
      <c r="T263" s="16" t="str">
        <f>IF(INDEX(挂机升级突破!$Y$35:$Y$55,卡牌消耗!L263)&gt;0,"灵玉","")</f>
        <v>灵玉</v>
      </c>
      <c r="U263" s="16">
        <f>IF(INDEX(挂机升级突破!$Y$35:$Y$55,卡牌消耗!L263)&gt;0,INDEX(挂机升级突破!$AH$35:$AH$55,卡牌消耗!L263),"")</f>
        <v>25</v>
      </c>
    </row>
    <row r="264" spans="9:21" ht="16.5" x14ac:dyDescent="0.2">
      <c r="I264" s="36">
        <v>228</v>
      </c>
      <c r="J264" s="16">
        <f t="shared" si="16"/>
        <v>1102011</v>
      </c>
      <c r="K264" s="16">
        <f t="shared" si="17"/>
        <v>4</v>
      </c>
      <c r="L264" s="16">
        <f t="shared" si="19"/>
        <v>18</v>
      </c>
      <c r="M264" s="16" t="str">
        <f t="shared" si="18"/>
        <v>黄</v>
      </c>
      <c r="N264" s="16" t="str">
        <f t="shared" si="20"/>
        <v>金币</v>
      </c>
      <c r="O264" s="16">
        <f>IF(L264&gt;1,INDEX(挂机升级突破!$AI$35:$AI$55,卡牌消耗!L264),"")</f>
        <v>107000</v>
      </c>
      <c r="P264" s="16" t="str">
        <f>IF(L264&gt;1,INDEX(价值概述!$A$4:$A$8,INDEX(挂机升级突破!$W$35:$W$55,卡牌消耗!L264)),"")</f>
        <v>红色基础材料</v>
      </c>
      <c r="Q264" s="16">
        <f>IF(L264&gt;1,INDEX(挂机升级突破!$Z$35:$AD$55,卡牌消耗!L264,INDEX(挂机升级突破!$W$35:$W$55,卡牌消耗!L264)),"")</f>
        <v>65</v>
      </c>
      <c r="R264" s="16" t="str">
        <f>IF(INDEX(挂机升级突破!$X$35:$X$55,卡牌消耗!L264)&gt;0,INDEX($G$2:$I$2,INDEX(挂机升级突破!$X$35:$X$55,卡牌消耗!L264))&amp;M264,"")</f>
        <v>高级黄</v>
      </c>
      <c r="S264" s="16">
        <f>IF(R264="","",INDEX(挂机升级突破!$AE$35:$AG$55,卡牌消耗!L264,INDEX(挂机升级突破!$X$35:$X$55,卡牌消耗!L264)))</f>
        <v>125</v>
      </c>
      <c r="T264" s="16" t="str">
        <f>IF(INDEX(挂机升级突破!$Y$35:$Y$55,卡牌消耗!L264)&gt;0,"灵玉","")</f>
        <v>灵玉</v>
      </c>
      <c r="U264" s="16">
        <f>IF(INDEX(挂机升级突破!$Y$35:$Y$55,卡牌消耗!L264)&gt;0,INDEX(挂机升级突破!$AH$35:$AH$55,卡牌消耗!L264),"")</f>
        <v>35</v>
      </c>
    </row>
    <row r="265" spans="9:21" ht="16.5" x14ac:dyDescent="0.2">
      <c r="I265" s="36">
        <v>229</v>
      </c>
      <c r="J265" s="16">
        <f t="shared" si="16"/>
        <v>1102011</v>
      </c>
      <c r="K265" s="16">
        <f t="shared" si="17"/>
        <v>4</v>
      </c>
      <c r="L265" s="16">
        <f t="shared" si="19"/>
        <v>19</v>
      </c>
      <c r="M265" s="16" t="str">
        <f t="shared" si="18"/>
        <v>黄</v>
      </c>
      <c r="N265" s="16" t="str">
        <f t="shared" si="20"/>
        <v>金币</v>
      </c>
      <c r="O265" s="16">
        <f>IF(L265&gt;1,INDEX(挂机升级突破!$AI$35:$AI$55,卡牌消耗!L265),"")</f>
        <v>142500</v>
      </c>
      <c r="P265" s="16" t="str">
        <f>IF(L265&gt;1,INDEX(价值概述!$A$4:$A$8,INDEX(挂机升级突破!$W$35:$W$55,卡牌消耗!L265)),"")</f>
        <v>红色基础材料</v>
      </c>
      <c r="Q265" s="16">
        <f>IF(L265&gt;1,INDEX(挂机升级突破!$Z$35:$AD$55,卡牌消耗!L265,INDEX(挂机升级突破!$W$35:$W$55,卡牌消耗!L265)),"")</f>
        <v>90</v>
      </c>
      <c r="R265" s="16" t="str">
        <f>IF(INDEX(挂机升级突破!$X$35:$X$55,卡牌消耗!L265)&gt;0,INDEX($G$2:$I$2,INDEX(挂机升级突破!$X$35:$X$55,卡牌消耗!L265))&amp;M265,"")</f>
        <v>高级黄</v>
      </c>
      <c r="S265" s="16">
        <f>IF(R265="","",INDEX(挂机升级突破!$AE$35:$AG$55,卡牌消耗!L265,INDEX(挂机升级突破!$X$35:$X$55,卡牌消耗!L265)))</f>
        <v>155</v>
      </c>
      <c r="T265" s="16" t="str">
        <f>IF(INDEX(挂机升级突破!$Y$35:$Y$55,卡牌消耗!L265)&gt;0,"灵玉","")</f>
        <v>灵玉</v>
      </c>
      <c r="U265" s="16">
        <f>IF(INDEX(挂机升级突破!$Y$35:$Y$55,卡牌消耗!L265)&gt;0,INDEX(挂机升级突破!$AH$35:$AH$55,卡牌消耗!L265),"")</f>
        <v>50</v>
      </c>
    </row>
    <row r="266" spans="9:21" ht="16.5" x14ac:dyDescent="0.2">
      <c r="I266" s="36">
        <v>230</v>
      </c>
      <c r="J266" s="16">
        <f t="shared" si="16"/>
        <v>1102011</v>
      </c>
      <c r="K266" s="16">
        <f t="shared" si="17"/>
        <v>4</v>
      </c>
      <c r="L266" s="16">
        <f t="shared" si="19"/>
        <v>20</v>
      </c>
      <c r="M266" s="16" t="str">
        <f t="shared" si="18"/>
        <v>黄</v>
      </c>
      <c r="N266" s="16" t="str">
        <f t="shared" si="20"/>
        <v>金币</v>
      </c>
      <c r="O266" s="16">
        <f>IF(L266&gt;1,INDEX(挂机升级突破!$AI$35:$AI$55,卡牌消耗!L266),"")</f>
        <v>178500</v>
      </c>
      <c r="P266" s="16" t="str">
        <f>IF(L266&gt;1,INDEX(价值概述!$A$4:$A$8,INDEX(挂机升级突破!$W$35:$W$55,卡牌消耗!L266)),"")</f>
        <v>红色基础材料</v>
      </c>
      <c r="Q266" s="16">
        <f>IF(L266&gt;1,INDEX(挂机升级突破!$Z$35:$AD$55,卡牌消耗!L266,INDEX(挂机升级突破!$W$35:$W$55,卡牌消耗!L266)),"")</f>
        <v>110</v>
      </c>
      <c r="R266" s="16" t="str">
        <f>IF(INDEX(挂机升级突破!$X$35:$X$55,卡牌消耗!L266)&gt;0,INDEX($G$2:$I$2,INDEX(挂机升级突破!$X$35:$X$55,卡牌消耗!L266))&amp;M266,"")</f>
        <v>高级黄</v>
      </c>
      <c r="S266" s="16">
        <f>IF(R266="","",INDEX(挂机升级突破!$AE$35:$AG$55,卡牌消耗!L266,INDEX(挂机升级突破!$X$35:$X$55,卡牌消耗!L266)))</f>
        <v>180</v>
      </c>
      <c r="T266" s="16" t="str">
        <f>IF(INDEX(挂机升级突破!$Y$35:$Y$55,卡牌消耗!L266)&gt;0,"灵玉","")</f>
        <v>灵玉</v>
      </c>
      <c r="U266" s="16">
        <f>IF(INDEX(挂机升级突破!$Y$35:$Y$55,卡牌消耗!L266)&gt;0,INDEX(挂机升级突破!$AH$35:$AH$55,卡牌消耗!L266),"")</f>
        <v>65</v>
      </c>
    </row>
    <row r="267" spans="9:21" ht="16.5" x14ac:dyDescent="0.2">
      <c r="I267" s="36">
        <v>231</v>
      </c>
      <c r="J267" s="16">
        <f t="shared" si="16"/>
        <v>1102011</v>
      </c>
      <c r="K267" s="16">
        <f t="shared" si="17"/>
        <v>4</v>
      </c>
      <c r="L267" s="16">
        <f t="shared" si="19"/>
        <v>21</v>
      </c>
      <c r="M267" s="16" t="str">
        <f t="shared" si="18"/>
        <v>黄</v>
      </c>
      <c r="N267" s="16" t="str">
        <f t="shared" si="20"/>
        <v>金币</v>
      </c>
      <c r="O267" s="16">
        <f>IF(L267&gt;1,INDEX(挂机升级突破!$AI$35:$AI$55,卡牌消耗!L267),"")</f>
        <v>214000</v>
      </c>
      <c r="P267" s="16" t="str">
        <f>IF(L267&gt;1,INDEX(价值概述!$A$4:$A$8,INDEX(挂机升级突破!$W$35:$W$55,卡牌消耗!L267)),"")</f>
        <v>红色基础材料</v>
      </c>
      <c r="Q267" s="16">
        <f>IF(L267&gt;1,INDEX(挂机升级突破!$Z$35:$AD$55,卡牌消耗!L267,INDEX(挂机升级突破!$W$35:$W$55,卡牌消耗!L267)),"")</f>
        <v>135</v>
      </c>
      <c r="R267" s="16" t="str">
        <f>IF(INDEX(挂机升级突破!$X$35:$X$55,卡牌消耗!L267)&gt;0,INDEX($G$2:$I$2,INDEX(挂机升级突破!$X$35:$X$55,卡牌消耗!L267))&amp;M267,"")</f>
        <v>高级黄</v>
      </c>
      <c r="S267" s="16">
        <f>IF(R267="","",INDEX(挂机升级突破!$AE$35:$AG$55,卡牌消耗!L267,INDEX(挂机升级突破!$X$35:$X$55,卡牌消耗!L267)))</f>
        <v>225</v>
      </c>
      <c r="T267" s="16" t="str">
        <f>IF(INDEX(挂机升级突破!$Y$35:$Y$55,卡牌消耗!L267)&gt;0,"灵玉","")</f>
        <v>灵玉</v>
      </c>
      <c r="U267" s="16">
        <f>IF(INDEX(挂机升级突破!$Y$35:$Y$55,卡牌消耗!L267)&gt;0,INDEX(挂机升级突破!$AH$35:$AH$55,卡牌消耗!L267),"")</f>
        <v>75</v>
      </c>
    </row>
    <row r="268" spans="9:21" ht="16.5" x14ac:dyDescent="0.2">
      <c r="I268" s="36">
        <v>232</v>
      </c>
      <c r="J268" s="16">
        <f t="shared" si="16"/>
        <v>1102012</v>
      </c>
      <c r="K268" s="16">
        <f t="shared" si="17"/>
        <v>4</v>
      </c>
      <c r="L268" s="16">
        <f t="shared" si="19"/>
        <v>1</v>
      </c>
      <c r="M268" s="16" t="str">
        <f t="shared" si="18"/>
        <v>红</v>
      </c>
      <c r="N268" s="16" t="str">
        <f t="shared" si="20"/>
        <v/>
      </c>
      <c r="O268" s="16" t="str">
        <f>IF(L268&gt;1,INDEX(挂机升级突破!$AI$35:$AI$55,卡牌消耗!L268),"")</f>
        <v/>
      </c>
      <c r="P268" s="16" t="str">
        <f>IF(L268&gt;1,INDEX(价值概述!$A$4:$A$8,INDEX(挂机升级突破!$W$35:$W$55,卡牌消耗!L268)),"")</f>
        <v/>
      </c>
      <c r="Q268" s="16" t="str">
        <f>IF(L268&gt;1,INDEX(挂机升级突破!$Z$35:$AD$55,卡牌消耗!L268,INDEX(挂机升级突破!$W$35:$W$55,卡牌消耗!L268)),"")</f>
        <v/>
      </c>
      <c r="R268" s="16" t="str">
        <f>IF(INDEX(挂机升级突破!$X$35:$X$55,卡牌消耗!L268)&gt;0,INDEX($G$2:$I$2,INDEX(挂机升级突破!$X$35:$X$55,卡牌消耗!L268))&amp;M268,"")</f>
        <v/>
      </c>
      <c r="S268" s="16" t="str">
        <f>IF(R268="","",INDEX(挂机升级突破!$AE$35:$AG$55,卡牌消耗!L268,INDEX(挂机升级突破!$X$35:$X$55,卡牌消耗!L268)))</f>
        <v/>
      </c>
      <c r="T268" s="16" t="str">
        <f>IF(INDEX(挂机升级突破!$Y$35:$Y$55,卡牌消耗!L268)&gt;0,"灵玉","")</f>
        <v/>
      </c>
      <c r="U268" s="16" t="str">
        <f>IF(INDEX(挂机升级突破!$Y$35:$Y$55,卡牌消耗!L268)&gt;0,INDEX(挂机升级突破!$AH$35:$AH$55,卡牌消耗!L268),"")</f>
        <v/>
      </c>
    </row>
    <row r="269" spans="9:21" ht="16.5" x14ac:dyDescent="0.2">
      <c r="I269" s="36">
        <v>233</v>
      </c>
      <c r="J269" s="16">
        <f t="shared" si="16"/>
        <v>1102012</v>
      </c>
      <c r="K269" s="16">
        <f t="shared" si="17"/>
        <v>4</v>
      </c>
      <c r="L269" s="16">
        <f t="shared" si="19"/>
        <v>2</v>
      </c>
      <c r="M269" s="16" t="str">
        <f t="shared" si="18"/>
        <v>红</v>
      </c>
      <c r="N269" s="16" t="str">
        <f t="shared" si="20"/>
        <v>金币</v>
      </c>
      <c r="O269" s="16">
        <f>IF(L269&gt;1,INDEX(挂机升级突破!$AI$35:$AI$55,卡牌消耗!L269),"")</f>
        <v>2500</v>
      </c>
      <c r="P269" s="16" t="str">
        <f>IF(L269&gt;1,INDEX(价值概述!$A$4:$A$8,INDEX(挂机升级突破!$W$35:$W$55,卡牌消耗!L269)),"")</f>
        <v>绿色基础材料</v>
      </c>
      <c r="Q269" s="16">
        <f>IF(L269&gt;1,INDEX(挂机升级突破!$Z$35:$AD$55,卡牌消耗!L269,INDEX(挂机升级突破!$W$35:$W$55,卡牌消耗!L269)),"")</f>
        <v>40</v>
      </c>
      <c r="R269" s="16" t="str">
        <f>IF(INDEX(挂机升级突破!$X$35:$X$55,卡牌消耗!L269)&gt;0,INDEX($G$2:$I$2,INDEX(挂机升级突破!$X$35:$X$55,卡牌消耗!L269))&amp;M269,"")</f>
        <v/>
      </c>
      <c r="S269" s="16" t="str">
        <f>IF(R269="","",INDEX(挂机升级突破!$AE$35:$AG$55,卡牌消耗!L269,INDEX(挂机升级突破!$X$35:$X$55,卡牌消耗!L269)))</f>
        <v/>
      </c>
      <c r="T269" s="16" t="str">
        <f>IF(INDEX(挂机升级突破!$Y$35:$Y$55,卡牌消耗!L269)&gt;0,"灵玉","")</f>
        <v/>
      </c>
      <c r="U269" s="16" t="str">
        <f>IF(INDEX(挂机升级突破!$Y$35:$Y$55,卡牌消耗!L269)&gt;0,INDEX(挂机升级突破!$AH$35:$AH$55,卡牌消耗!L269),"")</f>
        <v/>
      </c>
    </row>
    <row r="270" spans="9:21" ht="16.5" x14ac:dyDescent="0.2">
      <c r="I270" s="36">
        <v>234</v>
      </c>
      <c r="J270" s="16">
        <f t="shared" si="16"/>
        <v>1102012</v>
      </c>
      <c r="K270" s="16">
        <f t="shared" si="17"/>
        <v>4</v>
      </c>
      <c r="L270" s="16">
        <f t="shared" si="19"/>
        <v>3</v>
      </c>
      <c r="M270" s="16" t="str">
        <f t="shared" si="18"/>
        <v>红</v>
      </c>
      <c r="N270" s="16" t="str">
        <f t="shared" si="20"/>
        <v>金币</v>
      </c>
      <c r="O270" s="16">
        <f>IF(L270&gt;1,INDEX(挂机升级突破!$AI$35:$AI$55,卡牌消耗!L270),"")</f>
        <v>8500</v>
      </c>
      <c r="P270" s="16" t="str">
        <f>IF(L270&gt;1,INDEX(价值概述!$A$4:$A$8,INDEX(挂机升级突破!$W$35:$W$55,卡牌消耗!L270)),"")</f>
        <v>绿色基础材料</v>
      </c>
      <c r="Q270" s="16">
        <f>IF(L270&gt;1,INDEX(挂机升级突破!$Z$35:$AD$55,卡牌消耗!L270,INDEX(挂机升级突破!$W$35:$W$55,卡牌消耗!L270)),"")</f>
        <v>120</v>
      </c>
      <c r="R270" s="16" t="str">
        <f>IF(INDEX(挂机升级突破!$X$35:$X$55,卡牌消耗!L270)&gt;0,INDEX($G$2:$I$2,INDEX(挂机升级突破!$X$35:$X$55,卡牌消耗!L270))&amp;M270,"")</f>
        <v/>
      </c>
      <c r="S270" s="16" t="str">
        <f>IF(R270="","",INDEX(挂机升级突破!$AE$35:$AG$55,卡牌消耗!L270,INDEX(挂机升级突破!$X$35:$X$55,卡牌消耗!L270)))</f>
        <v/>
      </c>
      <c r="T270" s="16" t="str">
        <f>IF(INDEX(挂机升级突破!$Y$35:$Y$55,卡牌消耗!L270)&gt;0,"灵玉","")</f>
        <v/>
      </c>
      <c r="U270" s="16" t="str">
        <f>IF(INDEX(挂机升级突破!$Y$35:$Y$55,卡牌消耗!L270)&gt;0,INDEX(挂机升级突破!$AH$35:$AH$55,卡牌消耗!L270),"")</f>
        <v/>
      </c>
    </row>
    <row r="271" spans="9:21" ht="16.5" x14ac:dyDescent="0.2">
      <c r="I271" s="36">
        <v>235</v>
      </c>
      <c r="J271" s="16">
        <f t="shared" si="16"/>
        <v>1102012</v>
      </c>
      <c r="K271" s="16">
        <f t="shared" si="17"/>
        <v>4</v>
      </c>
      <c r="L271" s="16">
        <f t="shared" si="19"/>
        <v>4</v>
      </c>
      <c r="M271" s="16" t="str">
        <f t="shared" si="18"/>
        <v>红</v>
      </c>
      <c r="N271" s="16" t="str">
        <f t="shared" si="20"/>
        <v>金币</v>
      </c>
      <c r="O271" s="16">
        <f>IF(L271&gt;1,INDEX(挂机升级突破!$AI$35:$AI$55,卡牌消耗!L271),"")</f>
        <v>17000</v>
      </c>
      <c r="P271" s="16" t="str">
        <f>IF(L271&gt;1,INDEX(价值概述!$A$4:$A$8,INDEX(挂机升级突破!$W$35:$W$55,卡牌消耗!L271)),"")</f>
        <v>绿色基础材料</v>
      </c>
      <c r="Q271" s="16">
        <f>IF(L271&gt;1,INDEX(挂机升级突破!$Z$35:$AD$55,卡牌消耗!L271,INDEX(挂机升级突破!$W$35:$W$55,卡牌消耗!L271)),"")</f>
        <v>240</v>
      </c>
      <c r="R271" s="16" t="str">
        <f>IF(INDEX(挂机升级突破!$X$35:$X$55,卡牌消耗!L271)&gt;0,INDEX($G$2:$I$2,INDEX(挂机升级突破!$X$35:$X$55,卡牌消耗!L271))&amp;M271,"")</f>
        <v>初级红</v>
      </c>
      <c r="S271" s="16">
        <f>IF(R271="","",INDEX(挂机升级突破!$AE$35:$AG$55,卡牌消耗!L271,INDEX(挂机升级突破!$X$35:$X$55,卡牌消耗!L271)))</f>
        <v>130</v>
      </c>
      <c r="T271" s="16" t="str">
        <f>IF(INDEX(挂机升级突破!$Y$35:$Y$55,卡牌消耗!L271)&gt;0,"灵玉","")</f>
        <v/>
      </c>
      <c r="U271" s="16" t="str">
        <f>IF(INDEX(挂机升级突破!$Y$35:$Y$55,卡牌消耗!L271)&gt;0,INDEX(挂机升级突破!$AH$35:$AH$55,卡牌消耗!L271),"")</f>
        <v/>
      </c>
    </row>
    <row r="272" spans="9:21" ht="16.5" x14ac:dyDescent="0.2">
      <c r="I272" s="36">
        <v>236</v>
      </c>
      <c r="J272" s="16">
        <f t="shared" si="16"/>
        <v>1102012</v>
      </c>
      <c r="K272" s="16">
        <f t="shared" si="17"/>
        <v>4</v>
      </c>
      <c r="L272" s="16">
        <f t="shared" si="19"/>
        <v>5</v>
      </c>
      <c r="M272" s="16" t="str">
        <f t="shared" si="18"/>
        <v>红</v>
      </c>
      <c r="N272" s="16" t="str">
        <f t="shared" si="20"/>
        <v>金币</v>
      </c>
      <c r="O272" s="16">
        <f>IF(L272&gt;1,INDEX(挂机升级突破!$AI$35:$AI$55,卡牌消耗!L272),"")</f>
        <v>10500</v>
      </c>
      <c r="P272" s="16" t="str">
        <f>IF(L272&gt;1,INDEX(价值概述!$A$4:$A$8,INDEX(挂机升级突破!$W$35:$W$55,卡牌消耗!L272)),"")</f>
        <v>蓝色基础材料</v>
      </c>
      <c r="Q272" s="16">
        <f>IF(L272&gt;1,INDEX(挂机升级突破!$Z$35:$AD$55,卡牌消耗!L272,INDEX(挂机升级突破!$W$35:$W$55,卡牌消耗!L272)),"")</f>
        <v>85</v>
      </c>
      <c r="R272" s="16" t="str">
        <f>IF(INDEX(挂机升级突破!$X$35:$X$55,卡牌消耗!L272)&gt;0,INDEX($G$2:$I$2,INDEX(挂机升级突破!$X$35:$X$55,卡牌消耗!L272))&amp;M272,"")</f>
        <v>初级红</v>
      </c>
      <c r="S272" s="16">
        <f>IF(R272="","",INDEX(挂机升级突破!$AE$35:$AG$55,卡牌消耗!L272,INDEX(挂机升级突破!$X$35:$X$55,卡牌消耗!L272)))</f>
        <v>160</v>
      </c>
      <c r="T272" s="16" t="str">
        <f>IF(INDEX(挂机升级突破!$Y$35:$Y$55,卡牌消耗!L272)&gt;0,"灵玉","")</f>
        <v/>
      </c>
      <c r="U272" s="16" t="str">
        <f>IF(INDEX(挂机升级突破!$Y$35:$Y$55,卡牌消耗!L272)&gt;0,INDEX(挂机升级突破!$AH$35:$AH$55,卡牌消耗!L272),"")</f>
        <v/>
      </c>
    </row>
    <row r="273" spans="9:21" ht="16.5" x14ac:dyDescent="0.2">
      <c r="I273" s="36">
        <v>237</v>
      </c>
      <c r="J273" s="16">
        <f t="shared" si="16"/>
        <v>1102012</v>
      </c>
      <c r="K273" s="16">
        <f t="shared" si="17"/>
        <v>4</v>
      </c>
      <c r="L273" s="16">
        <f t="shared" si="19"/>
        <v>6</v>
      </c>
      <c r="M273" s="16" t="str">
        <f t="shared" si="18"/>
        <v>红</v>
      </c>
      <c r="N273" s="16" t="str">
        <f t="shared" si="20"/>
        <v>金币</v>
      </c>
      <c r="O273" s="16">
        <f>IF(L273&gt;1,INDEX(挂机升级突破!$AI$35:$AI$55,卡牌消耗!L273),"")</f>
        <v>25000</v>
      </c>
      <c r="P273" s="16" t="str">
        <f>IF(L273&gt;1,INDEX(价值概述!$A$4:$A$8,INDEX(挂机升级突破!$W$35:$W$55,卡牌消耗!L273)),"")</f>
        <v>蓝色基础材料</v>
      </c>
      <c r="Q273" s="16">
        <f>IF(L273&gt;1,INDEX(挂机升级突破!$Z$35:$AD$55,卡牌消耗!L273,INDEX(挂机升级突破!$W$35:$W$55,卡牌消耗!L273)),"")</f>
        <v>145</v>
      </c>
      <c r="R273" s="16" t="str">
        <f>IF(INDEX(挂机升级突破!$X$35:$X$55,卡牌消耗!L273)&gt;0,INDEX($G$2:$I$2,INDEX(挂机升级突破!$X$35:$X$55,卡牌消耗!L273))&amp;M273,"")</f>
        <v>初级红</v>
      </c>
      <c r="S273" s="16">
        <f>IF(R273="","",INDEX(挂机升级突破!$AE$35:$AG$55,卡牌消耗!L273,INDEX(挂机升级突破!$X$35:$X$55,卡牌消耗!L273)))</f>
        <v>175</v>
      </c>
      <c r="T273" s="16" t="str">
        <f>IF(INDEX(挂机升级突破!$Y$35:$Y$55,卡牌消耗!L273)&gt;0,"灵玉","")</f>
        <v/>
      </c>
      <c r="U273" s="16" t="str">
        <f>IF(INDEX(挂机升级突破!$Y$35:$Y$55,卡牌消耗!L273)&gt;0,INDEX(挂机升级突破!$AH$35:$AH$55,卡牌消耗!L273),"")</f>
        <v/>
      </c>
    </row>
    <row r="274" spans="9:21" ht="16.5" x14ac:dyDescent="0.2">
      <c r="I274" s="36">
        <v>238</v>
      </c>
      <c r="J274" s="16">
        <f t="shared" si="16"/>
        <v>1102012</v>
      </c>
      <c r="K274" s="16">
        <f t="shared" si="17"/>
        <v>4</v>
      </c>
      <c r="L274" s="16">
        <f t="shared" si="19"/>
        <v>7</v>
      </c>
      <c r="M274" s="16" t="str">
        <f t="shared" si="18"/>
        <v>红</v>
      </c>
      <c r="N274" s="16" t="str">
        <f t="shared" si="20"/>
        <v>金币</v>
      </c>
      <c r="O274" s="16">
        <f>IF(L274&gt;1,INDEX(挂机升级突破!$AI$35:$AI$55,卡牌消耗!L274),"")</f>
        <v>28000</v>
      </c>
      <c r="P274" s="16" t="str">
        <f>IF(L274&gt;1,INDEX(价值概述!$A$4:$A$8,INDEX(挂机升级突破!$W$35:$W$55,卡牌消耗!L274)),"")</f>
        <v>蓝色基础材料</v>
      </c>
      <c r="Q274" s="16">
        <f>IF(L274&gt;1,INDEX(挂机升级突破!$Z$35:$AD$55,卡牌消耗!L274,INDEX(挂机升级突破!$W$35:$W$55,卡牌消耗!L274)),"")</f>
        <v>185</v>
      </c>
      <c r="R274" s="16" t="str">
        <f>IF(INDEX(挂机升级突破!$X$35:$X$55,卡牌消耗!L274)&gt;0,INDEX($G$2:$I$2,INDEX(挂机升级突破!$X$35:$X$55,卡牌消耗!L274))&amp;M274,"")</f>
        <v>初级红</v>
      </c>
      <c r="S274" s="16">
        <f>IF(R274="","",INDEX(挂机升级突破!$AE$35:$AG$55,卡牌消耗!L274,INDEX(挂机升级突破!$X$35:$X$55,卡牌消耗!L274)))</f>
        <v>190</v>
      </c>
      <c r="T274" s="16" t="str">
        <f>IF(INDEX(挂机升级突破!$Y$35:$Y$55,卡牌消耗!L274)&gt;0,"灵玉","")</f>
        <v/>
      </c>
      <c r="U274" s="16" t="str">
        <f>IF(INDEX(挂机升级突破!$Y$35:$Y$55,卡牌消耗!L274)&gt;0,INDEX(挂机升级突破!$AH$35:$AH$55,卡牌消耗!L274),"")</f>
        <v/>
      </c>
    </row>
    <row r="275" spans="9:21" ht="16.5" x14ac:dyDescent="0.2">
      <c r="I275" s="36">
        <v>239</v>
      </c>
      <c r="J275" s="16">
        <f t="shared" si="16"/>
        <v>1102012</v>
      </c>
      <c r="K275" s="16">
        <f t="shared" si="17"/>
        <v>4</v>
      </c>
      <c r="L275" s="16">
        <f t="shared" si="19"/>
        <v>8</v>
      </c>
      <c r="M275" s="16" t="str">
        <f t="shared" si="18"/>
        <v>红</v>
      </c>
      <c r="N275" s="16" t="str">
        <f t="shared" si="20"/>
        <v>金币</v>
      </c>
      <c r="O275" s="16">
        <f>IF(L275&gt;1,INDEX(挂机升级突破!$AI$35:$AI$55,卡牌消耗!L275),"")</f>
        <v>31000</v>
      </c>
      <c r="P275" s="16" t="str">
        <f>IF(L275&gt;1,INDEX(价值概述!$A$4:$A$8,INDEX(挂机升级突破!$W$35:$W$55,卡牌消耗!L275)),"")</f>
        <v>蓝色基础材料</v>
      </c>
      <c r="Q275" s="16">
        <f>IF(L275&gt;1,INDEX(挂机升级突破!$Z$35:$AD$55,卡牌消耗!L275,INDEX(挂机升级突破!$W$35:$W$55,卡牌消耗!L275)),"")</f>
        <v>220</v>
      </c>
      <c r="R275" s="16" t="str">
        <f>IF(INDEX(挂机升级突破!$X$35:$X$55,卡牌消耗!L275)&gt;0,INDEX($G$2:$I$2,INDEX(挂机升级突破!$X$35:$X$55,卡牌消耗!L275))&amp;M275,"")</f>
        <v>初级红</v>
      </c>
      <c r="S275" s="16">
        <f>IF(R275="","",INDEX(挂机升级突破!$AE$35:$AG$55,卡牌消耗!L275,INDEX(挂机升级突破!$X$35:$X$55,卡牌消耗!L275)))</f>
        <v>200</v>
      </c>
      <c r="T275" s="16" t="str">
        <f>IF(INDEX(挂机升级突破!$Y$35:$Y$55,卡牌消耗!L275)&gt;0,"灵玉","")</f>
        <v/>
      </c>
      <c r="U275" s="16" t="str">
        <f>IF(INDEX(挂机升级突破!$Y$35:$Y$55,卡牌消耗!L275)&gt;0,INDEX(挂机升级突破!$AH$35:$AH$55,卡牌消耗!L275),"")</f>
        <v/>
      </c>
    </row>
    <row r="276" spans="9:21" ht="16.5" x14ac:dyDescent="0.2">
      <c r="I276" s="36">
        <v>240</v>
      </c>
      <c r="J276" s="16">
        <f t="shared" si="16"/>
        <v>1102012</v>
      </c>
      <c r="K276" s="16">
        <f t="shared" si="17"/>
        <v>4</v>
      </c>
      <c r="L276" s="16">
        <f t="shared" si="19"/>
        <v>9</v>
      </c>
      <c r="M276" s="16" t="str">
        <f t="shared" si="18"/>
        <v>红</v>
      </c>
      <c r="N276" s="16" t="str">
        <f t="shared" si="20"/>
        <v>金币</v>
      </c>
      <c r="O276" s="16">
        <f>IF(L276&gt;1,INDEX(挂机升级突破!$AI$35:$AI$55,卡牌消耗!L276),"")</f>
        <v>24000</v>
      </c>
      <c r="P276" s="16" t="str">
        <f>IF(L276&gt;1,INDEX(价值概述!$A$4:$A$8,INDEX(挂机升级突破!$W$35:$W$55,卡牌消耗!L276)),"")</f>
        <v>紫色基础材料</v>
      </c>
      <c r="Q276" s="16">
        <f>IF(L276&gt;1,INDEX(挂机升级突破!$Z$35:$AD$55,卡牌消耗!L276,INDEX(挂机升级突破!$W$35:$W$55,卡牌消耗!L276)),"")</f>
        <v>95</v>
      </c>
      <c r="R276" s="16" t="str">
        <f>IF(INDEX(挂机升级突破!$X$35:$X$55,卡牌消耗!L276)&gt;0,INDEX($G$2:$I$2,INDEX(挂机升级突破!$X$35:$X$55,卡牌消耗!L276))&amp;M276,"")</f>
        <v>中级红</v>
      </c>
      <c r="S276" s="16">
        <f>IF(R276="","",INDEX(挂机升级突破!$AE$35:$AG$55,卡牌消耗!L276,INDEX(挂机升级突破!$X$35:$X$55,卡牌消耗!L276)))</f>
        <v>80</v>
      </c>
      <c r="T276" s="16" t="str">
        <f>IF(INDEX(挂机升级突破!$Y$35:$Y$55,卡牌消耗!L276)&gt;0,"灵玉","")</f>
        <v/>
      </c>
      <c r="U276" s="16" t="str">
        <f>IF(INDEX(挂机升级突破!$Y$35:$Y$55,卡牌消耗!L276)&gt;0,INDEX(挂机升级突破!$AH$35:$AH$55,卡牌消耗!L276),"")</f>
        <v/>
      </c>
    </row>
    <row r="277" spans="9:21" ht="16.5" x14ac:dyDescent="0.2">
      <c r="I277" s="36">
        <v>241</v>
      </c>
      <c r="J277" s="16">
        <f t="shared" si="16"/>
        <v>1102012</v>
      </c>
      <c r="K277" s="16">
        <f t="shared" si="17"/>
        <v>4</v>
      </c>
      <c r="L277" s="16">
        <f t="shared" si="19"/>
        <v>10</v>
      </c>
      <c r="M277" s="16" t="str">
        <f t="shared" si="18"/>
        <v>红</v>
      </c>
      <c r="N277" s="16" t="str">
        <f t="shared" si="20"/>
        <v>金币</v>
      </c>
      <c r="O277" s="16">
        <f>IF(L277&gt;1,INDEX(挂机升级突破!$AI$35:$AI$55,卡牌消耗!L277),"")</f>
        <v>26500</v>
      </c>
      <c r="P277" s="16" t="str">
        <f>IF(L277&gt;1,INDEX(价值概述!$A$4:$A$8,INDEX(挂机升级突破!$W$35:$W$55,卡牌消耗!L277)),"")</f>
        <v>紫色基础材料</v>
      </c>
      <c r="Q277" s="16">
        <f>IF(L277&gt;1,INDEX(挂机升级突破!$Z$35:$AD$55,卡牌消耗!L277,INDEX(挂机升级突破!$W$35:$W$55,卡牌消耗!L277)),"")</f>
        <v>175</v>
      </c>
      <c r="R277" s="16" t="str">
        <f>IF(INDEX(挂机升级突破!$X$35:$X$55,卡牌消耗!L277)&gt;0,INDEX($G$2:$I$2,INDEX(挂机升级突破!$X$35:$X$55,卡牌消耗!L277))&amp;M277,"")</f>
        <v>中级红</v>
      </c>
      <c r="S277" s="16">
        <f>IF(R277="","",INDEX(挂机升级突破!$AE$35:$AG$55,卡牌消耗!L277,INDEX(挂机升级突破!$X$35:$X$55,卡牌消耗!L277)))</f>
        <v>120</v>
      </c>
      <c r="T277" s="16" t="str">
        <f>IF(INDEX(挂机升级突破!$Y$35:$Y$55,卡牌消耗!L277)&gt;0,"灵玉","")</f>
        <v/>
      </c>
      <c r="U277" s="16" t="str">
        <f>IF(INDEX(挂机升级突破!$Y$35:$Y$55,卡牌消耗!L277)&gt;0,INDEX(挂机升级突破!$AH$35:$AH$55,卡牌消耗!L277),"")</f>
        <v/>
      </c>
    </row>
    <row r="278" spans="9:21" ht="16.5" x14ac:dyDescent="0.2">
      <c r="I278" s="36">
        <v>242</v>
      </c>
      <c r="J278" s="16">
        <f t="shared" si="16"/>
        <v>1102012</v>
      </c>
      <c r="K278" s="16">
        <f t="shared" si="17"/>
        <v>4</v>
      </c>
      <c r="L278" s="16">
        <f t="shared" si="19"/>
        <v>11</v>
      </c>
      <c r="M278" s="16" t="str">
        <f t="shared" si="18"/>
        <v>红</v>
      </c>
      <c r="N278" s="16" t="str">
        <f t="shared" si="20"/>
        <v>金币</v>
      </c>
      <c r="O278" s="16">
        <f>IF(L278&gt;1,INDEX(挂机升级突破!$AI$35:$AI$55,卡牌消耗!L278),"")</f>
        <v>28500</v>
      </c>
      <c r="P278" s="16" t="str">
        <f>IF(L278&gt;1,INDEX(价值概述!$A$4:$A$8,INDEX(挂机升级突破!$W$35:$W$55,卡牌消耗!L278)),"")</f>
        <v>紫色基础材料</v>
      </c>
      <c r="Q278" s="16">
        <f>IF(L278&gt;1,INDEX(挂机升级突破!$Z$35:$AD$55,卡牌消耗!L278,INDEX(挂机升级突破!$W$35:$W$55,卡牌消耗!L278)),"")</f>
        <v>245</v>
      </c>
      <c r="R278" s="16" t="str">
        <f>IF(INDEX(挂机升级突破!$X$35:$X$55,卡牌消耗!L278)&gt;0,INDEX($G$2:$I$2,INDEX(挂机升级突破!$X$35:$X$55,卡牌消耗!L278))&amp;M278,"")</f>
        <v>中级红</v>
      </c>
      <c r="S278" s="16">
        <f>IF(R278="","",INDEX(挂机升级突破!$AE$35:$AG$55,卡牌消耗!L278,INDEX(挂机升级突破!$X$35:$X$55,卡牌消耗!L278)))</f>
        <v>170</v>
      </c>
      <c r="T278" s="16" t="str">
        <f>IF(INDEX(挂机升级突破!$Y$35:$Y$55,卡牌消耗!L278)&gt;0,"灵玉","")</f>
        <v/>
      </c>
      <c r="U278" s="16" t="str">
        <f>IF(INDEX(挂机升级突破!$Y$35:$Y$55,卡牌消耗!L278)&gt;0,INDEX(挂机升级突破!$AH$35:$AH$55,卡牌消耗!L278),"")</f>
        <v/>
      </c>
    </row>
    <row r="279" spans="9:21" ht="16.5" x14ac:dyDescent="0.2">
      <c r="I279" s="36">
        <v>243</v>
      </c>
      <c r="J279" s="16">
        <f t="shared" si="16"/>
        <v>1102012</v>
      </c>
      <c r="K279" s="16">
        <f t="shared" si="17"/>
        <v>4</v>
      </c>
      <c r="L279" s="16">
        <f t="shared" si="19"/>
        <v>12</v>
      </c>
      <c r="M279" s="16" t="str">
        <f t="shared" si="18"/>
        <v>红</v>
      </c>
      <c r="N279" s="16" t="str">
        <f t="shared" si="20"/>
        <v>金币</v>
      </c>
      <c r="O279" s="16">
        <f>IF(L279&gt;1,INDEX(挂机升级突破!$AI$35:$AI$55,卡牌消耗!L279),"")</f>
        <v>30500</v>
      </c>
      <c r="P279" s="16" t="str">
        <f>IF(L279&gt;1,INDEX(价值概述!$A$4:$A$8,INDEX(挂机升级突破!$W$35:$W$55,卡牌消耗!L279)),"")</f>
        <v>紫色基础材料</v>
      </c>
      <c r="Q279" s="16">
        <f>IF(L279&gt;1,INDEX(挂机升级突破!$Z$35:$AD$55,卡牌消耗!L279,INDEX(挂机升级突破!$W$35:$W$55,卡牌消耗!L279)),"")</f>
        <v>305</v>
      </c>
      <c r="R279" s="16" t="str">
        <f>IF(INDEX(挂机升级突破!$X$35:$X$55,卡牌消耗!L279)&gt;0,INDEX($G$2:$I$2,INDEX(挂机升级突破!$X$35:$X$55,卡牌消耗!L279))&amp;M279,"")</f>
        <v>中级红</v>
      </c>
      <c r="S279" s="16">
        <f>IF(R279="","",INDEX(挂机升级突破!$AE$35:$AG$55,卡牌消耗!L279,INDEX(挂机升级突破!$X$35:$X$55,卡牌消耗!L279)))</f>
        <v>200</v>
      </c>
      <c r="T279" s="16" t="str">
        <f>IF(INDEX(挂机升级突破!$Y$35:$Y$55,卡牌消耗!L279)&gt;0,"灵玉","")</f>
        <v/>
      </c>
      <c r="U279" s="16" t="str">
        <f>IF(INDEX(挂机升级突破!$Y$35:$Y$55,卡牌消耗!L279)&gt;0,INDEX(挂机升级突破!$AH$35:$AH$55,卡牌消耗!L279),"")</f>
        <v/>
      </c>
    </row>
    <row r="280" spans="9:21" ht="16.5" x14ac:dyDescent="0.2">
      <c r="I280" s="36">
        <v>244</v>
      </c>
      <c r="J280" s="16">
        <f t="shared" si="16"/>
        <v>1102012</v>
      </c>
      <c r="K280" s="16">
        <f t="shared" si="17"/>
        <v>4</v>
      </c>
      <c r="L280" s="16">
        <f t="shared" si="19"/>
        <v>13</v>
      </c>
      <c r="M280" s="16" t="str">
        <f t="shared" si="18"/>
        <v>红</v>
      </c>
      <c r="N280" s="16" t="str">
        <f t="shared" si="20"/>
        <v>金币</v>
      </c>
      <c r="O280" s="16">
        <f>IF(L280&gt;1,INDEX(挂机升级突破!$AI$35:$AI$55,卡牌消耗!L280),"")</f>
        <v>38500</v>
      </c>
      <c r="P280" s="16" t="str">
        <f>IF(L280&gt;1,INDEX(价值概述!$A$4:$A$8,INDEX(挂机升级突破!$W$35:$W$55,卡牌消耗!L280)),"")</f>
        <v>橙色基础材料</v>
      </c>
      <c r="Q280" s="16">
        <f>IF(L280&gt;1,INDEX(挂机升级突破!$Z$35:$AD$55,卡牌消耗!L280,INDEX(挂机升级突破!$W$35:$W$55,卡牌消耗!L280)),"")</f>
        <v>115</v>
      </c>
      <c r="R280" s="16" t="str">
        <f>IF(INDEX(挂机升级突破!$X$35:$X$55,卡牌消耗!L280)&gt;0,INDEX($G$2:$I$2,INDEX(挂机升级突破!$X$35:$X$55,卡牌消耗!L280))&amp;M280,"")</f>
        <v>中级红</v>
      </c>
      <c r="S280" s="16">
        <f>IF(R280="","",INDEX(挂机升级突破!$AE$35:$AG$55,卡牌消耗!L280,INDEX(挂机升级突破!$X$35:$X$55,卡牌消耗!L280)))</f>
        <v>225</v>
      </c>
      <c r="T280" s="16" t="str">
        <f>IF(INDEX(挂机升级突破!$Y$35:$Y$55,卡牌消耗!L280)&gt;0,"灵玉","")</f>
        <v/>
      </c>
      <c r="U280" s="16" t="str">
        <f>IF(INDEX(挂机升级突破!$Y$35:$Y$55,卡牌消耗!L280)&gt;0,INDEX(挂机升级突破!$AH$35:$AH$55,卡牌消耗!L280),"")</f>
        <v/>
      </c>
    </row>
    <row r="281" spans="9:21" ht="16.5" x14ac:dyDescent="0.2">
      <c r="I281" s="36">
        <v>245</v>
      </c>
      <c r="J281" s="16">
        <f t="shared" si="16"/>
        <v>1102012</v>
      </c>
      <c r="K281" s="16">
        <f t="shared" si="17"/>
        <v>4</v>
      </c>
      <c r="L281" s="16">
        <f t="shared" si="19"/>
        <v>14</v>
      </c>
      <c r="M281" s="16" t="str">
        <f t="shared" si="18"/>
        <v>红</v>
      </c>
      <c r="N281" s="16" t="str">
        <f t="shared" si="20"/>
        <v>金币</v>
      </c>
      <c r="O281" s="16">
        <f>IF(L281&gt;1,INDEX(挂机升级突破!$AI$35:$AI$55,卡牌消耗!L281),"")</f>
        <v>51000</v>
      </c>
      <c r="P281" s="16" t="str">
        <f>IF(L281&gt;1,INDEX(价值概述!$A$4:$A$8,INDEX(挂机升级突破!$W$35:$W$55,卡牌消耗!L281)),"")</f>
        <v>橙色基础材料</v>
      </c>
      <c r="Q281" s="16">
        <f>IF(L281&gt;1,INDEX(挂机升级突破!$Z$35:$AD$55,卡牌消耗!L281,INDEX(挂机升级突破!$W$35:$W$55,卡牌消耗!L281)),"")</f>
        <v>235</v>
      </c>
      <c r="R281" s="16" t="str">
        <f>IF(INDEX(挂机升级突破!$X$35:$X$55,卡牌消耗!L281)&gt;0,INDEX($G$2:$I$2,INDEX(挂机升级突破!$X$35:$X$55,卡牌消耗!L281))&amp;M281,"")</f>
        <v>中级红</v>
      </c>
      <c r="S281" s="16">
        <f>IF(R281="","",INDEX(挂机升级突破!$AE$35:$AG$55,卡牌消耗!L281,INDEX(挂机升级突破!$X$35:$X$55,卡牌消耗!L281)))</f>
        <v>265</v>
      </c>
      <c r="T281" s="16" t="str">
        <f>IF(INDEX(挂机升级突破!$Y$35:$Y$55,卡牌消耗!L281)&gt;0,"灵玉","")</f>
        <v/>
      </c>
      <c r="U281" s="16" t="str">
        <f>IF(INDEX(挂机升级突破!$Y$35:$Y$55,卡牌消耗!L281)&gt;0,INDEX(挂机升级突破!$AH$35:$AH$55,卡牌消耗!L281),"")</f>
        <v/>
      </c>
    </row>
    <row r="282" spans="9:21" ht="16.5" x14ac:dyDescent="0.2">
      <c r="I282" s="36">
        <v>246</v>
      </c>
      <c r="J282" s="16">
        <f t="shared" si="16"/>
        <v>1102012</v>
      </c>
      <c r="K282" s="16">
        <f t="shared" si="17"/>
        <v>4</v>
      </c>
      <c r="L282" s="16">
        <f t="shared" si="19"/>
        <v>15</v>
      </c>
      <c r="M282" s="16" t="str">
        <f t="shared" si="18"/>
        <v>红</v>
      </c>
      <c r="N282" s="16" t="str">
        <f t="shared" si="20"/>
        <v>金币</v>
      </c>
      <c r="O282" s="16">
        <f>IF(L282&gt;1,INDEX(挂机升级突破!$AI$35:$AI$55,卡牌消耗!L282),"")</f>
        <v>60000</v>
      </c>
      <c r="P282" s="16" t="str">
        <f>IF(L282&gt;1,INDEX(价值概述!$A$4:$A$8,INDEX(挂机升级突破!$W$35:$W$55,卡牌消耗!L282)),"")</f>
        <v>橙色基础材料</v>
      </c>
      <c r="Q282" s="16">
        <f>IF(L282&gt;1,INDEX(挂机升级突破!$Z$35:$AD$55,卡牌消耗!L282,INDEX(挂机升级突破!$W$35:$W$55,卡牌消耗!L282)),"")</f>
        <v>355</v>
      </c>
      <c r="R282" s="16" t="str">
        <f>IF(INDEX(挂机升级突破!$X$35:$X$55,卡牌消耗!L282)&gt;0,INDEX($G$2:$I$2,INDEX(挂机升级突破!$X$35:$X$55,卡牌消耗!L282))&amp;M282,"")</f>
        <v>高级红</v>
      </c>
      <c r="S282" s="16">
        <f>IF(R282="","",INDEX(挂机升级突破!$AE$35:$AG$55,卡牌消耗!L282,INDEX(挂机升级突破!$X$35:$X$55,卡牌消耗!L282)))</f>
        <v>45</v>
      </c>
      <c r="T282" s="16" t="str">
        <f>IF(INDEX(挂机升级突破!$Y$35:$Y$55,卡牌消耗!L282)&gt;0,"灵玉","")</f>
        <v/>
      </c>
      <c r="U282" s="16" t="str">
        <f>IF(INDEX(挂机升级突破!$Y$35:$Y$55,卡牌消耗!L282)&gt;0,INDEX(挂机升级突破!$AH$35:$AH$55,卡牌消耗!L282),"")</f>
        <v/>
      </c>
    </row>
    <row r="283" spans="9:21" ht="16.5" x14ac:dyDescent="0.2">
      <c r="I283" s="36">
        <v>247</v>
      </c>
      <c r="J283" s="16">
        <f t="shared" si="16"/>
        <v>1102012</v>
      </c>
      <c r="K283" s="16">
        <f t="shared" si="17"/>
        <v>4</v>
      </c>
      <c r="L283" s="16">
        <f t="shared" si="19"/>
        <v>16</v>
      </c>
      <c r="M283" s="16" t="str">
        <f t="shared" si="18"/>
        <v>红</v>
      </c>
      <c r="N283" s="16" t="str">
        <f t="shared" si="20"/>
        <v>金币</v>
      </c>
      <c r="O283" s="16">
        <f>IF(L283&gt;1,INDEX(挂机升级突破!$AI$35:$AI$55,卡牌消耗!L283),"")</f>
        <v>69000</v>
      </c>
      <c r="P283" s="16" t="str">
        <f>IF(L283&gt;1,INDEX(价值概述!$A$4:$A$8,INDEX(挂机升级突破!$W$35:$W$55,卡牌消耗!L283)),"")</f>
        <v>橙色基础材料</v>
      </c>
      <c r="Q283" s="16">
        <f>IF(L283&gt;1,INDEX(挂机升级突破!$Z$35:$AD$55,卡牌消耗!L283,INDEX(挂机升级突破!$W$35:$W$55,卡牌消耗!L283)),"")</f>
        <v>475</v>
      </c>
      <c r="R283" s="16" t="str">
        <f>IF(INDEX(挂机升级突破!$X$35:$X$55,卡牌消耗!L283)&gt;0,INDEX($G$2:$I$2,INDEX(挂机升级突破!$X$35:$X$55,卡牌消耗!L283))&amp;M283,"")</f>
        <v>高级红</v>
      </c>
      <c r="S283" s="16">
        <f>IF(R283="","",INDEX(挂机升级突破!$AE$35:$AG$55,卡牌消耗!L283,INDEX(挂机升级突破!$X$35:$X$55,卡牌消耗!L283)))</f>
        <v>70</v>
      </c>
      <c r="T283" s="16" t="str">
        <f>IF(INDEX(挂机升级突破!$Y$35:$Y$55,卡牌消耗!L283)&gt;0,"灵玉","")</f>
        <v/>
      </c>
      <c r="U283" s="16" t="str">
        <f>IF(INDEX(挂机升级突破!$Y$35:$Y$55,卡牌消耗!L283)&gt;0,INDEX(挂机升级突破!$AH$35:$AH$55,卡牌消耗!L283),"")</f>
        <v/>
      </c>
    </row>
    <row r="284" spans="9:21" ht="16.5" x14ac:dyDescent="0.2">
      <c r="I284" s="36">
        <v>248</v>
      </c>
      <c r="J284" s="16">
        <f t="shared" si="16"/>
        <v>1102012</v>
      </c>
      <c r="K284" s="16">
        <f t="shared" si="17"/>
        <v>4</v>
      </c>
      <c r="L284" s="16">
        <f t="shared" si="19"/>
        <v>17</v>
      </c>
      <c r="M284" s="16" t="str">
        <f t="shared" si="18"/>
        <v>红</v>
      </c>
      <c r="N284" s="16" t="str">
        <f t="shared" si="20"/>
        <v>金币</v>
      </c>
      <c r="O284" s="16">
        <f>IF(L284&gt;1,INDEX(挂机升级突破!$AI$35:$AI$55,卡牌消耗!L284),"")</f>
        <v>76500</v>
      </c>
      <c r="P284" s="16" t="str">
        <f>IF(L284&gt;1,INDEX(价值概述!$A$4:$A$8,INDEX(挂机升级突破!$W$35:$W$55,卡牌消耗!L284)),"")</f>
        <v>红色基础材料</v>
      </c>
      <c r="Q284" s="16">
        <f>IF(L284&gt;1,INDEX(挂机升级突破!$Z$35:$AD$55,卡牌消耗!L284,INDEX(挂机升级突破!$W$35:$W$55,卡牌消耗!L284)),"")</f>
        <v>45</v>
      </c>
      <c r="R284" s="16" t="str">
        <f>IF(INDEX(挂机升级突破!$X$35:$X$55,卡牌消耗!L284)&gt;0,INDEX($G$2:$I$2,INDEX(挂机升级突破!$X$35:$X$55,卡牌消耗!L284))&amp;M284,"")</f>
        <v>高级红</v>
      </c>
      <c r="S284" s="16">
        <f>IF(R284="","",INDEX(挂机升级突破!$AE$35:$AG$55,卡牌消耗!L284,INDEX(挂机升级突破!$X$35:$X$55,卡牌消耗!L284)))</f>
        <v>100</v>
      </c>
      <c r="T284" s="16" t="str">
        <f>IF(INDEX(挂机升级突破!$Y$35:$Y$55,卡牌消耗!L284)&gt;0,"灵玉","")</f>
        <v>灵玉</v>
      </c>
      <c r="U284" s="16">
        <f>IF(INDEX(挂机升级突破!$Y$35:$Y$55,卡牌消耗!L284)&gt;0,INDEX(挂机升级突破!$AH$35:$AH$55,卡牌消耗!L284),"")</f>
        <v>25</v>
      </c>
    </row>
    <row r="285" spans="9:21" ht="16.5" x14ac:dyDescent="0.2">
      <c r="I285" s="36">
        <v>249</v>
      </c>
      <c r="J285" s="16">
        <f t="shared" si="16"/>
        <v>1102012</v>
      </c>
      <c r="K285" s="16">
        <f t="shared" si="17"/>
        <v>4</v>
      </c>
      <c r="L285" s="16">
        <f t="shared" si="19"/>
        <v>18</v>
      </c>
      <c r="M285" s="16" t="str">
        <f t="shared" si="18"/>
        <v>红</v>
      </c>
      <c r="N285" s="16" t="str">
        <f t="shared" si="20"/>
        <v>金币</v>
      </c>
      <c r="O285" s="16">
        <f>IF(L285&gt;1,INDEX(挂机升级突破!$AI$35:$AI$55,卡牌消耗!L285),"")</f>
        <v>107000</v>
      </c>
      <c r="P285" s="16" t="str">
        <f>IF(L285&gt;1,INDEX(价值概述!$A$4:$A$8,INDEX(挂机升级突破!$W$35:$W$55,卡牌消耗!L285)),"")</f>
        <v>红色基础材料</v>
      </c>
      <c r="Q285" s="16">
        <f>IF(L285&gt;1,INDEX(挂机升级突破!$Z$35:$AD$55,卡牌消耗!L285,INDEX(挂机升级突破!$W$35:$W$55,卡牌消耗!L285)),"")</f>
        <v>65</v>
      </c>
      <c r="R285" s="16" t="str">
        <f>IF(INDEX(挂机升级突破!$X$35:$X$55,卡牌消耗!L285)&gt;0,INDEX($G$2:$I$2,INDEX(挂机升级突破!$X$35:$X$55,卡牌消耗!L285))&amp;M285,"")</f>
        <v>高级红</v>
      </c>
      <c r="S285" s="16">
        <f>IF(R285="","",INDEX(挂机升级突破!$AE$35:$AG$55,卡牌消耗!L285,INDEX(挂机升级突破!$X$35:$X$55,卡牌消耗!L285)))</f>
        <v>125</v>
      </c>
      <c r="T285" s="16" t="str">
        <f>IF(INDEX(挂机升级突破!$Y$35:$Y$55,卡牌消耗!L285)&gt;0,"灵玉","")</f>
        <v>灵玉</v>
      </c>
      <c r="U285" s="16">
        <f>IF(INDEX(挂机升级突破!$Y$35:$Y$55,卡牌消耗!L285)&gt;0,INDEX(挂机升级突破!$AH$35:$AH$55,卡牌消耗!L285),"")</f>
        <v>35</v>
      </c>
    </row>
    <row r="286" spans="9:21" ht="16.5" x14ac:dyDescent="0.2">
      <c r="I286" s="36">
        <v>250</v>
      </c>
      <c r="J286" s="16">
        <f t="shared" si="16"/>
        <v>1102012</v>
      </c>
      <c r="K286" s="16">
        <f t="shared" si="17"/>
        <v>4</v>
      </c>
      <c r="L286" s="16">
        <f t="shared" si="19"/>
        <v>19</v>
      </c>
      <c r="M286" s="16" t="str">
        <f t="shared" si="18"/>
        <v>红</v>
      </c>
      <c r="N286" s="16" t="str">
        <f t="shared" si="20"/>
        <v>金币</v>
      </c>
      <c r="O286" s="16">
        <f>IF(L286&gt;1,INDEX(挂机升级突破!$AI$35:$AI$55,卡牌消耗!L286),"")</f>
        <v>142500</v>
      </c>
      <c r="P286" s="16" t="str">
        <f>IF(L286&gt;1,INDEX(价值概述!$A$4:$A$8,INDEX(挂机升级突破!$W$35:$W$55,卡牌消耗!L286)),"")</f>
        <v>红色基础材料</v>
      </c>
      <c r="Q286" s="16">
        <f>IF(L286&gt;1,INDEX(挂机升级突破!$Z$35:$AD$55,卡牌消耗!L286,INDEX(挂机升级突破!$W$35:$W$55,卡牌消耗!L286)),"")</f>
        <v>90</v>
      </c>
      <c r="R286" s="16" t="str">
        <f>IF(INDEX(挂机升级突破!$X$35:$X$55,卡牌消耗!L286)&gt;0,INDEX($G$2:$I$2,INDEX(挂机升级突破!$X$35:$X$55,卡牌消耗!L286))&amp;M286,"")</f>
        <v>高级红</v>
      </c>
      <c r="S286" s="16">
        <f>IF(R286="","",INDEX(挂机升级突破!$AE$35:$AG$55,卡牌消耗!L286,INDEX(挂机升级突破!$X$35:$X$55,卡牌消耗!L286)))</f>
        <v>155</v>
      </c>
      <c r="T286" s="16" t="str">
        <f>IF(INDEX(挂机升级突破!$Y$35:$Y$55,卡牌消耗!L286)&gt;0,"灵玉","")</f>
        <v>灵玉</v>
      </c>
      <c r="U286" s="16">
        <f>IF(INDEX(挂机升级突破!$Y$35:$Y$55,卡牌消耗!L286)&gt;0,INDEX(挂机升级突破!$AH$35:$AH$55,卡牌消耗!L286),"")</f>
        <v>50</v>
      </c>
    </row>
    <row r="287" spans="9:21" ht="16.5" x14ac:dyDescent="0.2">
      <c r="I287" s="36">
        <v>251</v>
      </c>
      <c r="J287" s="16">
        <f t="shared" si="16"/>
        <v>1102012</v>
      </c>
      <c r="K287" s="16">
        <f t="shared" si="17"/>
        <v>4</v>
      </c>
      <c r="L287" s="16">
        <f t="shared" si="19"/>
        <v>20</v>
      </c>
      <c r="M287" s="16" t="str">
        <f t="shared" si="18"/>
        <v>红</v>
      </c>
      <c r="N287" s="16" t="str">
        <f t="shared" si="20"/>
        <v>金币</v>
      </c>
      <c r="O287" s="16">
        <f>IF(L287&gt;1,INDEX(挂机升级突破!$AI$35:$AI$55,卡牌消耗!L287),"")</f>
        <v>178500</v>
      </c>
      <c r="P287" s="16" t="str">
        <f>IF(L287&gt;1,INDEX(价值概述!$A$4:$A$8,INDEX(挂机升级突破!$W$35:$W$55,卡牌消耗!L287)),"")</f>
        <v>红色基础材料</v>
      </c>
      <c r="Q287" s="16">
        <f>IF(L287&gt;1,INDEX(挂机升级突破!$Z$35:$AD$55,卡牌消耗!L287,INDEX(挂机升级突破!$W$35:$W$55,卡牌消耗!L287)),"")</f>
        <v>110</v>
      </c>
      <c r="R287" s="16" t="str">
        <f>IF(INDEX(挂机升级突破!$X$35:$X$55,卡牌消耗!L287)&gt;0,INDEX($G$2:$I$2,INDEX(挂机升级突破!$X$35:$X$55,卡牌消耗!L287))&amp;M287,"")</f>
        <v>高级红</v>
      </c>
      <c r="S287" s="16">
        <f>IF(R287="","",INDEX(挂机升级突破!$AE$35:$AG$55,卡牌消耗!L287,INDEX(挂机升级突破!$X$35:$X$55,卡牌消耗!L287)))</f>
        <v>180</v>
      </c>
      <c r="T287" s="16" t="str">
        <f>IF(INDEX(挂机升级突破!$Y$35:$Y$55,卡牌消耗!L287)&gt;0,"灵玉","")</f>
        <v>灵玉</v>
      </c>
      <c r="U287" s="16">
        <f>IF(INDEX(挂机升级突破!$Y$35:$Y$55,卡牌消耗!L287)&gt;0,INDEX(挂机升级突破!$AH$35:$AH$55,卡牌消耗!L287),"")</f>
        <v>65</v>
      </c>
    </row>
    <row r="288" spans="9:21" ht="16.5" x14ac:dyDescent="0.2">
      <c r="I288" s="36">
        <v>252</v>
      </c>
      <c r="J288" s="16">
        <f t="shared" si="16"/>
        <v>1102012</v>
      </c>
      <c r="K288" s="16">
        <f t="shared" si="17"/>
        <v>4</v>
      </c>
      <c r="L288" s="16">
        <f t="shared" si="19"/>
        <v>21</v>
      </c>
      <c r="M288" s="16" t="str">
        <f t="shared" si="18"/>
        <v>红</v>
      </c>
      <c r="N288" s="16" t="str">
        <f t="shared" si="20"/>
        <v>金币</v>
      </c>
      <c r="O288" s="16">
        <f>IF(L288&gt;1,INDEX(挂机升级突破!$AI$35:$AI$55,卡牌消耗!L288),"")</f>
        <v>214000</v>
      </c>
      <c r="P288" s="16" t="str">
        <f>IF(L288&gt;1,INDEX(价值概述!$A$4:$A$8,INDEX(挂机升级突破!$W$35:$W$55,卡牌消耗!L288)),"")</f>
        <v>红色基础材料</v>
      </c>
      <c r="Q288" s="16">
        <f>IF(L288&gt;1,INDEX(挂机升级突破!$Z$35:$AD$55,卡牌消耗!L288,INDEX(挂机升级突破!$W$35:$W$55,卡牌消耗!L288)),"")</f>
        <v>135</v>
      </c>
      <c r="R288" s="16" t="str">
        <f>IF(INDEX(挂机升级突破!$X$35:$X$55,卡牌消耗!L288)&gt;0,INDEX($G$2:$I$2,INDEX(挂机升级突破!$X$35:$X$55,卡牌消耗!L288))&amp;M288,"")</f>
        <v>高级红</v>
      </c>
      <c r="S288" s="16">
        <f>IF(R288="","",INDEX(挂机升级突破!$AE$35:$AG$55,卡牌消耗!L288,INDEX(挂机升级突破!$X$35:$X$55,卡牌消耗!L288)))</f>
        <v>225</v>
      </c>
      <c r="T288" s="16" t="str">
        <f>IF(INDEX(挂机升级突破!$Y$35:$Y$55,卡牌消耗!L288)&gt;0,"灵玉","")</f>
        <v>灵玉</v>
      </c>
      <c r="U288" s="16">
        <f>IF(INDEX(挂机升级突破!$Y$35:$Y$55,卡牌消耗!L288)&gt;0,INDEX(挂机升级突破!$AH$35:$AH$55,卡牌消耗!L288),"")</f>
        <v>75</v>
      </c>
    </row>
    <row r="289" spans="9:21" ht="16.5" x14ac:dyDescent="0.2">
      <c r="I289" s="36">
        <v>253</v>
      </c>
      <c r="J289" s="16">
        <f t="shared" si="16"/>
        <v>1102013</v>
      </c>
      <c r="K289" s="16">
        <f t="shared" si="17"/>
        <v>2</v>
      </c>
      <c r="L289" s="16">
        <f t="shared" si="19"/>
        <v>1</v>
      </c>
      <c r="M289" s="16" t="str">
        <f t="shared" si="18"/>
        <v>蓝</v>
      </c>
      <c r="N289" s="16" t="str">
        <f t="shared" si="20"/>
        <v/>
      </c>
      <c r="O289" s="16" t="str">
        <f>IF(L289&gt;1,INDEX(挂机升级突破!$AI$35:$AI$55,卡牌消耗!L289),"")</f>
        <v/>
      </c>
      <c r="P289" s="16" t="str">
        <f>IF(L289&gt;1,INDEX(价值概述!$A$4:$A$8,INDEX(挂机升级突破!$W$35:$W$55,卡牌消耗!L289)),"")</f>
        <v/>
      </c>
      <c r="Q289" s="16" t="str">
        <f>IF(L289&gt;1,INDEX(挂机升级突破!$Z$35:$AD$55,卡牌消耗!L289,INDEX(挂机升级突破!$W$35:$W$55,卡牌消耗!L289)),"")</f>
        <v/>
      </c>
      <c r="R289" s="16" t="str">
        <f>IF(INDEX(挂机升级突破!$X$35:$X$55,卡牌消耗!L289)&gt;0,INDEX($G$2:$I$2,INDEX(挂机升级突破!$X$35:$X$55,卡牌消耗!L289))&amp;M289,"")</f>
        <v/>
      </c>
      <c r="S289" s="16" t="str">
        <f>IF(R289="","",INDEX(挂机升级突破!$AE$35:$AG$55,卡牌消耗!L289,INDEX(挂机升级突破!$X$35:$X$55,卡牌消耗!L289)))</f>
        <v/>
      </c>
      <c r="T289" s="16" t="str">
        <f>IF(INDEX(挂机升级突破!$Y$35:$Y$55,卡牌消耗!L289)&gt;0,"灵玉","")</f>
        <v/>
      </c>
      <c r="U289" s="16" t="str">
        <f>IF(INDEX(挂机升级突破!$Y$35:$Y$55,卡牌消耗!L289)&gt;0,INDEX(挂机升级突破!$AH$35:$AH$55,卡牌消耗!L289),"")</f>
        <v/>
      </c>
    </row>
    <row r="290" spans="9:21" ht="16.5" x14ac:dyDescent="0.2">
      <c r="I290" s="36">
        <v>254</v>
      </c>
      <c r="J290" s="16">
        <f t="shared" si="16"/>
        <v>1102013</v>
      </c>
      <c r="K290" s="16">
        <f t="shared" si="17"/>
        <v>2</v>
      </c>
      <c r="L290" s="16">
        <f t="shared" si="19"/>
        <v>2</v>
      </c>
      <c r="M290" s="16" t="str">
        <f t="shared" si="18"/>
        <v>蓝</v>
      </c>
      <c r="N290" s="16" t="str">
        <f t="shared" si="20"/>
        <v>金币</v>
      </c>
      <c r="O290" s="16">
        <f>IF(L290&gt;1,INDEX(挂机升级突破!$AI$35:$AI$55,卡牌消耗!L290),"")</f>
        <v>2500</v>
      </c>
      <c r="P290" s="16" t="str">
        <f>IF(L290&gt;1,INDEX(价值概述!$A$4:$A$8,INDEX(挂机升级突破!$W$35:$W$55,卡牌消耗!L290)),"")</f>
        <v>绿色基础材料</v>
      </c>
      <c r="Q290" s="16">
        <f>IF(L290&gt;1,INDEX(挂机升级突破!$Z$35:$AD$55,卡牌消耗!L290,INDEX(挂机升级突破!$W$35:$W$55,卡牌消耗!L290)),"")</f>
        <v>40</v>
      </c>
      <c r="R290" s="16" t="str">
        <f>IF(INDEX(挂机升级突破!$X$35:$X$55,卡牌消耗!L290)&gt;0,INDEX($G$2:$I$2,INDEX(挂机升级突破!$X$35:$X$55,卡牌消耗!L290))&amp;M290,"")</f>
        <v/>
      </c>
      <c r="S290" s="16" t="str">
        <f>IF(R290="","",INDEX(挂机升级突破!$AE$35:$AG$55,卡牌消耗!L290,INDEX(挂机升级突破!$X$35:$X$55,卡牌消耗!L290)))</f>
        <v/>
      </c>
      <c r="T290" s="16" t="str">
        <f>IF(INDEX(挂机升级突破!$Y$35:$Y$55,卡牌消耗!L290)&gt;0,"灵玉","")</f>
        <v/>
      </c>
      <c r="U290" s="16" t="str">
        <f>IF(INDEX(挂机升级突破!$Y$35:$Y$55,卡牌消耗!L290)&gt;0,INDEX(挂机升级突破!$AH$35:$AH$55,卡牌消耗!L290),"")</f>
        <v/>
      </c>
    </row>
    <row r="291" spans="9:21" ht="16.5" x14ac:dyDescent="0.2">
      <c r="I291" s="36">
        <v>255</v>
      </c>
      <c r="J291" s="16">
        <f t="shared" si="16"/>
        <v>1102013</v>
      </c>
      <c r="K291" s="16">
        <f t="shared" si="17"/>
        <v>2</v>
      </c>
      <c r="L291" s="16">
        <f t="shared" si="19"/>
        <v>3</v>
      </c>
      <c r="M291" s="16" t="str">
        <f t="shared" si="18"/>
        <v>蓝</v>
      </c>
      <c r="N291" s="16" t="str">
        <f t="shared" si="20"/>
        <v>金币</v>
      </c>
      <c r="O291" s="16">
        <f>IF(L291&gt;1,INDEX(挂机升级突破!$AI$35:$AI$55,卡牌消耗!L291),"")</f>
        <v>8500</v>
      </c>
      <c r="P291" s="16" t="str">
        <f>IF(L291&gt;1,INDEX(价值概述!$A$4:$A$8,INDEX(挂机升级突破!$W$35:$W$55,卡牌消耗!L291)),"")</f>
        <v>绿色基础材料</v>
      </c>
      <c r="Q291" s="16">
        <f>IF(L291&gt;1,INDEX(挂机升级突破!$Z$35:$AD$55,卡牌消耗!L291,INDEX(挂机升级突破!$W$35:$W$55,卡牌消耗!L291)),"")</f>
        <v>120</v>
      </c>
      <c r="R291" s="16" t="str">
        <f>IF(INDEX(挂机升级突破!$X$35:$X$55,卡牌消耗!L291)&gt;0,INDEX($G$2:$I$2,INDEX(挂机升级突破!$X$35:$X$55,卡牌消耗!L291))&amp;M291,"")</f>
        <v/>
      </c>
      <c r="S291" s="16" t="str">
        <f>IF(R291="","",INDEX(挂机升级突破!$AE$35:$AG$55,卡牌消耗!L291,INDEX(挂机升级突破!$X$35:$X$55,卡牌消耗!L291)))</f>
        <v/>
      </c>
      <c r="T291" s="16" t="str">
        <f>IF(INDEX(挂机升级突破!$Y$35:$Y$55,卡牌消耗!L291)&gt;0,"灵玉","")</f>
        <v/>
      </c>
      <c r="U291" s="16" t="str">
        <f>IF(INDEX(挂机升级突破!$Y$35:$Y$55,卡牌消耗!L291)&gt;0,INDEX(挂机升级突破!$AH$35:$AH$55,卡牌消耗!L291),"")</f>
        <v/>
      </c>
    </row>
    <row r="292" spans="9:21" ht="16.5" x14ac:dyDescent="0.2">
      <c r="I292" s="36">
        <v>256</v>
      </c>
      <c r="J292" s="16">
        <f t="shared" si="16"/>
        <v>1102013</v>
      </c>
      <c r="K292" s="16">
        <f t="shared" si="17"/>
        <v>2</v>
      </c>
      <c r="L292" s="16">
        <f t="shared" si="19"/>
        <v>4</v>
      </c>
      <c r="M292" s="16" t="str">
        <f t="shared" si="18"/>
        <v>蓝</v>
      </c>
      <c r="N292" s="16" t="str">
        <f t="shared" si="20"/>
        <v>金币</v>
      </c>
      <c r="O292" s="16">
        <f>IF(L292&gt;1,INDEX(挂机升级突破!$AI$35:$AI$55,卡牌消耗!L292),"")</f>
        <v>17000</v>
      </c>
      <c r="P292" s="16" t="str">
        <f>IF(L292&gt;1,INDEX(价值概述!$A$4:$A$8,INDEX(挂机升级突破!$W$35:$W$55,卡牌消耗!L292)),"")</f>
        <v>绿色基础材料</v>
      </c>
      <c r="Q292" s="16">
        <f>IF(L292&gt;1,INDEX(挂机升级突破!$Z$35:$AD$55,卡牌消耗!L292,INDEX(挂机升级突破!$W$35:$W$55,卡牌消耗!L292)),"")</f>
        <v>240</v>
      </c>
      <c r="R292" s="16" t="str">
        <f>IF(INDEX(挂机升级突破!$X$35:$X$55,卡牌消耗!L292)&gt;0,INDEX($G$2:$I$2,INDEX(挂机升级突破!$X$35:$X$55,卡牌消耗!L292))&amp;M292,"")</f>
        <v>初级蓝</v>
      </c>
      <c r="S292" s="16">
        <f>IF(R292="","",INDEX(挂机升级突破!$AE$35:$AG$55,卡牌消耗!L292,INDEX(挂机升级突破!$X$35:$X$55,卡牌消耗!L292)))</f>
        <v>130</v>
      </c>
      <c r="T292" s="16" t="str">
        <f>IF(INDEX(挂机升级突破!$Y$35:$Y$55,卡牌消耗!L292)&gt;0,"灵玉","")</f>
        <v/>
      </c>
      <c r="U292" s="16" t="str">
        <f>IF(INDEX(挂机升级突破!$Y$35:$Y$55,卡牌消耗!L292)&gt;0,INDEX(挂机升级突破!$AH$35:$AH$55,卡牌消耗!L292),"")</f>
        <v/>
      </c>
    </row>
    <row r="293" spans="9:21" ht="16.5" x14ac:dyDescent="0.2">
      <c r="I293" s="36">
        <v>257</v>
      </c>
      <c r="J293" s="16">
        <f t="shared" ref="J293:J356" si="21">INDEX($A$13:$A$33,INT((I293-1)/21)+1)</f>
        <v>1102013</v>
      </c>
      <c r="K293" s="16">
        <f t="shared" ref="K293:K356" si="22">VLOOKUP(J293,$A$13:$D$33,3)</f>
        <v>2</v>
      </c>
      <c r="L293" s="16">
        <f t="shared" si="19"/>
        <v>5</v>
      </c>
      <c r="M293" s="16" t="str">
        <f t="shared" ref="M293:M356" si="23">INDEX($J$2:$L$2,INDEX($E$13:$E$33,INT((I293-1)/21)+1))</f>
        <v>蓝</v>
      </c>
      <c r="N293" s="16" t="str">
        <f t="shared" si="20"/>
        <v>金币</v>
      </c>
      <c r="O293" s="16">
        <f>IF(L293&gt;1,INDEX(挂机升级突破!$AI$35:$AI$55,卡牌消耗!L293),"")</f>
        <v>10500</v>
      </c>
      <c r="P293" s="16" t="str">
        <f>IF(L293&gt;1,INDEX(价值概述!$A$4:$A$8,INDEX(挂机升级突破!$W$35:$W$55,卡牌消耗!L293)),"")</f>
        <v>蓝色基础材料</v>
      </c>
      <c r="Q293" s="16">
        <f>IF(L293&gt;1,INDEX(挂机升级突破!$Z$35:$AD$55,卡牌消耗!L293,INDEX(挂机升级突破!$W$35:$W$55,卡牌消耗!L293)),"")</f>
        <v>85</v>
      </c>
      <c r="R293" s="16" t="str">
        <f>IF(INDEX(挂机升级突破!$X$35:$X$55,卡牌消耗!L293)&gt;0,INDEX($G$2:$I$2,INDEX(挂机升级突破!$X$35:$X$55,卡牌消耗!L293))&amp;M293,"")</f>
        <v>初级蓝</v>
      </c>
      <c r="S293" s="16">
        <f>IF(R293="","",INDEX(挂机升级突破!$AE$35:$AG$55,卡牌消耗!L293,INDEX(挂机升级突破!$X$35:$X$55,卡牌消耗!L293)))</f>
        <v>160</v>
      </c>
      <c r="T293" s="16" t="str">
        <f>IF(INDEX(挂机升级突破!$Y$35:$Y$55,卡牌消耗!L293)&gt;0,"灵玉","")</f>
        <v/>
      </c>
      <c r="U293" s="16" t="str">
        <f>IF(INDEX(挂机升级突破!$Y$35:$Y$55,卡牌消耗!L293)&gt;0,INDEX(挂机升级突破!$AH$35:$AH$55,卡牌消耗!L293),"")</f>
        <v/>
      </c>
    </row>
    <row r="294" spans="9:21" ht="16.5" x14ac:dyDescent="0.2">
      <c r="I294" s="36">
        <v>258</v>
      </c>
      <c r="J294" s="16">
        <f t="shared" si="21"/>
        <v>1102013</v>
      </c>
      <c r="K294" s="16">
        <f t="shared" si="22"/>
        <v>2</v>
      </c>
      <c r="L294" s="16">
        <f t="shared" ref="L294:L357" si="24">MOD((I294-1),21)+1</f>
        <v>6</v>
      </c>
      <c r="M294" s="16" t="str">
        <f t="shared" si="23"/>
        <v>蓝</v>
      </c>
      <c r="N294" s="16" t="str">
        <f t="shared" ref="N294:N357" si="25">IF(L294&gt;1,"金币","")</f>
        <v>金币</v>
      </c>
      <c r="O294" s="16">
        <f>IF(L294&gt;1,INDEX(挂机升级突破!$AI$35:$AI$55,卡牌消耗!L294),"")</f>
        <v>25000</v>
      </c>
      <c r="P294" s="16" t="str">
        <f>IF(L294&gt;1,INDEX(价值概述!$A$4:$A$8,INDEX(挂机升级突破!$W$35:$W$55,卡牌消耗!L294)),"")</f>
        <v>蓝色基础材料</v>
      </c>
      <c r="Q294" s="16">
        <f>IF(L294&gt;1,INDEX(挂机升级突破!$Z$35:$AD$55,卡牌消耗!L294,INDEX(挂机升级突破!$W$35:$W$55,卡牌消耗!L294)),"")</f>
        <v>145</v>
      </c>
      <c r="R294" s="16" t="str">
        <f>IF(INDEX(挂机升级突破!$X$35:$X$55,卡牌消耗!L294)&gt;0,INDEX($G$2:$I$2,INDEX(挂机升级突破!$X$35:$X$55,卡牌消耗!L294))&amp;M294,"")</f>
        <v>初级蓝</v>
      </c>
      <c r="S294" s="16">
        <f>IF(R294="","",INDEX(挂机升级突破!$AE$35:$AG$55,卡牌消耗!L294,INDEX(挂机升级突破!$X$35:$X$55,卡牌消耗!L294)))</f>
        <v>175</v>
      </c>
      <c r="T294" s="16" t="str">
        <f>IF(INDEX(挂机升级突破!$Y$35:$Y$55,卡牌消耗!L294)&gt;0,"灵玉","")</f>
        <v/>
      </c>
      <c r="U294" s="16" t="str">
        <f>IF(INDEX(挂机升级突破!$Y$35:$Y$55,卡牌消耗!L294)&gt;0,INDEX(挂机升级突破!$AH$35:$AH$55,卡牌消耗!L294),"")</f>
        <v/>
      </c>
    </row>
    <row r="295" spans="9:21" ht="16.5" x14ac:dyDescent="0.2">
      <c r="I295" s="36">
        <v>259</v>
      </c>
      <c r="J295" s="16">
        <f t="shared" si="21"/>
        <v>1102013</v>
      </c>
      <c r="K295" s="16">
        <f t="shared" si="22"/>
        <v>2</v>
      </c>
      <c r="L295" s="16">
        <f t="shared" si="24"/>
        <v>7</v>
      </c>
      <c r="M295" s="16" t="str">
        <f t="shared" si="23"/>
        <v>蓝</v>
      </c>
      <c r="N295" s="16" t="str">
        <f t="shared" si="25"/>
        <v>金币</v>
      </c>
      <c r="O295" s="16">
        <f>IF(L295&gt;1,INDEX(挂机升级突破!$AI$35:$AI$55,卡牌消耗!L295),"")</f>
        <v>28000</v>
      </c>
      <c r="P295" s="16" t="str">
        <f>IF(L295&gt;1,INDEX(价值概述!$A$4:$A$8,INDEX(挂机升级突破!$W$35:$W$55,卡牌消耗!L295)),"")</f>
        <v>蓝色基础材料</v>
      </c>
      <c r="Q295" s="16">
        <f>IF(L295&gt;1,INDEX(挂机升级突破!$Z$35:$AD$55,卡牌消耗!L295,INDEX(挂机升级突破!$W$35:$W$55,卡牌消耗!L295)),"")</f>
        <v>185</v>
      </c>
      <c r="R295" s="16" t="str">
        <f>IF(INDEX(挂机升级突破!$X$35:$X$55,卡牌消耗!L295)&gt;0,INDEX($G$2:$I$2,INDEX(挂机升级突破!$X$35:$X$55,卡牌消耗!L295))&amp;M295,"")</f>
        <v>初级蓝</v>
      </c>
      <c r="S295" s="16">
        <f>IF(R295="","",INDEX(挂机升级突破!$AE$35:$AG$55,卡牌消耗!L295,INDEX(挂机升级突破!$X$35:$X$55,卡牌消耗!L295)))</f>
        <v>190</v>
      </c>
      <c r="T295" s="16" t="str">
        <f>IF(INDEX(挂机升级突破!$Y$35:$Y$55,卡牌消耗!L295)&gt;0,"灵玉","")</f>
        <v/>
      </c>
      <c r="U295" s="16" t="str">
        <f>IF(INDEX(挂机升级突破!$Y$35:$Y$55,卡牌消耗!L295)&gt;0,INDEX(挂机升级突破!$AH$35:$AH$55,卡牌消耗!L295),"")</f>
        <v/>
      </c>
    </row>
    <row r="296" spans="9:21" ht="16.5" x14ac:dyDescent="0.2">
      <c r="I296" s="36">
        <v>260</v>
      </c>
      <c r="J296" s="16">
        <f t="shared" si="21"/>
        <v>1102013</v>
      </c>
      <c r="K296" s="16">
        <f t="shared" si="22"/>
        <v>2</v>
      </c>
      <c r="L296" s="16">
        <f t="shared" si="24"/>
        <v>8</v>
      </c>
      <c r="M296" s="16" t="str">
        <f t="shared" si="23"/>
        <v>蓝</v>
      </c>
      <c r="N296" s="16" t="str">
        <f t="shared" si="25"/>
        <v>金币</v>
      </c>
      <c r="O296" s="16">
        <f>IF(L296&gt;1,INDEX(挂机升级突破!$AI$35:$AI$55,卡牌消耗!L296),"")</f>
        <v>31000</v>
      </c>
      <c r="P296" s="16" t="str">
        <f>IF(L296&gt;1,INDEX(价值概述!$A$4:$A$8,INDEX(挂机升级突破!$W$35:$W$55,卡牌消耗!L296)),"")</f>
        <v>蓝色基础材料</v>
      </c>
      <c r="Q296" s="16">
        <f>IF(L296&gt;1,INDEX(挂机升级突破!$Z$35:$AD$55,卡牌消耗!L296,INDEX(挂机升级突破!$W$35:$W$55,卡牌消耗!L296)),"")</f>
        <v>220</v>
      </c>
      <c r="R296" s="16" t="str">
        <f>IF(INDEX(挂机升级突破!$X$35:$X$55,卡牌消耗!L296)&gt;0,INDEX($G$2:$I$2,INDEX(挂机升级突破!$X$35:$X$55,卡牌消耗!L296))&amp;M296,"")</f>
        <v>初级蓝</v>
      </c>
      <c r="S296" s="16">
        <f>IF(R296="","",INDEX(挂机升级突破!$AE$35:$AG$55,卡牌消耗!L296,INDEX(挂机升级突破!$X$35:$X$55,卡牌消耗!L296)))</f>
        <v>200</v>
      </c>
      <c r="T296" s="16" t="str">
        <f>IF(INDEX(挂机升级突破!$Y$35:$Y$55,卡牌消耗!L296)&gt;0,"灵玉","")</f>
        <v/>
      </c>
      <c r="U296" s="16" t="str">
        <f>IF(INDEX(挂机升级突破!$Y$35:$Y$55,卡牌消耗!L296)&gt;0,INDEX(挂机升级突破!$AH$35:$AH$55,卡牌消耗!L296),"")</f>
        <v/>
      </c>
    </row>
    <row r="297" spans="9:21" ht="16.5" x14ac:dyDescent="0.2">
      <c r="I297" s="36">
        <v>261</v>
      </c>
      <c r="J297" s="16">
        <f t="shared" si="21"/>
        <v>1102013</v>
      </c>
      <c r="K297" s="16">
        <f t="shared" si="22"/>
        <v>2</v>
      </c>
      <c r="L297" s="16">
        <f t="shared" si="24"/>
        <v>9</v>
      </c>
      <c r="M297" s="16" t="str">
        <f t="shared" si="23"/>
        <v>蓝</v>
      </c>
      <c r="N297" s="16" t="str">
        <f t="shared" si="25"/>
        <v>金币</v>
      </c>
      <c r="O297" s="16">
        <f>IF(L297&gt;1,INDEX(挂机升级突破!$AI$35:$AI$55,卡牌消耗!L297),"")</f>
        <v>24000</v>
      </c>
      <c r="P297" s="16" t="str">
        <f>IF(L297&gt;1,INDEX(价值概述!$A$4:$A$8,INDEX(挂机升级突破!$W$35:$W$55,卡牌消耗!L297)),"")</f>
        <v>紫色基础材料</v>
      </c>
      <c r="Q297" s="16">
        <f>IF(L297&gt;1,INDEX(挂机升级突破!$Z$35:$AD$55,卡牌消耗!L297,INDEX(挂机升级突破!$W$35:$W$55,卡牌消耗!L297)),"")</f>
        <v>95</v>
      </c>
      <c r="R297" s="16" t="str">
        <f>IF(INDEX(挂机升级突破!$X$35:$X$55,卡牌消耗!L297)&gt;0,INDEX($G$2:$I$2,INDEX(挂机升级突破!$X$35:$X$55,卡牌消耗!L297))&amp;M297,"")</f>
        <v>中级蓝</v>
      </c>
      <c r="S297" s="16">
        <f>IF(R297="","",INDEX(挂机升级突破!$AE$35:$AG$55,卡牌消耗!L297,INDEX(挂机升级突破!$X$35:$X$55,卡牌消耗!L297)))</f>
        <v>80</v>
      </c>
      <c r="T297" s="16" t="str">
        <f>IF(INDEX(挂机升级突破!$Y$35:$Y$55,卡牌消耗!L297)&gt;0,"灵玉","")</f>
        <v/>
      </c>
      <c r="U297" s="16" t="str">
        <f>IF(INDEX(挂机升级突破!$Y$35:$Y$55,卡牌消耗!L297)&gt;0,INDEX(挂机升级突破!$AH$35:$AH$55,卡牌消耗!L297),"")</f>
        <v/>
      </c>
    </row>
    <row r="298" spans="9:21" ht="16.5" x14ac:dyDescent="0.2">
      <c r="I298" s="36">
        <v>262</v>
      </c>
      <c r="J298" s="16">
        <f t="shared" si="21"/>
        <v>1102013</v>
      </c>
      <c r="K298" s="16">
        <f t="shared" si="22"/>
        <v>2</v>
      </c>
      <c r="L298" s="16">
        <f t="shared" si="24"/>
        <v>10</v>
      </c>
      <c r="M298" s="16" t="str">
        <f t="shared" si="23"/>
        <v>蓝</v>
      </c>
      <c r="N298" s="16" t="str">
        <f t="shared" si="25"/>
        <v>金币</v>
      </c>
      <c r="O298" s="16">
        <f>IF(L298&gt;1,INDEX(挂机升级突破!$AI$35:$AI$55,卡牌消耗!L298),"")</f>
        <v>26500</v>
      </c>
      <c r="P298" s="16" t="str">
        <f>IF(L298&gt;1,INDEX(价值概述!$A$4:$A$8,INDEX(挂机升级突破!$W$35:$W$55,卡牌消耗!L298)),"")</f>
        <v>紫色基础材料</v>
      </c>
      <c r="Q298" s="16">
        <f>IF(L298&gt;1,INDEX(挂机升级突破!$Z$35:$AD$55,卡牌消耗!L298,INDEX(挂机升级突破!$W$35:$W$55,卡牌消耗!L298)),"")</f>
        <v>175</v>
      </c>
      <c r="R298" s="16" t="str">
        <f>IF(INDEX(挂机升级突破!$X$35:$X$55,卡牌消耗!L298)&gt;0,INDEX($G$2:$I$2,INDEX(挂机升级突破!$X$35:$X$55,卡牌消耗!L298))&amp;M298,"")</f>
        <v>中级蓝</v>
      </c>
      <c r="S298" s="16">
        <f>IF(R298="","",INDEX(挂机升级突破!$AE$35:$AG$55,卡牌消耗!L298,INDEX(挂机升级突破!$X$35:$X$55,卡牌消耗!L298)))</f>
        <v>120</v>
      </c>
      <c r="T298" s="16" t="str">
        <f>IF(INDEX(挂机升级突破!$Y$35:$Y$55,卡牌消耗!L298)&gt;0,"灵玉","")</f>
        <v/>
      </c>
      <c r="U298" s="16" t="str">
        <f>IF(INDEX(挂机升级突破!$Y$35:$Y$55,卡牌消耗!L298)&gt;0,INDEX(挂机升级突破!$AH$35:$AH$55,卡牌消耗!L298),"")</f>
        <v/>
      </c>
    </row>
    <row r="299" spans="9:21" ht="16.5" x14ac:dyDescent="0.2">
      <c r="I299" s="36">
        <v>263</v>
      </c>
      <c r="J299" s="16">
        <f t="shared" si="21"/>
        <v>1102013</v>
      </c>
      <c r="K299" s="16">
        <f t="shared" si="22"/>
        <v>2</v>
      </c>
      <c r="L299" s="16">
        <f t="shared" si="24"/>
        <v>11</v>
      </c>
      <c r="M299" s="16" t="str">
        <f t="shared" si="23"/>
        <v>蓝</v>
      </c>
      <c r="N299" s="16" t="str">
        <f t="shared" si="25"/>
        <v>金币</v>
      </c>
      <c r="O299" s="16">
        <f>IF(L299&gt;1,INDEX(挂机升级突破!$AI$35:$AI$55,卡牌消耗!L299),"")</f>
        <v>28500</v>
      </c>
      <c r="P299" s="16" t="str">
        <f>IF(L299&gt;1,INDEX(价值概述!$A$4:$A$8,INDEX(挂机升级突破!$W$35:$W$55,卡牌消耗!L299)),"")</f>
        <v>紫色基础材料</v>
      </c>
      <c r="Q299" s="16">
        <f>IF(L299&gt;1,INDEX(挂机升级突破!$Z$35:$AD$55,卡牌消耗!L299,INDEX(挂机升级突破!$W$35:$W$55,卡牌消耗!L299)),"")</f>
        <v>245</v>
      </c>
      <c r="R299" s="16" t="str">
        <f>IF(INDEX(挂机升级突破!$X$35:$X$55,卡牌消耗!L299)&gt;0,INDEX($G$2:$I$2,INDEX(挂机升级突破!$X$35:$X$55,卡牌消耗!L299))&amp;M299,"")</f>
        <v>中级蓝</v>
      </c>
      <c r="S299" s="16">
        <f>IF(R299="","",INDEX(挂机升级突破!$AE$35:$AG$55,卡牌消耗!L299,INDEX(挂机升级突破!$X$35:$X$55,卡牌消耗!L299)))</f>
        <v>170</v>
      </c>
      <c r="T299" s="16" t="str">
        <f>IF(INDEX(挂机升级突破!$Y$35:$Y$55,卡牌消耗!L299)&gt;0,"灵玉","")</f>
        <v/>
      </c>
      <c r="U299" s="16" t="str">
        <f>IF(INDEX(挂机升级突破!$Y$35:$Y$55,卡牌消耗!L299)&gt;0,INDEX(挂机升级突破!$AH$35:$AH$55,卡牌消耗!L299),"")</f>
        <v/>
      </c>
    </row>
    <row r="300" spans="9:21" ht="16.5" x14ac:dyDescent="0.2">
      <c r="I300" s="36">
        <v>264</v>
      </c>
      <c r="J300" s="16">
        <f t="shared" si="21"/>
        <v>1102013</v>
      </c>
      <c r="K300" s="16">
        <f t="shared" si="22"/>
        <v>2</v>
      </c>
      <c r="L300" s="16">
        <f t="shared" si="24"/>
        <v>12</v>
      </c>
      <c r="M300" s="16" t="str">
        <f t="shared" si="23"/>
        <v>蓝</v>
      </c>
      <c r="N300" s="16" t="str">
        <f t="shared" si="25"/>
        <v>金币</v>
      </c>
      <c r="O300" s="16">
        <f>IF(L300&gt;1,INDEX(挂机升级突破!$AI$35:$AI$55,卡牌消耗!L300),"")</f>
        <v>30500</v>
      </c>
      <c r="P300" s="16" t="str">
        <f>IF(L300&gt;1,INDEX(价值概述!$A$4:$A$8,INDEX(挂机升级突破!$W$35:$W$55,卡牌消耗!L300)),"")</f>
        <v>紫色基础材料</v>
      </c>
      <c r="Q300" s="16">
        <f>IF(L300&gt;1,INDEX(挂机升级突破!$Z$35:$AD$55,卡牌消耗!L300,INDEX(挂机升级突破!$W$35:$W$55,卡牌消耗!L300)),"")</f>
        <v>305</v>
      </c>
      <c r="R300" s="16" t="str">
        <f>IF(INDEX(挂机升级突破!$X$35:$X$55,卡牌消耗!L300)&gt;0,INDEX($G$2:$I$2,INDEX(挂机升级突破!$X$35:$X$55,卡牌消耗!L300))&amp;M300,"")</f>
        <v>中级蓝</v>
      </c>
      <c r="S300" s="16">
        <f>IF(R300="","",INDEX(挂机升级突破!$AE$35:$AG$55,卡牌消耗!L300,INDEX(挂机升级突破!$X$35:$X$55,卡牌消耗!L300)))</f>
        <v>200</v>
      </c>
      <c r="T300" s="16" t="str">
        <f>IF(INDEX(挂机升级突破!$Y$35:$Y$55,卡牌消耗!L300)&gt;0,"灵玉","")</f>
        <v/>
      </c>
      <c r="U300" s="16" t="str">
        <f>IF(INDEX(挂机升级突破!$Y$35:$Y$55,卡牌消耗!L300)&gt;0,INDEX(挂机升级突破!$AH$35:$AH$55,卡牌消耗!L300),"")</f>
        <v/>
      </c>
    </row>
    <row r="301" spans="9:21" ht="16.5" x14ac:dyDescent="0.2">
      <c r="I301" s="36">
        <v>265</v>
      </c>
      <c r="J301" s="16">
        <f t="shared" si="21"/>
        <v>1102013</v>
      </c>
      <c r="K301" s="16">
        <f t="shared" si="22"/>
        <v>2</v>
      </c>
      <c r="L301" s="16">
        <f t="shared" si="24"/>
        <v>13</v>
      </c>
      <c r="M301" s="16" t="str">
        <f t="shared" si="23"/>
        <v>蓝</v>
      </c>
      <c r="N301" s="16" t="str">
        <f t="shared" si="25"/>
        <v>金币</v>
      </c>
      <c r="O301" s="16">
        <f>IF(L301&gt;1,INDEX(挂机升级突破!$AI$35:$AI$55,卡牌消耗!L301),"")</f>
        <v>38500</v>
      </c>
      <c r="P301" s="16" t="str">
        <f>IF(L301&gt;1,INDEX(价值概述!$A$4:$A$8,INDEX(挂机升级突破!$W$35:$W$55,卡牌消耗!L301)),"")</f>
        <v>橙色基础材料</v>
      </c>
      <c r="Q301" s="16">
        <f>IF(L301&gt;1,INDEX(挂机升级突破!$Z$35:$AD$55,卡牌消耗!L301,INDEX(挂机升级突破!$W$35:$W$55,卡牌消耗!L301)),"")</f>
        <v>115</v>
      </c>
      <c r="R301" s="16" t="str">
        <f>IF(INDEX(挂机升级突破!$X$35:$X$55,卡牌消耗!L301)&gt;0,INDEX($G$2:$I$2,INDEX(挂机升级突破!$X$35:$X$55,卡牌消耗!L301))&amp;M301,"")</f>
        <v>中级蓝</v>
      </c>
      <c r="S301" s="16">
        <f>IF(R301="","",INDEX(挂机升级突破!$AE$35:$AG$55,卡牌消耗!L301,INDEX(挂机升级突破!$X$35:$X$55,卡牌消耗!L301)))</f>
        <v>225</v>
      </c>
      <c r="T301" s="16" t="str">
        <f>IF(INDEX(挂机升级突破!$Y$35:$Y$55,卡牌消耗!L301)&gt;0,"灵玉","")</f>
        <v/>
      </c>
      <c r="U301" s="16" t="str">
        <f>IF(INDEX(挂机升级突破!$Y$35:$Y$55,卡牌消耗!L301)&gt;0,INDEX(挂机升级突破!$AH$35:$AH$55,卡牌消耗!L301),"")</f>
        <v/>
      </c>
    </row>
    <row r="302" spans="9:21" ht="16.5" x14ac:dyDescent="0.2">
      <c r="I302" s="36">
        <v>266</v>
      </c>
      <c r="J302" s="16">
        <f t="shared" si="21"/>
        <v>1102013</v>
      </c>
      <c r="K302" s="16">
        <f t="shared" si="22"/>
        <v>2</v>
      </c>
      <c r="L302" s="16">
        <f t="shared" si="24"/>
        <v>14</v>
      </c>
      <c r="M302" s="16" t="str">
        <f t="shared" si="23"/>
        <v>蓝</v>
      </c>
      <c r="N302" s="16" t="str">
        <f t="shared" si="25"/>
        <v>金币</v>
      </c>
      <c r="O302" s="16">
        <f>IF(L302&gt;1,INDEX(挂机升级突破!$AI$35:$AI$55,卡牌消耗!L302),"")</f>
        <v>51000</v>
      </c>
      <c r="P302" s="16" t="str">
        <f>IF(L302&gt;1,INDEX(价值概述!$A$4:$A$8,INDEX(挂机升级突破!$W$35:$W$55,卡牌消耗!L302)),"")</f>
        <v>橙色基础材料</v>
      </c>
      <c r="Q302" s="16">
        <f>IF(L302&gt;1,INDEX(挂机升级突破!$Z$35:$AD$55,卡牌消耗!L302,INDEX(挂机升级突破!$W$35:$W$55,卡牌消耗!L302)),"")</f>
        <v>235</v>
      </c>
      <c r="R302" s="16" t="str">
        <f>IF(INDEX(挂机升级突破!$X$35:$X$55,卡牌消耗!L302)&gt;0,INDEX($G$2:$I$2,INDEX(挂机升级突破!$X$35:$X$55,卡牌消耗!L302))&amp;M302,"")</f>
        <v>中级蓝</v>
      </c>
      <c r="S302" s="16">
        <f>IF(R302="","",INDEX(挂机升级突破!$AE$35:$AG$55,卡牌消耗!L302,INDEX(挂机升级突破!$X$35:$X$55,卡牌消耗!L302)))</f>
        <v>265</v>
      </c>
      <c r="T302" s="16" t="str">
        <f>IF(INDEX(挂机升级突破!$Y$35:$Y$55,卡牌消耗!L302)&gt;0,"灵玉","")</f>
        <v/>
      </c>
      <c r="U302" s="16" t="str">
        <f>IF(INDEX(挂机升级突破!$Y$35:$Y$55,卡牌消耗!L302)&gt;0,INDEX(挂机升级突破!$AH$35:$AH$55,卡牌消耗!L302),"")</f>
        <v/>
      </c>
    </row>
    <row r="303" spans="9:21" ht="16.5" x14ac:dyDescent="0.2">
      <c r="I303" s="36">
        <v>267</v>
      </c>
      <c r="J303" s="16">
        <f t="shared" si="21"/>
        <v>1102013</v>
      </c>
      <c r="K303" s="16">
        <f t="shared" si="22"/>
        <v>2</v>
      </c>
      <c r="L303" s="16">
        <f t="shared" si="24"/>
        <v>15</v>
      </c>
      <c r="M303" s="16" t="str">
        <f t="shared" si="23"/>
        <v>蓝</v>
      </c>
      <c r="N303" s="16" t="str">
        <f t="shared" si="25"/>
        <v>金币</v>
      </c>
      <c r="O303" s="16">
        <f>IF(L303&gt;1,INDEX(挂机升级突破!$AI$35:$AI$55,卡牌消耗!L303),"")</f>
        <v>60000</v>
      </c>
      <c r="P303" s="16" t="str">
        <f>IF(L303&gt;1,INDEX(价值概述!$A$4:$A$8,INDEX(挂机升级突破!$W$35:$W$55,卡牌消耗!L303)),"")</f>
        <v>橙色基础材料</v>
      </c>
      <c r="Q303" s="16">
        <f>IF(L303&gt;1,INDEX(挂机升级突破!$Z$35:$AD$55,卡牌消耗!L303,INDEX(挂机升级突破!$W$35:$W$55,卡牌消耗!L303)),"")</f>
        <v>355</v>
      </c>
      <c r="R303" s="16" t="str">
        <f>IF(INDEX(挂机升级突破!$X$35:$X$55,卡牌消耗!L303)&gt;0,INDEX($G$2:$I$2,INDEX(挂机升级突破!$X$35:$X$55,卡牌消耗!L303))&amp;M303,"")</f>
        <v>高级蓝</v>
      </c>
      <c r="S303" s="16">
        <f>IF(R303="","",INDEX(挂机升级突破!$AE$35:$AG$55,卡牌消耗!L303,INDEX(挂机升级突破!$X$35:$X$55,卡牌消耗!L303)))</f>
        <v>45</v>
      </c>
      <c r="T303" s="16" t="str">
        <f>IF(INDEX(挂机升级突破!$Y$35:$Y$55,卡牌消耗!L303)&gt;0,"灵玉","")</f>
        <v/>
      </c>
      <c r="U303" s="16" t="str">
        <f>IF(INDEX(挂机升级突破!$Y$35:$Y$55,卡牌消耗!L303)&gt;0,INDEX(挂机升级突破!$AH$35:$AH$55,卡牌消耗!L303),"")</f>
        <v/>
      </c>
    </row>
    <row r="304" spans="9:21" ht="16.5" x14ac:dyDescent="0.2">
      <c r="I304" s="36">
        <v>268</v>
      </c>
      <c r="J304" s="16">
        <f t="shared" si="21"/>
        <v>1102013</v>
      </c>
      <c r="K304" s="16">
        <f t="shared" si="22"/>
        <v>2</v>
      </c>
      <c r="L304" s="16">
        <f t="shared" si="24"/>
        <v>16</v>
      </c>
      <c r="M304" s="16" t="str">
        <f t="shared" si="23"/>
        <v>蓝</v>
      </c>
      <c r="N304" s="16" t="str">
        <f t="shared" si="25"/>
        <v>金币</v>
      </c>
      <c r="O304" s="16">
        <f>IF(L304&gt;1,INDEX(挂机升级突破!$AI$35:$AI$55,卡牌消耗!L304),"")</f>
        <v>69000</v>
      </c>
      <c r="P304" s="16" t="str">
        <f>IF(L304&gt;1,INDEX(价值概述!$A$4:$A$8,INDEX(挂机升级突破!$W$35:$W$55,卡牌消耗!L304)),"")</f>
        <v>橙色基础材料</v>
      </c>
      <c r="Q304" s="16">
        <f>IF(L304&gt;1,INDEX(挂机升级突破!$Z$35:$AD$55,卡牌消耗!L304,INDEX(挂机升级突破!$W$35:$W$55,卡牌消耗!L304)),"")</f>
        <v>475</v>
      </c>
      <c r="R304" s="16" t="str">
        <f>IF(INDEX(挂机升级突破!$X$35:$X$55,卡牌消耗!L304)&gt;0,INDEX($G$2:$I$2,INDEX(挂机升级突破!$X$35:$X$55,卡牌消耗!L304))&amp;M304,"")</f>
        <v>高级蓝</v>
      </c>
      <c r="S304" s="16">
        <f>IF(R304="","",INDEX(挂机升级突破!$AE$35:$AG$55,卡牌消耗!L304,INDEX(挂机升级突破!$X$35:$X$55,卡牌消耗!L304)))</f>
        <v>70</v>
      </c>
      <c r="T304" s="16" t="str">
        <f>IF(INDEX(挂机升级突破!$Y$35:$Y$55,卡牌消耗!L304)&gt;0,"灵玉","")</f>
        <v/>
      </c>
      <c r="U304" s="16" t="str">
        <f>IF(INDEX(挂机升级突破!$Y$35:$Y$55,卡牌消耗!L304)&gt;0,INDEX(挂机升级突破!$AH$35:$AH$55,卡牌消耗!L304),"")</f>
        <v/>
      </c>
    </row>
    <row r="305" spans="9:21" ht="16.5" x14ac:dyDescent="0.2">
      <c r="I305" s="36">
        <v>269</v>
      </c>
      <c r="J305" s="16">
        <f t="shared" si="21"/>
        <v>1102013</v>
      </c>
      <c r="K305" s="16">
        <f t="shared" si="22"/>
        <v>2</v>
      </c>
      <c r="L305" s="16">
        <f t="shared" si="24"/>
        <v>17</v>
      </c>
      <c r="M305" s="16" t="str">
        <f t="shared" si="23"/>
        <v>蓝</v>
      </c>
      <c r="N305" s="16" t="str">
        <f t="shared" si="25"/>
        <v>金币</v>
      </c>
      <c r="O305" s="16">
        <f>IF(L305&gt;1,INDEX(挂机升级突破!$AI$35:$AI$55,卡牌消耗!L305),"")</f>
        <v>76500</v>
      </c>
      <c r="P305" s="16" t="str">
        <f>IF(L305&gt;1,INDEX(价值概述!$A$4:$A$8,INDEX(挂机升级突破!$W$35:$W$55,卡牌消耗!L305)),"")</f>
        <v>红色基础材料</v>
      </c>
      <c r="Q305" s="16">
        <f>IF(L305&gt;1,INDEX(挂机升级突破!$Z$35:$AD$55,卡牌消耗!L305,INDEX(挂机升级突破!$W$35:$W$55,卡牌消耗!L305)),"")</f>
        <v>45</v>
      </c>
      <c r="R305" s="16" t="str">
        <f>IF(INDEX(挂机升级突破!$X$35:$X$55,卡牌消耗!L305)&gt;0,INDEX($G$2:$I$2,INDEX(挂机升级突破!$X$35:$X$55,卡牌消耗!L305))&amp;M305,"")</f>
        <v>高级蓝</v>
      </c>
      <c r="S305" s="16">
        <f>IF(R305="","",INDEX(挂机升级突破!$AE$35:$AG$55,卡牌消耗!L305,INDEX(挂机升级突破!$X$35:$X$55,卡牌消耗!L305)))</f>
        <v>100</v>
      </c>
      <c r="T305" s="16" t="str">
        <f>IF(INDEX(挂机升级突破!$Y$35:$Y$55,卡牌消耗!L305)&gt;0,"灵玉","")</f>
        <v>灵玉</v>
      </c>
      <c r="U305" s="16">
        <f>IF(INDEX(挂机升级突破!$Y$35:$Y$55,卡牌消耗!L305)&gt;0,INDEX(挂机升级突破!$AH$35:$AH$55,卡牌消耗!L305),"")</f>
        <v>25</v>
      </c>
    </row>
    <row r="306" spans="9:21" ht="16.5" x14ac:dyDescent="0.2">
      <c r="I306" s="36">
        <v>270</v>
      </c>
      <c r="J306" s="16">
        <f t="shared" si="21"/>
        <v>1102013</v>
      </c>
      <c r="K306" s="16">
        <f t="shared" si="22"/>
        <v>2</v>
      </c>
      <c r="L306" s="16">
        <f t="shared" si="24"/>
        <v>18</v>
      </c>
      <c r="M306" s="16" t="str">
        <f t="shared" si="23"/>
        <v>蓝</v>
      </c>
      <c r="N306" s="16" t="str">
        <f t="shared" si="25"/>
        <v>金币</v>
      </c>
      <c r="O306" s="16">
        <f>IF(L306&gt;1,INDEX(挂机升级突破!$AI$35:$AI$55,卡牌消耗!L306),"")</f>
        <v>107000</v>
      </c>
      <c r="P306" s="16" t="str">
        <f>IF(L306&gt;1,INDEX(价值概述!$A$4:$A$8,INDEX(挂机升级突破!$W$35:$W$55,卡牌消耗!L306)),"")</f>
        <v>红色基础材料</v>
      </c>
      <c r="Q306" s="16">
        <f>IF(L306&gt;1,INDEX(挂机升级突破!$Z$35:$AD$55,卡牌消耗!L306,INDEX(挂机升级突破!$W$35:$W$55,卡牌消耗!L306)),"")</f>
        <v>65</v>
      </c>
      <c r="R306" s="16" t="str">
        <f>IF(INDEX(挂机升级突破!$X$35:$X$55,卡牌消耗!L306)&gt;0,INDEX($G$2:$I$2,INDEX(挂机升级突破!$X$35:$X$55,卡牌消耗!L306))&amp;M306,"")</f>
        <v>高级蓝</v>
      </c>
      <c r="S306" s="16">
        <f>IF(R306="","",INDEX(挂机升级突破!$AE$35:$AG$55,卡牌消耗!L306,INDEX(挂机升级突破!$X$35:$X$55,卡牌消耗!L306)))</f>
        <v>125</v>
      </c>
      <c r="T306" s="16" t="str">
        <f>IF(INDEX(挂机升级突破!$Y$35:$Y$55,卡牌消耗!L306)&gt;0,"灵玉","")</f>
        <v>灵玉</v>
      </c>
      <c r="U306" s="16">
        <f>IF(INDEX(挂机升级突破!$Y$35:$Y$55,卡牌消耗!L306)&gt;0,INDEX(挂机升级突破!$AH$35:$AH$55,卡牌消耗!L306),"")</f>
        <v>35</v>
      </c>
    </row>
    <row r="307" spans="9:21" ht="16.5" x14ac:dyDescent="0.2">
      <c r="I307" s="36">
        <v>271</v>
      </c>
      <c r="J307" s="16">
        <f t="shared" si="21"/>
        <v>1102013</v>
      </c>
      <c r="K307" s="16">
        <f t="shared" si="22"/>
        <v>2</v>
      </c>
      <c r="L307" s="16">
        <f t="shared" si="24"/>
        <v>19</v>
      </c>
      <c r="M307" s="16" t="str">
        <f t="shared" si="23"/>
        <v>蓝</v>
      </c>
      <c r="N307" s="16" t="str">
        <f t="shared" si="25"/>
        <v>金币</v>
      </c>
      <c r="O307" s="16">
        <f>IF(L307&gt;1,INDEX(挂机升级突破!$AI$35:$AI$55,卡牌消耗!L307),"")</f>
        <v>142500</v>
      </c>
      <c r="P307" s="16" t="str">
        <f>IF(L307&gt;1,INDEX(价值概述!$A$4:$A$8,INDEX(挂机升级突破!$W$35:$W$55,卡牌消耗!L307)),"")</f>
        <v>红色基础材料</v>
      </c>
      <c r="Q307" s="16">
        <f>IF(L307&gt;1,INDEX(挂机升级突破!$Z$35:$AD$55,卡牌消耗!L307,INDEX(挂机升级突破!$W$35:$W$55,卡牌消耗!L307)),"")</f>
        <v>90</v>
      </c>
      <c r="R307" s="16" t="str">
        <f>IF(INDEX(挂机升级突破!$X$35:$X$55,卡牌消耗!L307)&gt;0,INDEX($G$2:$I$2,INDEX(挂机升级突破!$X$35:$X$55,卡牌消耗!L307))&amp;M307,"")</f>
        <v>高级蓝</v>
      </c>
      <c r="S307" s="16">
        <f>IF(R307="","",INDEX(挂机升级突破!$AE$35:$AG$55,卡牌消耗!L307,INDEX(挂机升级突破!$X$35:$X$55,卡牌消耗!L307)))</f>
        <v>155</v>
      </c>
      <c r="T307" s="16" t="str">
        <f>IF(INDEX(挂机升级突破!$Y$35:$Y$55,卡牌消耗!L307)&gt;0,"灵玉","")</f>
        <v>灵玉</v>
      </c>
      <c r="U307" s="16">
        <f>IF(INDEX(挂机升级突破!$Y$35:$Y$55,卡牌消耗!L307)&gt;0,INDEX(挂机升级突破!$AH$35:$AH$55,卡牌消耗!L307),"")</f>
        <v>50</v>
      </c>
    </row>
    <row r="308" spans="9:21" ht="16.5" x14ac:dyDescent="0.2">
      <c r="I308" s="36">
        <v>272</v>
      </c>
      <c r="J308" s="16">
        <f t="shared" si="21"/>
        <v>1102013</v>
      </c>
      <c r="K308" s="16">
        <f t="shared" si="22"/>
        <v>2</v>
      </c>
      <c r="L308" s="16">
        <f t="shared" si="24"/>
        <v>20</v>
      </c>
      <c r="M308" s="16" t="str">
        <f t="shared" si="23"/>
        <v>蓝</v>
      </c>
      <c r="N308" s="16" t="str">
        <f t="shared" si="25"/>
        <v>金币</v>
      </c>
      <c r="O308" s="16">
        <f>IF(L308&gt;1,INDEX(挂机升级突破!$AI$35:$AI$55,卡牌消耗!L308),"")</f>
        <v>178500</v>
      </c>
      <c r="P308" s="16" t="str">
        <f>IF(L308&gt;1,INDEX(价值概述!$A$4:$A$8,INDEX(挂机升级突破!$W$35:$W$55,卡牌消耗!L308)),"")</f>
        <v>红色基础材料</v>
      </c>
      <c r="Q308" s="16">
        <f>IF(L308&gt;1,INDEX(挂机升级突破!$Z$35:$AD$55,卡牌消耗!L308,INDEX(挂机升级突破!$W$35:$W$55,卡牌消耗!L308)),"")</f>
        <v>110</v>
      </c>
      <c r="R308" s="16" t="str">
        <f>IF(INDEX(挂机升级突破!$X$35:$X$55,卡牌消耗!L308)&gt;0,INDEX($G$2:$I$2,INDEX(挂机升级突破!$X$35:$X$55,卡牌消耗!L308))&amp;M308,"")</f>
        <v>高级蓝</v>
      </c>
      <c r="S308" s="16">
        <f>IF(R308="","",INDEX(挂机升级突破!$AE$35:$AG$55,卡牌消耗!L308,INDEX(挂机升级突破!$X$35:$X$55,卡牌消耗!L308)))</f>
        <v>180</v>
      </c>
      <c r="T308" s="16" t="str">
        <f>IF(INDEX(挂机升级突破!$Y$35:$Y$55,卡牌消耗!L308)&gt;0,"灵玉","")</f>
        <v>灵玉</v>
      </c>
      <c r="U308" s="16">
        <f>IF(INDEX(挂机升级突破!$Y$35:$Y$55,卡牌消耗!L308)&gt;0,INDEX(挂机升级突破!$AH$35:$AH$55,卡牌消耗!L308),"")</f>
        <v>65</v>
      </c>
    </row>
    <row r="309" spans="9:21" ht="16.5" x14ac:dyDescent="0.2">
      <c r="I309" s="36">
        <v>273</v>
      </c>
      <c r="J309" s="16">
        <f t="shared" si="21"/>
        <v>1102013</v>
      </c>
      <c r="K309" s="16">
        <f t="shared" si="22"/>
        <v>2</v>
      </c>
      <c r="L309" s="16">
        <f t="shared" si="24"/>
        <v>21</v>
      </c>
      <c r="M309" s="16" t="str">
        <f t="shared" si="23"/>
        <v>蓝</v>
      </c>
      <c r="N309" s="16" t="str">
        <f t="shared" si="25"/>
        <v>金币</v>
      </c>
      <c r="O309" s="16">
        <f>IF(L309&gt;1,INDEX(挂机升级突破!$AI$35:$AI$55,卡牌消耗!L309),"")</f>
        <v>214000</v>
      </c>
      <c r="P309" s="16" t="str">
        <f>IF(L309&gt;1,INDEX(价值概述!$A$4:$A$8,INDEX(挂机升级突破!$W$35:$W$55,卡牌消耗!L309)),"")</f>
        <v>红色基础材料</v>
      </c>
      <c r="Q309" s="16">
        <f>IF(L309&gt;1,INDEX(挂机升级突破!$Z$35:$AD$55,卡牌消耗!L309,INDEX(挂机升级突破!$W$35:$W$55,卡牌消耗!L309)),"")</f>
        <v>135</v>
      </c>
      <c r="R309" s="16" t="str">
        <f>IF(INDEX(挂机升级突破!$X$35:$X$55,卡牌消耗!L309)&gt;0,INDEX($G$2:$I$2,INDEX(挂机升级突破!$X$35:$X$55,卡牌消耗!L309))&amp;M309,"")</f>
        <v>高级蓝</v>
      </c>
      <c r="S309" s="16">
        <f>IF(R309="","",INDEX(挂机升级突破!$AE$35:$AG$55,卡牌消耗!L309,INDEX(挂机升级突破!$X$35:$X$55,卡牌消耗!L309)))</f>
        <v>225</v>
      </c>
      <c r="T309" s="16" t="str">
        <f>IF(INDEX(挂机升级突破!$Y$35:$Y$55,卡牌消耗!L309)&gt;0,"灵玉","")</f>
        <v>灵玉</v>
      </c>
      <c r="U309" s="16">
        <f>IF(INDEX(挂机升级突破!$Y$35:$Y$55,卡牌消耗!L309)&gt;0,INDEX(挂机升级突破!$AH$35:$AH$55,卡牌消耗!L309),"")</f>
        <v>75</v>
      </c>
    </row>
    <row r="310" spans="9:21" ht="16.5" x14ac:dyDescent="0.2">
      <c r="I310" s="36">
        <v>274</v>
      </c>
      <c r="J310" s="16">
        <f t="shared" si="21"/>
        <v>1102014</v>
      </c>
      <c r="K310" s="16">
        <f t="shared" si="22"/>
        <v>3</v>
      </c>
      <c r="L310" s="16">
        <f t="shared" si="24"/>
        <v>1</v>
      </c>
      <c r="M310" s="16" t="str">
        <f t="shared" si="23"/>
        <v>红</v>
      </c>
      <c r="N310" s="16" t="str">
        <f t="shared" si="25"/>
        <v/>
      </c>
      <c r="O310" s="16" t="str">
        <f>IF(L310&gt;1,INDEX(挂机升级突破!$AI$35:$AI$55,卡牌消耗!L310),"")</f>
        <v/>
      </c>
      <c r="P310" s="16" t="str">
        <f>IF(L310&gt;1,INDEX(价值概述!$A$4:$A$8,INDEX(挂机升级突破!$W$35:$W$55,卡牌消耗!L310)),"")</f>
        <v/>
      </c>
      <c r="Q310" s="16" t="str">
        <f>IF(L310&gt;1,INDEX(挂机升级突破!$Z$35:$AD$55,卡牌消耗!L310,INDEX(挂机升级突破!$W$35:$W$55,卡牌消耗!L310)),"")</f>
        <v/>
      </c>
      <c r="R310" s="16" t="str">
        <f>IF(INDEX(挂机升级突破!$X$35:$X$55,卡牌消耗!L310)&gt;0,INDEX($G$2:$I$2,INDEX(挂机升级突破!$X$35:$X$55,卡牌消耗!L310))&amp;M310,"")</f>
        <v/>
      </c>
      <c r="S310" s="16" t="str">
        <f>IF(R310="","",INDEX(挂机升级突破!$AE$35:$AG$55,卡牌消耗!L310,INDEX(挂机升级突破!$X$35:$X$55,卡牌消耗!L310)))</f>
        <v/>
      </c>
      <c r="T310" s="16" t="str">
        <f>IF(INDEX(挂机升级突破!$Y$35:$Y$55,卡牌消耗!L310)&gt;0,"灵玉","")</f>
        <v/>
      </c>
      <c r="U310" s="16" t="str">
        <f>IF(INDEX(挂机升级突破!$Y$35:$Y$55,卡牌消耗!L310)&gt;0,INDEX(挂机升级突破!$AH$35:$AH$55,卡牌消耗!L310),"")</f>
        <v/>
      </c>
    </row>
    <row r="311" spans="9:21" ht="16.5" x14ac:dyDescent="0.2">
      <c r="I311" s="36">
        <v>275</v>
      </c>
      <c r="J311" s="16">
        <f t="shared" si="21"/>
        <v>1102014</v>
      </c>
      <c r="K311" s="16">
        <f t="shared" si="22"/>
        <v>3</v>
      </c>
      <c r="L311" s="16">
        <f t="shared" si="24"/>
        <v>2</v>
      </c>
      <c r="M311" s="16" t="str">
        <f t="shared" si="23"/>
        <v>红</v>
      </c>
      <c r="N311" s="16" t="str">
        <f t="shared" si="25"/>
        <v>金币</v>
      </c>
      <c r="O311" s="16">
        <f>IF(L311&gt;1,INDEX(挂机升级突破!$AI$35:$AI$55,卡牌消耗!L311),"")</f>
        <v>2500</v>
      </c>
      <c r="P311" s="16" t="str">
        <f>IF(L311&gt;1,INDEX(价值概述!$A$4:$A$8,INDEX(挂机升级突破!$W$35:$W$55,卡牌消耗!L311)),"")</f>
        <v>绿色基础材料</v>
      </c>
      <c r="Q311" s="16">
        <f>IF(L311&gt;1,INDEX(挂机升级突破!$Z$35:$AD$55,卡牌消耗!L311,INDEX(挂机升级突破!$W$35:$W$55,卡牌消耗!L311)),"")</f>
        <v>40</v>
      </c>
      <c r="R311" s="16" t="str">
        <f>IF(INDEX(挂机升级突破!$X$35:$X$55,卡牌消耗!L311)&gt;0,INDEX($G$2:$I$2,INDEX(挂机升级突破!$X$35:$X$55,卡牌消耗!L311))&amp;M311,"")</f>
        <v/>
      </c>
      <c r="S311" s="16" t="str">
        <f>IF(R311="","",INDEX(挂机升级突破!$AE$35:$AG$55,卡牌消耗!L311,INDEX(挂机升级突破!$X$35:$X$55,卡牌消耗!L311)))</f>
        <v/>
      </c>
      <c r="T311" s="16" t="str">
        <f>IF(INDEX(挂机升级突破!$Y$35:$Y$55,卡牌消耗!L311)&gt;0,"灵玉","")</f>
        <v/>
      </c>
      <c r="U311" s="16" t="str">
        <f>IF(INDEX(挂机升级突破!$Y$35:$Y$55,卡牌消耗!L311)&gt;0,INDEX(挂机升级突破!$AH$35:$AH$55,卡牌消耗!L311),"")</f>
        <v/>
      </c>
    </row>
    <row r="312" spans="9:21" ht="16.5" x14ac:dyDescent="0.2">
      <c r="I312" s="36">
        <v>276</v>
      </c>
      <c r="J312" s="16">
        <f t="shared" si="21"/>
        <v>1102014</v>
      </c>
      <c r="K312" s="16">
        <f t="shared" si="22"/>
        <v>3</v>
      </c>
      <c r="L312" s="16">
        <f t="shared" si="24"/>
        <v>3</v>
      </c>
      <c r="M312" s="16" t="str">
        <f t="shared" si="23"/>
        <v>红</v>
      </c>
      <c r="N312" s="16" t="str">
        <f t="shared" si="25"/>
        <v>金币</v>
      </c>
      <c r="O312" s="16">
        <f>IF(L312&gt;1,INDEX(挂机升级突破!$AI$35:$AI$55,卡牌消耗!L312),"")</f>
        <v>8500</v>
      </c>
      <c r="P312" s="16" t="str">
        <f>IF(L312&gt;1,INDEX(价值概述!$A$4:$A$8,INDEX(挂机升级突破!$W$35:$W$55,卡牌消耗!L312)),"")</f>
        <v>绿色基础材料</v>
      </c>
      <c r="Q312" s="16">
        <f>IF(L312&gt;1,INDEX(挂机升级突破!$Z$35:$AD$55,卡牌消耗!L312,INDEX(挂机升级突破!$W$35:$W$55,卡牌消耗!L312)),"")</f>
        <v>120</v>
      </c>
      <c r="R312" s="16" t="str">
        <f>IF(INDEX(挂机升级突破!$X$35:$X$55,卡牌消耗!L312)&gt;0,INDEX($G$2:$I$2,INDEX(挂机升级突破!$X$35:$X$55,卡牌消耗!L312))&amp;M312,"")</f>
        <v/>
      </c>
      <c r="S312" s="16" t="str">
        <f>IF(R312="","",INDEX(挂机升级突破!$AE$35:$AG$55,卡牌消耗!L312,INDEX(挂机升级突破!$X$35:$X$55,卡牌消耗!L312)))</f>
        <v/>
      </c>
      <c r="T312" s="16" t="str">
        <f>IF(INDEX(挂机升级突破!$Y$35:$Y$55,卡牌消耗!L312)&gt;0,"灵玉","")</f>
        <v/>
      </c>
      <c r="U312" s="16" t="str">
        <f>IF(INDEX(挂机升级突破!$Y$35:$Y$55,卡牌消耗!L312)&gt;0,INDEX(挂机升级突破!$AH$35:$AH$55,卡牌消耗!L312),"")</f>
        <v/>
      </c>
    </row>
    <row r="313" spans="9:21" ht="16.5" x14ac:dyDescent="0.2">
      <c r="I313" s="36">
        <v>277</v>
      </c>
      <c r="J313" s="16">
        <f t="shared" si="21"/>
        <v>1102014</v>
      </c>
      <c r="K313" s="16">
        <f t="shared" si="22"/>
        <v>3</v>
      </c>
      <c r="L313" s="16">
        <f t="shared" si="24"/>
        <v>4</v>
      </c>
      <c r="M313" s="16" t="str">
        <f t="shared" si="23"/>
        <v>红</v>
      </c>
      <c r="N313" s="16" t="str">
        <f t="shared" si="25"/>
        <v>金币</v>
      </c>
      <c r="O313" s="16">
        <f>IF(L313&gt;1,INDEX(挂机升级突破!$AI$35:$AI$55,卡牌消耗!L313),"")</f>
        <v>17000</v>
      </c>
      <c r="P313" s="16" t="str">
        <f>IF(L313&gt;1,INDEX(价值概述!$A$4:$A$8,INDEX(挂机升级突破!$W$35:$W$55,卡牌消耗!L313)),"")</f>
        <v>绿色基础材料</v>
      </c>
      <c r="Q313" s="16">
        <f>IF(L313&gt;1,INDEX(挂机升级突破!$Z$35:$AD$55,卡牌消耗!L313,INDEX(挂机升级突破!$W$35:$W$55,卡牌消耗!L313)),"")</f>
        <v>240</v>
      </c>
      <c r="R313" s="16" t="str">
        <f>IF(INDEX(挂机升级突破!$X$35:$X$55,卡牌消耗!L313)&gt;0,INDEX($G$2:$I$2,INDEX(挂机升级突破!$X$35:$X$55,卡牌消耗!L313))&amp;M313,"")</f>
        <v>初级红</v>
      </c>
      <c r="S313" s="16">
        <f>IF(R313="","",INDEX(挂机升级突破!$AE$35:$AG$55,卡牌消耗!L313,INDEX(挂机升级突破!$X$35:$X$55,卡牌消耗!L313)))</f>
        <v>130</v>
      </c>
      <c r="T313" s="16" t="str">
        <f>IF(INDEX(挂机升级突破!$Y$35:$Y$55,卡牌消耗!L313)&gt;0,"灵玉","")</f>
        <v/>
      </c>
      <c r="U313" s="16" t="str">
        <f>IF(INDEX(挂机升级突破!$Y$35:$Y$55,卡牌消耗!L313)&gt;0,INDEX(挂机升级突破!$AH$35:$AH$55,卡牌消耗!L313),"")</f>
        <v/>
      </c>
    </row>
    <row r="314" spans="9:21" ht="16.5" x14ac:dyDescent="0.2">
      <c r="I314" s="36">
        <v>278</v>
      </c>
      <c r="J314" s="16">
        <f t="shared" si="21"/>
        <v>1102014</v>
      </c>
      <c r="K314" s="16">
        <f t="shared" si="22"/>
        <v>3</v>
      </c>
      <c r="L314" s="16">
        <f t="shared" si="24"/>
        <v>5</v>
      </c>
      <c r="M314" s="16" t="str">
        <f t="shared" si="23"/>
        <v>红</v>
      </c>
      <c r="N314" s="16" t="str">
        <f t="shared" si="25"/>
        <v>金币</v>
      </c>
      <c r="O314" s="16">
        <f>IF(L314&gt;1,INDEX(挂机升级突破!$AI$35:$AI$55,卡牌消耗!L314),"")</f>
        <v>10500</v>
      </c>
      <c r="P314" s="16" t="str">
        <f>IF(L314&gt;1,INDEX(价值概述!$A$4:$A$8,INDEX(挂机升级突破!$W$35:$W$55,卡牌消耗!L314)),"")</f>
        <v>蓝色基础材料</v>
      </c>
      <c r="Q314" s="16">
        <f>IF(L314&gt;1,INDEX(挂机升级突破!$Z$35:$AD$55,卡牌消耗!L314,INDEX(挂机升级突破!$W$35:$W$55,卡牌消耗!L314)),"")</f>
        <v>85</v>
      </c>
      <c r="R314" s="16" t="str">
        <f>IF(INDEX(挂机升级突破!$X$35:$X$55,卡牌消耗!L314)&gt;0,INDEX($G$2:$I$2,INDEX(挂机升级突破!$X$35:$X$55,卡牌消耗!L314))&amp;M314,"")</f>
        <v>初级红</v>
      </c>
      <c r="S314" s="16">
        <f>IF(R314="","",INDEX(挂机升级突破!$AE$35:$AG$55,卡牌消耗!L314,INDEX(挂机升级突破!$X$35:$X$55,卡牌消耗!L314)))</f>
        <v>160</v>
      </c>
      <c r="T314" s="16" t="str">
        <f>IF(INDEX(挂机升级突破!$Y$35:$Y$55,卡牌消耗!L314)&gt;0,"灵玉","")</f>
        <v/>
      </c>
      <c r="U314" s="16" t="str">
        <f>IF(INDEX(挂机升级突破!$Y$35:$Y$55,卡牌消耗!L314)&gt;0,INDEX(挂机升级突破!$AH$35:$AH$55,卡牌消耗!L314),"")</f>
        <v/>
      </c>
    </row>
    <row r="315" spans="9:21" ht="16.5" x14ac:dyDescent="0.2">
      <c r="I315" s="36">
        <v>279</v>
      </c>
      <c r="J315" s="16">
        <f t="shared" si="21"/>
        <v>1102014</v>
      </c>
      <c r="K315" s="16">
        <f t="shared" si="22"/>
        <v>3</v>
      </c>
      <c r="L315" s="16">
        <f t="shared" si="24"/>
        <v>6</v>
      </c>
      <c r="M315" s="16" t="str">
        <f t="shared" si="23"/>
        <v>红</v>
      </c>
      <c r="N315" s="16" t="str">
        <f t="shared" si="25"/>
        <v>金币</v>
      </c>
      <c r="O315" s="16">
        <f>IF(L315&gt;1,INDEX(挂机升级突破!$AI$35:$AI$55,卡牌消耗!L315),"")</f>
        <v>25000</v>
      </c>
      <c r="P315" s="16" t="str">
        <f>IF(L315&gt;1,INDEX(价值概述!$A$4:$A$8,INDEX(挂机升级突破!$W$35:$W$55,卡牌消耗!L315)),"")</f>
        <v>蓝色基础材料</v>
      </c>
      <c r="Q315" s="16">
        <f>IF(L315&gt;1,INDEX(挂机升级突破!$Z$35:$AD$55,卡牌消耗!L315,INDEX(挂机升级突破!$W$35:$W$55,卡牌消耗!L315)),"")</f>
        <v>145</v>
      </c>
      <c r="R315" s="16" t="str">
        <f>IF(INDEX(挂机升级突破!$X$35:$X$55,卡牌消耗!L315)&gt;0,INDEX($G$2:$I$2,INDEX(挂机升级突破!$X$35:$X$55,卡牌消耗!L315))&amp;M315,"")</f>
        <v>初级红</v>
      </c>
      <c r="S315" s="16">
        <f>IF(R315="","",INDEX(挂机升级突破!$AE$35:$AG$55,卡牌消耗!L315,INDEX(挂机升级突破!$X$35:$X$55,卡牌消耗!L315)))</f>
        <v>175</v>
      </c>
      <c r="T315" s="16" t="str">
        <f>IF(INDEX(挂机升级突破!$Y$35:$Y$55,卡牌消耗!L315)&gt;0,"灵玉","")</f>
        <v/>
      </c>
      <c r="U315" s="16" t="str">
        <f>IF(INDEX(挂机升级突破!$Y$35:$Y$55,卡牌消耗!L315)&gt;0,INDEX(挂机升级突破!$AH$35:$AH$55,卡牌消耗!L315),"")</f>
        <v/>
      </c>
    </row>
    <row r="316" spans="9:21" ht="16.5" x14ac:dyDescent="0.2">
      <c r="I316" s="36">
        <v>280</v>
      </c>
      <c r="J316" s="16">
        <f t="shared" si="21"/>
        <v>1102014</v>
      </c>
      <c r="K316" s="16">
        <f t="shared" si="22"/>
        <v>3</v>
      </c>
      <c r="L316" s="16">
        <f t="shared" si="24"/>
        <v>7</v>
      </c>
      <c r="M316" s="16" t="str">
        <f t="shared" si="23"/>
        <v>红</v>
      </c>
      <c r="N316" s="16" t="str">
        <f t="shared" si="25"/>
        <v>金币</v>
      </c>
      <c r="O316" s="16">
        <f>IF(L316&gt;1,INDEX(挂机升级突破!$AI$35:$AI$55,卡牌消耗!L316),"")</f>
        <v>28000</v>
      </c>
      <c r="P316" s="16" t="str">
        <f>IF(L316&gt;1,INDEX(价值概述!$A$4:$A$8,INDEX(挂机升级突破!$W$35:$W$55,卡牌消耗!L316)),"")</f>
        <v>蓝色基础材料</v>
      </c>
      <c r="Q316" s="16">
        <f>IF(L316&gt;1,INDEX(挂机升级突破!$Z$35:$AD$55,卡牌消耗!L316,INDEX(挂机升级突破!$W$35:$W$55,卡牌消耗!L316)),"")</f>
        <v>185</v>
      </c>
      <c r="R316" s="16" t="str">
        <f>IF(INDEX(挂机升级突破!$X$35:$X$55,卡牌消耗!L316)&gt;0,INDEX($G$2:$I$2,INDEX(挂机升级突破!$X$35:$X$55,卡牌消耗!L316))&amp;M316,"")</f>
        <v>初级红</v>
      </c>
      <c r="S316" s="16">
        <f>IF(R316="","",INDEX(挂机升级突破!$AE$35:$AG$55,卡牌消耗!L316,INDEX(挂机升级突破!$X$35:$X$55,卡牌消耗!L316)))</f>
        <v>190</v>
      </c>
      <c r="T316" s="16" t="str">
        <f>IF(INDEX(挂机升级突破!$Y$35:$Y$55,卡牌消耗!L316)&gt;0,"灵玉","")</f>
        <v/>
      </c>
      <c r="U316" s="16" t="str">
        <f>IF(INDEX(挂机升级突破!$Y$35:$Y$55,卡牌消耗!L316)&gt;0,INDEX(挂机升级突破!$AH$35:$AH$55,卡牌消耗!L316),"")</f>
        <v/>
      </c>
    </row>
    <row r="317" spans="9:21" ht="16.5" x14ac:dyDescent="0.2">
      <c r="I317" s="36">
        <v>281</v>
      </c>
      <c r="J317" s="16">
        <f t="shared" si="21"/>
        <v>1102014</v>
      </c>
      <c r="K317" s="16">
        <f t="shared" si="22"/>
        <v>3</v>
      </c>
      <c r="L317" s="16">
        <f t="shared" si="24"/>
        <v>8</v>
      </c>
      <c r="M317" s="16" t="str">
        <f t="shared" si="23"/>
        <v>红</v>
      </c>
      <c r="N317" s="16" t="str">
        <f t="shared" si="25"/>
        <v>金币</v>
      </c>
      <c r="O317" s="16">
        <f>IF(L317&gt;1,INDEX(挂机升级突破!$AI$35:$AI$55,卡牌消耗!L317),"")</f>
        <v>31000</v>
      </c>
      <c r="P317" s="16" t="str">
        <f>IF(L317&gt;1,INDEX(价值概述!$A$4:$A$8,INDEX(挂机升级突破!$W$35:$W$55,卡牌消耗!L317)),"")</f>
        <v>蓝色基础材料</v>
      </c>
      <c r="Q317" s="16">
        <f>IF(L317&gt;1,INDEX(挂机升级突破!$Z$35:$AD$55,卡牌消耗!L317,INDEX(挂机升级突破!$W$35:$W$55,卡牌消耗!L317)),"")</f>
        <v>220</v>
      </c>
      <c r="R317" s="16" t="str">
        <f>IF(INDEX(挂机升级突破!$X$35:$X$55,卡牌消耗!L317)&gt;0,INDEX($G$2:$I$2,INDEX(挂机升级突破!$X$35:$X$55,卡牌消耗!L317))&amp;M317,"")</f>
        <v>初级红</v>
      </c>
      <c r="S317" s="16">
        <f>IF(R317="","",INDEX(挂机升级突破!$AE$35:$AG$55,卡牌消耗!L317,INDEX(挂机升级突破!$X$35:$X$55,卡牌消耗!L317)))</f>
        <v>200</v>
      </c>
      <c r="T317" s="16" t="str">
        <f>IF(INDEX(挂机升级突破!$Y$35:$Y$55,卡牌消耗!L317)&gt;0,"灵玉","")</f>
        <v/>
      </c>
      <c r="U317" s="16" t="str">
        <f>IF(INDEX(挂机升级突破!$Y$35:$Y$55,卡牌消耗!L317)&gt;0,INDEX(挂机升级突破!$AH$35:$AH$55,卡牌消耗!L317),"")</f>
        <v/>
      </c>
    </row>
    <row r="318" spans="9:21" ht="16.5" x14ac:dyDescent="0.2">
      <c r="I318" s="36">
        <v>282</v>
      </c>
      <c r="J318" s="16">
        <f t="shared" si="21"/>
        <v>1102014</v>
      </c>
      <c r="K318" s="16">
        <f t="shared" si="22"/>
        <v>3</v>
      </c>
      <c r="L318" s="16">
        <f t="shared" si="24"/>
        <v>9</v>
      </c>
      <c r="M318" s="16" t="str">
        <f t="shared" si="23"/>
        <v>红</v>
      </c>
      <c r="N318" s="16" t="str">
        <f t="shared" si="25"/>
        <v>金币</v>
      </c>
      <c r="O318" s="16">
        <f>IF(L318&gt;1,INDEX(挂机升级突破!$AI$35:$AI$55,卡牌消耗!L318),"")</f>
        <v>24000</v>
      </c>
      <c r="P318" s="16" t="str">
        <f>IF(L318&gt;1,INDEX(价值概述!$A$4:$A$8,INDEX(挂机升级突破!$W$35:$W$55,卡牌消耗!L318)),"")</f>
        <v>紫色基础材料</v>
      </c>
      <c r="Q318" s="16">
        <f>IF(L318&gt;1,INDEX(挂机升级突破!$Z$35:$AD$55,卡牌消耗!L318,INDEX(挂机升级突破!$W$35:$W$55,卡牌消耗!L318)),"")</f>
        <v>95</v>
      </c>
      <c r="R318" s="16" t="str">
        <f>IF(INDEX(挂机升级突破!$X$35:$X$55,卡牌消耗!L318)&gt;0,INDEX($G$2:$I$2,INDEX(挂机升级突破!$X$35:$X$55,卡牌消耗!L318))&amp;M318,"")</f>
        <v>中级红</v>
      </c>
      <c r="S318" s="16">
        <f>IF(R318="","",INDEX(挂机升级突破!$AE$35:$AG$55,卡牌消耗!L318,INDEX(挂机升级突破!$X$35:$X$55,卡牌消耗!L318)))</f>
        <v>80</v>
      </c>
      <c r="T318" s="16" t="str">
        <f>IF(INDEX(挂机升级突破!$Y$35:$Y$55,卡牌消耗!L318)&gt;0,"灵玉","")</f>
        <v/>
      </c>
      <c r="U318" s="16" t="str">
        <f>IF(INDEX(挂机升级突破!$Y$35:$Y$55,卡牌消耗!L318)&gt;0,INDEX(挂机升级突破!$AH$35:$AH$55,卡牌消耗!L318),"")</f>
        <v/>
      </c>
    </row>
    <row r="319" spans="9:21" ht="16.5" x14ac:dyDescent="0.2">
      <c r="I319" s="36">
        <v>283</v>
      </c>
      <c r="J319" s="16">
        <f t="shared" si="21"/>
        <v>1102014</v>
      </c>
      <c r="K319" s="16">
        <f t="shared" si="22"/>
        <v>3</v>
      </c>
      <c r="L319" s="16">
        <f t="shared" si="24"/>
        <v>10</v>
      </c>
      <c r="M319" s="16" t="str">
        <f t="shared" si="23"/>
        <v>红</v>
      </c>
      <c r="N319" s="16" t="str">
        <f t="shared" si="25"/>
        <v>金币</v>
      </c>
      <c r="O319" s="16">
        <f>IF(L319&gt;1,INDEX(挂机升级突破!$AI$35:$AI$55,卡牌消耗!L319),"")</f>
        <v>26500</v>
      </c>
      <c r="P319" s="16" t="str">
        <f>IF(L319&gt;1,INDEX(价值概述!$A$4:$A$8,INDEX(挂机升级突破!$W$35:$W$55,卡牌消耗!L319)),"")</f>
        <v>紫色基础材料</v>
      </c>
      <c r="Q319" s="16">
        <f>IF(L319&gt;1,INDEX(挂机升级突破!$Z$35:$AD$55,卡牌消耗!L319,INDEX(挂机升级突破!$W$35:$W$55,卡牌消耗!L319)),"")</f>
        <v>175</v>
      </c>
      <c r="R319" s="16" t="str">
        <f>IF(INDEX(挂机升级突破!$X$35:$X$55,卡牌消耗!L319)&gt;0,INDEX($G$2:$I$2,INDEX(挂机升级突破!$X$35:$X$55,卡牌消耗!L319))&amp;M319,"")</f>
        <v>中级红</v>
      </c>
      <c r="S319" s="16">
        <f>IF(R319="","",INDEX(挂机升级突破!$AE$35:$AG$55,卡牌消耗!L319,INDEX(挂机升级突破!$X$35:$X$55,卡牌消耗!L319)))</f>
        <v>120</v>
      </c>
      <c r="T319" s="16" t="str">
        <f>IF(INDEX(挂机升级突破!$Y$35:$Y$55,卡牌消耗!L319)&gt;0,"灵玉","")</f>
        <v/>
      </c>
      <c r="U319" s="16" t="str">
        <f>IF(INDEX(挂机升级突破!$Y$35:$Y$55,卡牌消耗!L319)&gt;0,INDEX(挂机升级突破!$AH$35:$AH$55,卡牌消耗!L319),"")</f>
        <v/>
      </c>
    </row>
    <row r="320" spans="9:21" ht="16.5" x14ac:dyDescent="0.2">
      <c r="I320" s="36">
        <v>284</v>
      </c>
      <c r="J320" s="16">
        <f t="shared" si="21"/>
        <v>1102014</v>
      </c>
      <c r="K320" s="16">
        <f t="shared" si="22"/>
        <v>3</v>
      </c>
      <c r="L320" s="16">
        <f t="shared" si="24"/>
        <v>11</v>
      </c>
      <c r="M320" s="16" t="str">
        <f t="shared" si="23"/>
        <v>红</v>
      </c>
      <c r="N320" s="16" t="str">
        <f t="shared" si="25"/>
        <v>金币</v>
      </c>
      <c r="O320" s="16">
        <f>IF(L320&gt;1,INDEX(挂机升级突破!$AI$35:$AI$55,卡牌消耗!L320),"")</f>
        <v>28500</v>
      </c>
      <c r="P320" s="16" t="str">
        <f>IF(L320&gt;1,INDEX(价值概述!$A$4:$A$8,INDEX(挂机升级突破!$W$35:$W$55,卡牌消耗!L320)),"")</f>
        <v>紫色基础材料</v>
      </c>
      <c r="Q320" s="16">
        <f>IF(L320&gt;1,INDEX(挂机升级突破!$Z$35:$AD$55,卡牌消耗!L320,INDEX(挂机升级突破!$W$35:$W$55,卡牌消耗!L320)),"")</f>
        <v>245</v>
      </c>
      <c r="R320" s="16" t="str">
        <f>IF(INDEX(挂机升级突破!$X$35:$X$55,卡牌消耗!L320)&gt;0,INDEX($G$2:$I$2,INDEX(挂机升级突破!$X$35:$X$55,卡牌消耗!L320))&amp;M320,"")</f>
        <v>中级红</v>
      </c>
      <c r="S320" s="16">
        <f>IF(R320="","",INDEX(挂机升级突破!$AE$35:$AG$55,卡牌消耗!L320,INDEX(挂机升级突破!$X$35:$X$55,卡牌消耗!L320)))</f>
        <v>170</v>
      </c>
      <c r="T320" s="16" t="str">
        <f>IF(INDEX(挂机升级突破!$Y$35:$Y$55,卡牌消耗!L320)&gt;0,"灵玉","")</f>
        <v/>
      </c>
      <c r="U320" s="16" t="str">
        <f>IF(INDEX(挂机升级突破!$Y$35:$Y$55,卡牌消耗!L320)&gt;0,INDEX(挂机升级突破!$AH$35:$AH$55,卡牌消耗!L320),"")</f>
        <v/>
      </c>
    </row>
    <row r="321" spans="9:21" ht="16.5" x14ac:dyDescent="0.2">
      <c r="I321" s="36">
        <v>285</v>
      </c>
      <c r="J321" s="16">
        <f t="shared" si="21"/>
        <v>1102014</v>
      </c>
      <c r="K321" s="16">
        <f t="shared" si="22"/>
        <v>3</v>
      </c>
      <c r="L321" s="16">
        <f t="shared" si="24"/>
        <v>12</v>
      </c>
      <c r="M321" s="16" t="str">
        <f t="shared" si="23"/>
        <v>红</v>
      </c>
      <c r="N321" s="16" t="str">
        <f t="shared" si="25"/>
        <v>金币</v>
      </c>
      <c r="O321" s="16">
        <f>IF(L321&gt;1,INDEX(挂机升级突破!$AI$35:$AI$55,卡牌消耗!L321),"")</f>
        <v>30500</v>
      </c>
      <c r="P321" s="16" t="str">
        <f>IF(L321&gt;1,INDEX(价值概述!$A$4:$A$8,INDEX(挂机升级突破!$W$35:$W$55,卡牌消耗!L321)),"")</f>
        <v>紫色基础材料</v>
      </c>
      <c r="Q321" s="16">
        <f>IF(L321&gt;1,INDEX(挂机升级突破!$Z$35:$AD$55,卡牌消耗!L321,INDEX(挂机升级突破!$W$35:$W$55,卡牌消耗!L321)),"")</f>
        <v>305</v>
      </c>
      <c r="R321" s="16" t="str">
        <f>IF(INDEX(挂机升级突破!$X$35:$X$55,卡牌消耗!L321)&gt;0,INDEX($G$2:$I$2,INDEX(挂机升级突破!$X$35:$X$55,卡牌消耗!L321))&amp;M321,"")</f>
        <v>中级红</v>
      </c>
      <c r="S321" s="16">
        <f>IF(R321="","",INDEX(挂机升级突破!$AE$35:$AG$55,卡牌消耗!L321,INDEX(挂机升级突破!$X$35:$X$55,卡牌消耗!L321)))</f>
        <v>200</v>
      </c>
      <c r="T321" s="16" t="str">
        <f>IF(INDEX(挂机升级突破!$Y$35:$Y$55,卡牌消耗!L321)&gt;0,"灵玉","")</f>
        <v/>
      </c>
      <c r="U321" s="16" t="str">
        <f>IF(INDEX(挂机升级突破!$Y$35:$Y$55,卡牌消耗!L321)&gt;0,INDEX(挂机升级突破!$AH$35:$AH$55,卡牌消耗!L321),"")</f>
        <v/>
      </c>
    </row>
    <row r="322" spans="9:21" ht="16.5" x14ac:dyDescent="0.2">
      <c r="I322" s="36">
        <v>286</v>
      </c>
      <c r="J322" s="16">
        <f t="shared" si="21"/>
        <v>1102014</v>
      </c>
      <c r="K322" s="16">
        <f t="shared" si="22"/>
        <v>3</v>
      </c>
      <c r="L322" s="16">
        <f t="shared" si="24"/>
        <v>13</v>
      </c>
      <c r="M322" s="16" t="str">
        <f t="shared" si="23"/>
        <v>红</v>
      </c>
      <c r="N322" s="16" t="str">
        <f t="shared" si="25"/>
        <v>金币</v>
      </c>
      <c r="O322" s="16">
        <f>IF(L322&gt;1,INDEX(挂机升级突破!$AI$35:$AI$55,卡牌消耗!L322),"")</f>
        <v>38500</v>
      </c>
      <c r="P322" s="16" t="str">
        <f>IF(L322&gt;1,INDEX(价值概述!$A$4:$A$8,INDEX(挂机升级突破!$W$35:$W$55,卡牌消耗!L322)),"")</f>
        <v>橙色基础材料</v>
      </c>
      <c r="Q322" s="16">
        <f>IF(L322&gt;1,INDEX(挂机升级突破!$Z$35:$AD$55,卡牌消耗!L322,INDEX(挂机升级突破!$W$35:$W$55,卡牌消耗!L322)),"")</f>
        <v>115</v>
      </c>
      <c r="R322" s="16" t="str">
        <f>IF(INDEX(挂机升级突破!$X$35:$X$55,卡牌消耗!L322)&gt;0,INDEX($G$2:$I$2,INDEX(挂机升级突破!$X$35:$X$55,卡牌消耗!L322))&amp;M322,"")</f>
        <v>中级红</v>
      </c>
      <c r="S322" s="16">
        <f>IF(R322="","",INDEX(挂机升级突破!$AE$35:$AG$55,卡牌消耗!L322,INDEX(挂机升级突破!$X$35:$X$55,卡牌消耗!L322)))</f>
        <v>225</v>
      </c>
      <c r="T322" s="16" t="str">
        <f>IF(INDEX(挂机升级突破!$Y$35:$Y$55,卡牌消耗!L322)&gt;0,"灵玉","")</f>
        <v/>
      </c>
      <c r="U322" s="16" t="str">
        <f>IF(INDEX(挂机升级突破!$Y$35:$Y$55,卡牌消耗!L322)&gt;0,INDEX(挂机升级突破!$AH$35:$AH$55,卡牌消耗!L322),"")</f>
        <v/>
      </c>
    </row>
    <row r="323" spans="9:21" ht="16.5" x14ac:dyDescent="0.2">
      <c r="I323" s="36">
        <v>287</v>
      </c>
      <c r="J323" s="16">
        <f t="shared" si="21"/>
        <v>1102014</v>
      </c>
      <c r="K323" s="16">
        <f t="shared" si="22"/>
        <v>3</v>
      </c>
      <c r="L323" s="16">
        <f t="shared" si="24"/>
        <v>14</v>
      </c>
      <c r="M323" s="16" t="str">
        <f t="shared" si="23"/>
        <v>红</v>
      </c>
      <c r="N323" s="16" t="str">
        <f t="shared" si="25"/>
        <v>金币</v>
      </c>
      <c r="O323" s="16">
        <f>IF(L323&gt;1,INDEX(挂机升级突破!$AI$35:$AI$55,卡牌消耗!L323),"")</f>
        <v>51000</v>
      </c>
      <c r="P323" s="16" t="str">
        <f>IF(L323&gt;1,INDEX(价值概述!$A$4:$A$8,INDEX(挂机升级突破!$W$35:$W$55,卡牌消耗!L323)),"")</f>
        <v>橙色基础材料</v>
      </c>
      <c r="Q323" s="16">
        <f>IF(L323&gt;1,INDEX(挂机升级突破!$Z$35:$AD$55,卡牌消耗!L323,INDEX(挂机升级突破!$W$35:$W$55,卡牌消耗!L323)),"")</f>
        <v>235</v>
      </c>
      <c r="R323" s="16" t="str">
        <f>IF(INDEX(挂机升级突破!$X$35:$X$55,卡牌消耗!L323)&gt;0,INDEX($G$2:$I$2,INDEX(挂机升级突破!$X$35:$X$55,卡牌消耗!L323))&amp;M323,"")</f>
        <v>中级红</v>
      </c>
      <c r="S323" s="16">
        <f>IF(R323="","",INDEX(挂机升级突破!$AE$35:$AG$55,卡牌消耗!L323,INDEX(挂机升级突破!$X$35:$X$55,卡牌消耗!L323)))</f>
        <v>265</v>
      </c>
      <c r="T323" s="16" t="str">
        <f>IF(INDEX(挂机升级突破!$Y$35:$Y$55,卡牌消耗!L323)&gt;0,"灵玉","")</f>
        <v/>
      </c>
      <c r="U323" s="16" t="str">
        <f>IF(INDEX(挂机升级突破!$Y$35:$Y$55,卡牌消耗!L323)&gt;0,INDEX(挂机升级突破!$AH$35:$AH$55,卡牌消耗!L323),"")</f>
        <v/>
      </c>
    </row>
    <row r="324" spans="9:21" ht="16.5" x14ac:dyDescent="0.2">
      <c r="I324" s="36">
        <v>288</v>
      </c>
      <c r="J324" s="16">
        <f t="shared" si="21"/>
        <v>1102014</v>
      </c>
      <c r="K324" s="16">
        <f t="shared" si="22"/>
        <v>3</v>
      </c>
      <c r="L324" s="16">
        <f t="shared" si="24"/>
        <v>15</v>
      </c>
      <c r="M324" s="16" t="str">
        <f t="shared" si="23"/>
        <v>红</v>
      </c>
      <c r="N324" s="16" t="str">
        <f t="shared" si="25"/>
        <v>金币</v>
      </c>
      <c r="O324" s="16">
        <f>IF(L324&gt;1,INDEX(挂机升级突破!$AI$35:$AI$55,卡牌消耗!L324),"")</f>
        <v>60000</v>
      </c>
      <c r="P324" s="16" t="str">
        <f>IF(L324&gt;1,INDEX(价值概述!$A$4:$A$8,INDEX(挂机升级突破!$W$35:$W$55,卡牌消耗!L324)),"")</f>
        <v>橙色基础材料</v>
      </c>
      <c r="Q324" s="16">
        <f>IF(L324&gt;1,INDEX(挂机升级突破!$Z$35:$AD$55,卡牌消耗!L324,INDEX(挂机升级突破!$W$35:$W$55,卡牌消耗!L324)),"")</f>
        <v>355</v>
      </c>
      <c r="R324" s="16" t="str">
        <f>IF(INDEX(挂机升级突破!$X$35:$X$55,卡牌消耗!L324)&gt;0,INDEX($G$2:$I$2,INDEX(挂机升级突破!$X$35:$X$55,卡牌消耗!L324))&amp;M324,"")</f>
        <v>高级红</v>
      </c>
      <c r="S324" s="16">
        <f>IF(R324="","",INDEX(挂机升级突破!$AE$35:$AG$55,卡牌消耗!L324,INDEX(挂机升级突破!$X$35:$X$55,卡牌消耗!L324)))</f>
        <v>45</v>
      </c>
      <c r="T324" s="16" t="str">
        <f>IF(INDEX(挂机升级突破!$Y$35:$Y$55,卡牌消耗!L324)&gt;0,"灵玉","")</f>
        <v/>
      </c>
      <c r="U324" s="16" t="str">
        <f>IF(INDEX(挂机升级突破!$Y$35:$Y$55,卡牌消耗!L324)&gt;0,INDEX(挂机升级突破!$AH$35:$AH$55,卡牌消耗!L324),"")</f>
        <v/>
      </c>
    </row>
    <row r="325" spans="9:21" ht="16.5" x14ac:dyDescent="0.2">
      <c r="I325" s="36">
        <v>289</v>
      </c>
      <c r="J325" s="16">
        <f t="shared" si="21"/>
        <v>1102014</v>
      </c>
      <c r="K325" s="16">
        <f t="shared" si="22"/>
        <v>3</v>
      </c>
      <c r="L325" s="16">
        <f t="shared" si="24"/>
        <v>16</v>
      </c>
      <c r="M325" s="16" t="str">
        <f t="shared" si="23"/>
        <v>红</v>
      </c>
      <c r="N325" s="16" t="str">
        <f t="shared" si="25"/>
        <v>金币</v>
      </c>
      <c r="O325" s="16">
        <f>IF(L325&gt;1,INDEX(挂机升级突破!$AI$35:$AI$55,卡牌消耗!L325),"")</f>
        <v>69000</v>
      </c>
      <c r="P325" s="16" t="str">
        <f>IF(L325&gt;1,INDEX(价值概述!$A$4:$A$8,INDEX(挂机升级突破!$W$35:$W$55,卡牌消耗!L325)),"")</f>
        <v>橙色基础材料</v>
      </c>
      <c r="Q325" s="16">
        <f>IF(L325&gt;1,INDEX(挂机升级突破!$Z$35:$AD$55,卡牌消耗!L325,INDEX(挂机升级突破!$W$35:$W$55,卡牌消耗!L325)),"")</f>
        <v>475</v>
      </c>
      <c r="R325" s="16" t="str">
        <f>IF(INDEX(挂机升级突破!$X$35:$X$55,卡牌消耗!L325)&gt;0,INDEX($G$2:$I$2,INDEX(挂机升级突破!$X$35:$X$55,卡牌消耗!L325))&amp;M325,"")</f>
        <v>高级红</v>
      </c>
      <c r="S325" s="16">
        <f>IF(R325="","",INDEX(挂机升级突破!$AE$35:$AG$55,卡牌消耗!L325,INDEX(挂机升级突破!$X$35:$X$55,卡牌消耗!L325)))</f>
        <v>70</v>
      </c>
      <c r="T325" s="16" t="str">
        <f>IF(INDEX(挂机升级突破!$Y$35:$Y$55,卡牌消耗!L325)&gt;0,"灵玉","")</f>
        <v/>
      </c>
      <c r="U325" s="16" t="str">
        <f>IF(INDEX(挂机升级突破!$Y$35:$Y$55,卡牌消耗!L325)&gt;0,INDEX(挂机升级突破!$AH$35:$AH$55,卡牌消耗!L325),"")</f>
        <v/>
      </c>
    </row>
    <row r="326" spans="9:21" ht="16.5" x14ac:dyDescent="0.2">
      <c r="I326" s="36">
        <v>290</v>
      </c>
      <c r="J326" s="16">
        <f t="shared" si="21"/>
        <v>1102014</v>
      </c>
      <c r="K326" s="16">
        <f t="shared" si="22"/>
        <v>3</v>
      </c>
      <c r="L326" s="16">
        <f t="shared" si="24"/>
        <v>17</v>
      </c>
      <c r="M326" s="16" t="str">
        <f t="shared" si="23"/>
        <v>红</v>
      </c>
      <c r="N326" s="16" t="str">
        <f t="shared" si="25"/>
        <v>金币</v>
      </c>
      <c r="O326" s="16">
        <f>IF(L326&gt;1,INDEX(挂机升级突破!$AI$35:$AI$55,卡牌消耗!L326),"")</f>
        <v>76500</v>
      </c>
      <c r="P326" s="16" t="str">
        <f>IF(L326&gt;1,INDEX(价值概述!$A$4:$A$8,INDEX(挂机升级突破!$W$35:$W$55,卡牌消耗!L326)),"")</f>
        <v>红色基础材料</v>
      </c>
      <c r="Q326" s="16">
        <f>IF(L326&gt;1,INDEX(挂机升级突破!$Z$35:$AD$55,卡牌消耗!L326,INDEX(挂机升级突破!$W$35:$W$55,卡牌消耗!L326)),"")</f>
        <v>45</v>
      </c>
      <c r="R326" s="16" t="str">
        <f>IF(INDEX(挂机升级突破!$X$35:$X$55,卡牌消耗!L326)&gt;0,INDEX($G$2:$I$2,INDEX(挂机升级突破!$X$35:$X$55,卡牌消耗!L326))&amp;M326,"")</f>
        <v>高级红</v>
      </c>
      <c r="S326" s="16">
        <f>IF(R326="","",INDEX(挂机升级突破!$AE$35:$AG$55,卡牌消耗!L326,INDEX(挂机升级突破!$X$35:$X$55,卡牌消耗!L326)))</f>
        <v>100</v>
      </c>
      <c r="T326" s="16" t="str">
        <f>IF(INDEX(挂机升级突破!$Y$35:$Y$55,卡牌消耗!L326)&gt;0,"灵玉","")</f>
        <v>灵玉</v>
      </c>
      <c r="U326" s="16">
        <f>IF(INDEX(挂机升级突破!$Y$35:$Y$55,卡牌消耗!L326)&gt;0,INDEX(挂机升级突破!$AH$35:$AH$55,卡牌消耗!L326),"")</f>
        <v>25</v>
      </c>
    </row>
    <row r="327" spans="9:21" ht="16.5" x14ac:dyDescent="0.2">
      <c r="I327" s="36">
        <v>291</v>
      </c>
      <c r="J327" s="16">
        <f t="shared" si="21"/>
        <v>1102014</v>
      </c>
      <c r="K327" s="16">
        <f t="shared" si="22"/>
        <v>3</v>
      </c>
      <c r="L327" s="16">
        <f t="shared" si="24"/>
        <v>18</v>
      </c>
      <c r="M327" s="16" t="str">
        <f t="shared" si="23"/>
        <v>红</v>
      </c>
      <c r="N327" s="16" t="str">
        <f t="shared" si="25"/>
        <v>金币</v>
      </c>
      <c r="O327" s="16">
        <f>IF(L327&gt;1,INDEX(挂机升级突破!$AI$35:$AI$55,卡牌消耗!L327),"")</f>
        <v>107000</v>
      </c>
      <c r="P327" s="16" t="str">
        <f>IF(L327&gt;1,INDEX(价值概述!$A$4:$A$8,INDEX(挂机升级突破!$W$35:$W$55,卡牌消耗!L327)),"")</f>
        <v>红色基础材料</v>
      </c>
      <c r="Q327" s="16">
        <f>IF(L327&gt;1,INDEX(挂机升级突破!$Z$35:$AD$55,卡牌消耗!L327,INDEX(挂机升级突破!$W$35:$W$55,卡牌消耗!L327)),"")</f>
        <v>65</v>
      </c>
      <c r="R327" s="16" t="str">
        <f>IF(INDEX(挂机升级突破!$X$35:$X$55,卡牌消耗!L327)&gt;0,INDEX($G$2:$I$2,INDEX(挂机升级突破!$X$35:$X$55,卡牌消耗!L327))&amp;M327,"")</f>
        <v>高级红</v>
      </c>
      <c r="S327" s="16">
        <f>IF(R327="","",INDEX(挂机升级突破!$AE$35:$AG$55,卡牌消耗!L327,INDEX(挂机升级突破!$X$35:$X$55,卡牌消耗!L327)))</f>
        <v>125</v>
      </c>
      <c r="T327" s="16" t="str">
        <f>IF(INDEX(挂机升级突破!$Y$35:$Y$55,卡牌消耗!L327)&gt;0,"灵玉","")</f>
        <v>灵玉</v>
      </c>
      <c r="U327" s="16">
        <f>IF(INDEX(挂机升级突破!$Y$35:$Y$55,卡牌消耗!L327)&gt;0,INDEX(挂机升级突破!$AH$35:$AH$55,卡牌消耗!L327),"")</f>
        <v>35</v>
      </c>
    </row>
    <row r="328" spans="9:21" ht="16.5" x14ac:dyDescent="0.2">
      <c r="I328" s="36">
        <v>292</v>
      </c>
      <c r="J328" s="16">
        <f t="shared" si="21"/>
        <v>1102014</v>
      </c>
      <c r="K328" s="16">
        <f t="shared" si="22"/>
        <v>3</v>
      </c>
      <c r="L328" s="16">
        <f t="shared" si="24"/>
        <v>19</v>
      </c>
      <c r="M328" s="16" t="str">
        <f t="shared" si="23"/>
        <v>红</v>
      </c>
      <c r="N328" s="16" t="str">
        <f t="shared" si="25"/>
        <v>金币</v>
      </c>
      <c r="O328" s="16">
        <f>IF(L328&gt;1,INDEX(挂机升级突破!$AI$35:$AI$55,卡牌消耗!L328),"")</f>
        <v>142500</v>
      </c>
      <c r="P328" s="16" t="str">
        <f>IF(L328&gt;1,INDEX(价值概述!$A$4:$A$8,INDEX(挂机升级突破!$W$35:$W$55,卡牌消耗!L328)),"")</f>
        <v>红色基础材料</v>
      </c>
      <c r="Q328" s="16">
        <f>IF(L328&gt;1,INDEX(挂机升级突破!$Z$35:$AD$55,卡牌消耗!L328,INDEX(挂机升级突破!$W$35:$W$55,卡牌消耗!L328)),"")</f>
        <v>90</v>
      </c>
      <c r="R328" s="16" t="str">
        <f>IF(INDEX(挂机升级突破!$X$35:$X$55,卡牌消耗!L328)&gt;0,INDEX($G$2:$I$2,INDEX(挂机升级突破!$X$35:$X$55,卡牌消耗!L328))&amp;M328,"")</f>
        <v>高级红</v>
      </c>
      <c r="S328" s="16">
        <f>IF(R328="","",INDEX(挂机升级突破!$AE$35:$AG$55,卡牌消耗!L328,INDEX(挂机升级突破!$X$35:$X$55,卡牌消耗!L328)))</f>
        <v>155</v>
      </c>
      <c r="T328" s="16" t="str">
        <f>IF(INDEX(挂机升级突破!$Y$35:$Y$55,卡牌消耗!L328)&gt;0,"灵玉","")</f>
        <v>灵玉</v>
      </c>
      <c r="U328" s="16">
        <f>IF(INDEX(挂机升级突破!$Y$35:$Y$55,卡牌消耗!L328)&gt;0,INDEX(挂机升级突破!$AH$35:$AH$55,卡牌消耗!L328),"")</f>
        <v>50</v>
      </c>
    </row>
    <row r="329" spans="9:21" ht="16.5" x14ac:dyDescent="0.2">
      <c r="I329" s="36">
        <v>293</v>
      </c>
      <c r="J329" s="16">
        <f t="shared" si="21"/>
        <v>1102014</v>
      </c>
      <c r="K329" s="16">
        <f t="shared" si="22"/>
        <v>3</v>
      </c>
      <c r="L329" s="16">
        <f t="shared" si="24"/>
        <v>20</v>
      </c>
      <c r="M329" s="16" t="str">
        <f t="shared" si="23"/>
        <v>红</v>
      </c>
      <c r="N329" s="16" t="str">
        <f t="shared" si="25"/>
        <v>金币</v>
      </c>
      <c r="O329" s="16">
        <f>IF(L329&gt;1,INDEX(挂机升级突破!$AI$35:$AI$55,卡牌消耗!L329),"")</f>
        <v>178500</v>
      </c>
      <c r="P329" s="16" t="str">
        <f>IF(L329&gt;1,INDEX(价值概述!$A$4:$A$8,INDEX(挂机升级突破!$W$35:$W$55,卡牌消耗!L329)),"")</f>
        <v>红色基础材料</v>
      </c>
      <c r="Q329" s="16">
        <f>IF(L329&gt;1,INDEX(挂机升级突破!$Z$35:$AD$55,卡牌消耗!L329,INDEX(挂机升级突破!$W$35:$W$55,卡牌消耗!L329)),"")</f>
        <v>110</v>
      </c>
      <c r="R329" s="16" t="str">
        <f>IF(INDEX(挂机升级突破!$X$35:$X$55,卡牌消耗!L329)&gt;0,INDEX($G$2:$I$2,INDEX(挂机升级突破!$X$35:$X$55,卡牌消耗!L329))&amp;M329,"")</f>
        <v>高级红</v>
      </c>
      <c r="S329" s="16">
        <f>IF(R329="","",INDEX(挂机升级突破!$AE$35:$AG$55,卡牌消耗!L329,INDEX(挂机升级突破!$X$35:$X$55,卡牌消耗!L329)))</f>
        <v>180</v>
      </c>
      <c r="T329" s="16" t="str">
        <f>IF(INDEX(挂机升级突破!$Y$35:$Y$55,卡牌消耗!L329)&gt;0,"灵玉","")</f>
        <v>灵玉</v>
      </c>
      <c r="U329" s="16">
        <f>IF(INDEX(挂机升级突破!$Y$35:$Y$55,卡牌消耗!L329)&gt;0,INDEX(挂机升级突破!$AH$35:$AH$55,卡牌消耗!L329),"")</f>
        <v>65</v>
      </c>
    </row>
    <row r="330" spans="9:21" ht="16.5" x14ac:dyDescent="0.2">
      <c r="I330" s="36">
        <v>294</v>
      </c>
      <c r="J330" s="16">
        <f t="shared" si="21"/>
        <v>1102014</v>
      </c>
      <c r="K330" s="16">
        <f t="shared" si="22"/>
        <v>3</v>
      </c>
      <c r="L330" s="16">
        <f t="shared" si="24"/>
        <v>21</v>
      </c>
      <c r="M330" s="16" t="str">
        <f t="shared" si="23"/>
        <v>红</v>
      </c>
      <c r="N330" s="16" t="str">
        <f t="shared" si="25"/>
        <v>金币</v>
      </c>
      <c r="O330" s="16">
        <f>IF(L330&gt;1,INDEX(挂机升级突破!$AI$35:$AI$55,卡牌消耗!L330),"")</f>
        <v>214000</v>
      </c>
      <c r="P330" s="16" t="str">
        <f>IF(L330&gt;1,INDEX(价值概述!$A$4:$A$8,INDEX(挂机升级突破!$W$35:$W$55,卡牌消耗!L330)),"")</f>
        <v>红色基础材料</v>
      </c>
      <c r="Q330" s="16">
        <f>IF(L330&gt;1,INDEX(挂机升级突破!$Z$35:$AD$55,卡牌消耗!L330,INDEX(挂机升级突破!$W$35:$W$55,卡牌消耗!L330)),"")</f>
        <v>135</v>
      </c>
      <c r="R330" s="16" t="str">
        <f>IF(INDEX(挂机升级突破!$X$35:$X$55,卡牌消耗!L330)&gt;0,INDEX($G$2:$I$2,INDEX(挂机升级突破!$X$35:$X$55,卡牌消耗!L330))&amp;M330,"")</f>
        <v>高级红</v>
      </c>
      <c r="S330" s="16">
        <f>IF(R330="","",INDEX(挂机升级突破!$AE$35:$AG$55,卡牌消耗!L330,INDEX(挂机升级突破!$X$35:$X$55,卡牌消耗!L330)))</f>
        <v>225</v>
      </c>
      <c r="T330" s="16" t="str">
        <f>IF(INDEX(挂机升级突破!$Y$35:$Y$55,卡牌消耗!L330)&gt;0,"灵玉","")</f>
        <v>灵玉</v>
      </c>
      <c r="U330" s="16">
        <f>IF(INDEX(挂机升级突破!$Y$35:$Y$55,卡牌消耗!L330)&gt;0,INDEX(挂机升级突破!$AH$35:$AH$55,卡牌消耗!L330),"")</f>
        <v>75</v>
      </c>
    </row>
    <row r="331" spans="9:21" ht="16.5" x14ac:dyDescent="0.2">
      <c r="I331" s="36">
        <v>295</v>
      </c>
      <c r="J331" s="16">
        <f t="shared" si="21"/>
        <v>1102015</v>
      </c>
      <c r="K331" s="16">
        <f t="shared" si="22"/>
        <v>2</v>
      </c>
      <c r="L331" s="16">
        <f t="shared" si="24"/>
        <v>1</v>
      </c>
      <c r="M331" s="16" t="str">
        <f t="shared" si="23"/>
        <v>红</v>
      </c>
      <c r="N331" s="16" t="str">
        <f t="shared" si="25"/>
        <v/>
      </c>
      <c r="O331" s="16" t="str">
        <f>IF(L331&gt;1,INDEX(挂机升级突破!$AI$35:$AI$55,卡牌消耗!L331),"")</f>
        <v/>
      </c>
      <c r="P331" s="16" t="str">
        <f>IF(L331&gt;1,INDEX(价值概述!$A$4:$A$8,INDEX(挂机升级突破!$W$35:$W$55,卡牌消耗!L331)),"")</f>
        <v/>
      </c>
      <c r="Q331" s="16" t="str">
        <f>IF(L331&gt;1,INDEX(挂机升级突破!$Z$35:$AD$55,卡牌消耗!L331,INDEX(挂机升级突破!$W$35:$W$55,卡牌消耗!L331)),"")</f>
        <v/>
      </c>
      <c r="R331" s="16" t="str">
        <f>IF(INDEX(挂机升级突破!$X$35:$X$55,卡牌消耗!L331)&gt;0,INDEX($G$2:$I$2,INDEX(挂机升级突破!$X$35:$X$55,卡牌消耗!L331))&amp;M331,"")</f>
        <v/>
      </c>
      <c r="S331" s="16" t="str">
        <f>IF(R331="","",INDEX(挂机升级突破!$AE$35:$AG$55,卡牌消耗!L331,INDEX(挂机升级突破!$X$35:$X$55,卡牌消耗!L331)))</f>
        <v/>
      </c>
      <c r="T331" s="16" t="str">
        <f>IF(INDEX(挂机升级突破!$Y$35:$Y$55,卡牌消耗!L331)&gt;0,"灵玉","")</f>
        <v/>
      </c>
      <c r="U331" s="16" t="str">
        <f>IF(INDEX(挂机升级突破!$Y$35:$Y$55,卡牌消耗!L331)&gt;0,INDEX(挂机升级突破!$AH$35:$AH$55,卡牌消耗!L331),"")</f>
        <v/>
      </c>
    </row>
    <row r="332" spans="9:21" ht="16.5" x14ac:dyDescent="0.2">
      <c r="I332" s="36">
        <v>296</v>
      </c>
      <c r="J332" s="16">
        <f t="shared" si="21"/>
        <v>1102015</v>
      </c>
      <c r="K332" s="16">
        <f t="shared" si="22"/>
        <v>2</v>
      </c>
      <c r="L332" s="16">
        <f t="shared" si="24"/>
        <v>2</v>
      </c>
      <c r="M332" s="16" t="str">
        <f t="shared" si="23"/>
        <v>红</v>
      </c>
      <c r="N332" s="16" t="str">
        <f t="shared" si="25"/>
        <v>金币</v>
      </c>
      <c r="O332" s="16">
        <f>IF(L332&gt;1,INDEX(挂机升级突破!$AI$35:$AI$55,卡牌消耗!L332),"")</f>
        <v>2500</v>
      </c>
      <c r="P332" s="16" t="str">
        <f>IF(L332&gt;1,INDEX(价值概述!$A$4:$A$8,INDEX(挂机升级突破!$W$35:$W$55,卡牌消耗!L332)),"")</f>
        <v>绿色基础材料</v>
      </c>
      <c r="Q332" s="16">
        <f>IF(L332&gt;1,INDEX(挂机升级突破!$Z$35:$AD$55,卡牌消耗!L332,INDEX(挂机升级突破!$W$35:$W$55,卡牌消耗!L332)),"")</f>
        <v>40</v>
      </c>
      <c r="R332" s="16" t="str">
        <f>IF(INDEX(挂机升级突破!$X$35:$X$55,卡牌消耗!L332)&gt;0,INDEX($G$2:$I$2,INDEX(挂机升级突破!$X$35:$X$55,卡牌消耗!L332))&amp;M332,"")</f>
        <v/>
      </c>
      <c r="S332" s="16" t="str">
        <f>IF(R332="","",INDEX(挂机升级突破!$AE$35:$AG$55,卡牌消耗!L332,INDEX(挂机升级突破!$X$35:$X$55,卡牌消耗!L332)))</f>
        <v/>
      </c>
      <c r="T332" s="16" t="str">
        <f>IF(INDEX(挂机升级突破!$Y$35:$Y$55,卡牌消耗!L332)&gt;0,"灵玉","")</f>
        <v/>
      </c>
      <c r="U332" s="16" t="str">
        <f>IF(INDEX(挂机升级突破!$Y$35:$Y$55,卡牌消耗!L332)&gt;0,INDEX(挂机升级突破!$AH$35:$AH$55,卡牌消耗!L332),"")</f>
        <v/>
      </c>
    </row>
    <row r="333" spans="9:21" ht="16.5" x14ac:dyDescent="0.2">
      <c r="I333" s="36">
        <v>297</v>
      </c>
      <c r="J333" s="16">
        <f t="shared" si="21"/>
        <v>1102015</v>
      </c>
      <c r="K333" s="16">
        <f t="shared" si="22"/>
        <v>2</v>
      </c>
      <c r="L333" s="16">
        <f t="shared" si="24"/>
        <v>3</v>
      </c>
      <c r="M333" s="16" t="str">
        <f t="shared" si="23"/>
        <v>红</v>
      </c>
      <c r="N333" s="16" t="str">
        <f t="shared" si="25"/>
        <v>金币</v>
      </c>
      <c r="O333" s="16">
        <f>IF(L333&gt;1,INDEX(挂机升级突破!$AI$35:$AI$55,卡牌消耗!L333),"")</f>
        <v>8500</v>
      </c>
      <c r="P333" s="16" t="str">
        <f>IF(L333&gt;1,INDEX(价值概述!$A$4:$A$8,INDEX(挂机升级突破!$W$35:$W$55,卡牌消耗!L333)),"")</f>
        <v>绿色基础材料</v>
      </c>
      <c r="Q333" s="16">
        <f>IF(L333&gt;1,INDEX(挂机升级突破!$Z$35:$AD$55,卡牌消耗!L333,INDEX(挂机升级突破!$W$35:$W$55,卡牌消耗!L333)),"")</f>
        <v>120</v>
      </c>
      <c r="R333" s="16" t="str">
        <f>IF(INDEX(挂机升级突破!$X$35:$X$55,卡牌消耗!L333)&gt;0,INDEX($G$2:$I$2,INDEX(挂机升级突破!$X$35:$X$55,卡牌消耗!L333))&amp;M333,"")</f>
        <v/>
      </c>
      <c r="S333" s="16" t="str">
        <f>IF(R333="","",INDEX(挂机升级突破!$AE$35:$AG$55,卡牌消耗!L333,INDEX(挂机升级突破!$X$35:$X$55,卡牌消耗!L333)))</f>
        <v/>
      </c>
      <c r="T333" s="16" t="str">
        <f>IF(INDEX(挂机升级突破!$Y$35:$Y$55,卡牌消耗!L333)&gt;0,"灵玉","")</f>
        <v/>
      </c>
      <c r="U333" s="16" t="str">
        <f>IF(INDEX(挂机升级突破!$Y$35:$Y$55,卡牌消耗!L333)&gt;0,INDEX(挂机升级突破!$AH$35:$AH$55,卡牌消耗!L333),"")</f>
        <v/>
      </c>
    </row>
    <row r="334" spans="9:21" ht="16.5" x14ac:dyDescent="0.2">
      <c r="I334" s="36">
        <v>298</v>
      </c>
      <c r="J334" s="16">
        <f t="shared" si="21"/>
        <v>1102015</v>
      </c>
      <c r="K334" s="16">
        <f t="shared" si="22"/>
        <v>2</v>
      </c>
      <c r="L334" s="16">
        <f t="shared" si="24"/>
        <v>4</v>
      </c>
      <c r="M334" s="16" t="str">
        <f t="shared" si="23"/>
        <v>红</v>
      </c>
      <c r="N334" s="16" t="str">
        <f t="shared" si="25"/>
        <v>金币</v>
      </c>
      <c r="O334" s="16">
        <f>IF(L334&gt;1,INDEX(挂机升级突破!$AI$35:$AI$55,卡牌消耗!L334),"")</f>
        <v>17000</v>
      </c>
      <c r="P334" s="16" t="str">
        <f>IF(L334&gt;1,INDEX(价值概述!$A$4:$A$8,INDEX(挂机升级突破!$W$35:$W$55,卡牌消耗!L334)),"")</f>
        <v>绿色基础材料</v>
      </c>
      <c r="Q334" s="16">
        <f>IF(L334&gt;1,INDEX(挂机升级突破!$Z$35:$AD$55,卡牌消耗!L334,INDEX(挂机升级突破!$W$35:$W$55,卡牌消耗!L334)),"")</f>
        <v>240</v>
      </c>
      <c r="R334" s="16" t="str">
        <f>IF(INDEX(挂机升级突破!$X$35:$X$55,卡牌消耗!L334)&gt;0,INDEX($G$2:$I$2,INDEX(挂机升级突破!$X$35:$X$55,卡牌消耗!L334))&amp;M334,"")</f>
        <v>初级红</v>
      </c>
      <c r="S334" s="16">
        <f>IF(R334="","",INDEX(挂机升级突破!$AE$35:$AG$55,卡牌消耗!L334,INDEX(挂机升级突破!$X$35:$X$55,卡牌消耗!L334)))</f>
        <v>130</v>
      </c>
      <c r="T334" s="16" t="str">
        <f>IF(INDEX(挂机升级突破!$Y$35:$Y$55,卡牌消耗!L334)&gt;0,"灵玉","")</f>
        <v/>
      </c>
      <c r="U334" s="16" t="str">
        <f>IF(INDEX(挂机升级突破!$Y$35:$Y$55,卡牌消耗!L334)&gt;0,INDEX(挂机升级突破!$AH$35:$AH$55,卡牌消耗!L334),"")</f>
        <v/>
      </c>
    </row>
    <row r="335" spans="9:21" ht="16.5" x14ac:dyDescent="0.2">
      <c r="I335" s="36">
        <v>299</v>
      </c>
      <c r="J335" s="16">
        <f t="shared" si="21"/>
        <v>1102015</v>
      </c>
      <c r="K335" s="16">
        <f t="shared" si="22"/>
        <v>2</v>
      </c>
      <c r="L335" s="16">
        <f t="shared" si="24"/>
        <v>5</v>
      </c>
      <c r="M335" s="16" t="str">
        <f t="shared" si="23"/>
        <v>红</v>
      </c>
      <c r="N335" s="16" t="str">
        <f t="shared" si="25"/>
        <v>金币</v>
      </c>
      <c r="O335" s="16">
        <f>IF(L335&gt;1,INDEX(挂机升级突破!$AI$35:$AI$55,卡牌消耗!L335),"")</f>
        <v>10500</v>
      </c>
      <c r="P335" s="16" t="str">
        <f>IF(L335&gt;1,INDEX(价值概述!$A$4:$A$8,INDEX(挂机升级突破!$W$35:$W$55,卡牌消耗!L335)),"")</f>
        <v>蓝色基础材料</v>
      </c>
      <c r="Q335" s="16">
        <f>IF(L335&gt;1,INDEX(挂机升级突破!$Z$35:$AD$55,卡牌消耗!L335,INDEX(挂机升级突破!$W$35:$W$55,卡牌消耗!L335)),"")</f>
        <v>85</v>
      </c>
      <c r="R335" s="16" t="str">
        <f>IF(INDEX(挂机升级突破!$X$35:$X$55,卡牌消耗!L335)&gt;0,INDEX($G$2:$I$2,INDEX(挂机升级突破!$X$35:$X$55,卡牌消耗!L335))&amp;M335,"")</f>
        <v>初级红</v>
      </c>
      <c r="S335" s="16">
        <f>IF(R335="","",INDEX(挂机升级突破!$AE$35:$AG$55,卡牌消耗!L335,INDEX(挂机升级突破!$X$35:$X$55,卡牌消耗!L335)))</f>
        <v>160</v>
      </c>
      <c r="T335" s="16" t="str">
        <f>IF(INDEX(挂机升级突破!$Y$35:$Y$55,卡牌消耗!L335)&gt;0,"灵玉","")</f>
        <v/>
      </c>
      <c r="U335" s="16" t="str">
        <f>IF(INDEX(挂机升级突破!$Y$35:$Y$55,卡牌消耗!L335)&gt;0,INDEX(挂机升级突破!$AH$35:$AH$55,卡牌消耗!L335),"")</f>
        <v/>
      </c>
    </row>
    <row r="336" spans="9:21" ht="16.5" x14ac:dyDescent="0.2">
      <c r="I336" s="36">
        <v>300</v>
      </c>
      <c r="J336" s="16">
        <f t="shared" si="21"/>
        <v>1102015</v>
      </c>
      <c r="K336" s="16">
        <f t="shared" si="22"/>
        <v>2</v>
      </c>
      <c r="L336" s="16">
        <f t="shared" si="24"/>
        <v>6</v>
      </c>
      <c r="M336" s="16" t="str">
        <f t="shared" si="23"/>
        <v>红</v>
      </c>
      <c r="N336" s="16" t="str">
        <f t="shared" si="25"/>
        <v>金币</v>
      </c>
      <c r="O336" s="16">
        <f>IF(L336&gt;1,INDEX(挂机升级突破!$AI$35:$AI$55,卡牌消耗!L336),"")</f>
        <v>25000</v>
      </c>
      <c r="P336" s="16" t="str">
        <f>IF(L336&gt;1,INDEX(价值概述!$A$4:$A$8,INDEX(挂机升级突破!$W$35:$W$55,卡牌消耗!L336)),"")</f>
        <v>蓝色基础材料</v>
      </c>
      <c r="Q336" s="16">
        <f>IF(L336&gt;1,INDEX(挂机升级突破!$Z$35:$AD$55,卡牌消耗!L336,INDEX(挂机升级突破!$W$35:$W$55,卡牌消耗!L336)),"")</f>
        <v>145</v>
      </c>
      <c r="R336" s="16" t="str">
        <f>IF(INDEX(挂机升级突破!$X$35:$X$55,卡牌消耗!L336)&gt;0,INDEX($G$2:$I$2,INDEX(挂机升级突破!$X$35:$X$55,卡牌消耗!L336))&amp;M336,"")</f>
        <v>初级红</v>
      </c>
      <c r="S336" s="16">
        <f>IF(R336="","",INDEX(挂机升级突破!$AE$35:$AG$55,卡牌消耗!L336,INDEX(挂机升级突破!$X$35:$X$55,卡牌消耗!L336)))</f>
        <v>175</v>
      </c>
      <c r="T336" s="16" t="str">
        <f>IF(INDEX(挂机升级突破!$Y$35:$Y$55,卡牌消耗!L336)&gt;0,"灵玉","")</f>
        <v/>
      </c>
      <c r="U336" s="16" t="str">
        <f>IF(INDEX(挂机升级突破!$Y$35:$Y$55,卡牌消耗!L336)&gt;0,INDEX(挂机升级突破!$AH$35:$AH$55,卡牌消耗!L336),"")</f>
        <v/>
      </c>
    </row>
    <row r="337" spans="9:21" ht="16.5" x14ac:dyDescent="0.2">
      <c r="I337" s="36">
        <v>301</v>
      </c>
      <c r="J337" s="16">
        <f t="shared" si="21"/>
        <v>1102015</v>
      </c>
      <c r="K337" s="16">
        <f t="shared" si="22"/>
        <v>2</v>
      </c>
      <c r="L337" s="16">
        <f t="shared" si="24"/>
        <v>7</v>
      </c>
      <c r="M337" s="16" t="str">
        <f t="shared" si="23"/>
        <v>红</v>
      </c>
      <c r="N337" s="16" t="str">
        <f t="shared" si="25"/>
        <v>金币</v>
      </c>
      <c r="O337" s="16">
        <f>IF(L337&gt;1,INDEX(挂机升级突破!$AI$35:$AI$55,卡牌消耗!L337),"")</f>
        <v>28000</v>
      </c>
      <c r="P337" s="16" t="str">
        <f>IF(L337&gt;1,INDEX(价值概述!$A$4:$A$8,INDEX(挂机升级突破!$W$35:$W$55,卡牌消耗!L337)),"")</f>
        <v>蓝色基础材料</v>
      </c>
      <c r="Q337" s="16">
        <f>IF(L337&gt;1,INDEX(挂机升级突破!$Z$35:$AD$55,卡牌消耗!L337,INDEX(挂机升级突破!$W$35:$W$55,卡牌消耗!L337)),"")</f>
        <v>185</v>
      </c>
      <c r="R337" s="16" t="str">
        <f>IF(INDEX(挂机升级突破!$X$35:$X$55,卡牌消耗!L337)&gt;0,INDEX($G$2:$I$2,INDEX(挂机升级突破!$X$35:$X$55,卡牌消耗!L337))&amp;M337,"")</f>
        <v>初级红</v>
      </c>
      <c r="S337" s="16">
        <f>IF(R337="","",INDEX(挂机升级突破!$AE$35:$AG$55,卡牌消耗!L337,INDEX(挂机升级突破!$X$35:$X$55,卡牌消耗!L337)))</f>
        <v>190</v>
      </c>
      <c r="T337" s="16" t="str">
        <f>IF(INDEX(挂机升级突破!$Y$35:$Y$55,卡牌消耗!L337)&gt;0,"灵玉","")</f>
        <v/>
      </c>
      <c r="U337" s="16" t="str">
        <f>IF(INDEX(挂机升级突破!$Y$35:$Y$55,卡牌消耗!L337)&gt;0,INDEX(挂机升级突破!$AH$35:$AH$55,卡牌消耗!L337),"")</f>
        <v/>
      </c>
    </row>
    <row r="338" spans="9:21" ht="16.5" x14ac:dyDescent="0.2">
      <c r="I338" s="36">
        <v>302</v>
      </c>
      <c r="J338" s="16">
        <f t="shared" si="21"/>
        <v>1102015</v>
      </c>
      <c r="K338" s="16">
        <f t="shared" si="22"/>
        <v>2</v>
      </c>
      <c r="L338" s="16">
        <f t="shared" si="24"/>
        <v>8</v>
      </c>
      <c r="M338" s="16" t="str">
        <f t="shared" si="23"/>
        <v>红</v>
      </c>
      <c r="N338" s="16" t="str">
        <f t="shared" si="25"/>
        <v>金币</v>
      </c>
      <c r="O338" s="16">
        <f>IF(L338&gt;1,INDEX(挂机升级突破!$AI$35:$AI$55,卡牌消耗!L338),"")</f>
        <v>31000</v>
      </c>
      <c r="P338" s="16" t="str">
        <f>IF(L338&gt;1,INDEX(价值概述!$A$4:$A$8,INDEX(挂机升级突破!$W$35:$W$55,卡牌消耗!L338)),"")</f>
        <v>蓝色基础材料</v>
      </c>
      <c r="Q338" s="16">
        <f>IF(L338&gt;1,INDEX(挂机升级突破!$Z$35:$AD$55,卡牌消耗!L338,INDEX(挂机升级突破!$W$35:$W$55,卡牌消耗!L338)),"")</f>
        <v>220</v>
      </c>
      <c r="R338" s="16" t="str">
        <f>IF(INDEX(挂机升级突破!$X$35:$X$55,卡牌消耗!L338)&gt;0,INDEX($G$2:$I$2,INDEX(挂机升级突破!$X$35:$X$55,卡牌消耗!L338))&amp;M338,"")</f>
        <v>初级红</v>
      </c>
      <c r="S338" s="16">
        <f>IF(R338="","",INDEX(挂机升级突破!$AE$35:$AG$55,卡牌消耗!L338,INDEX(挂机升级突破!$X$35:$X$55,卡牌消耗!L338)))</f>
        <v>200</v>
      </c>
      <c r="T338" s="16" t="str">
        <f>IF(INDEX(挂机升级突破!$Y$35:$Y$55,卡牌消耗!L338)&gt;0,"灵玉","")</f>
        <v/>
      </c>
      <c r="U338" s="16" t="str">
        <f>IF(INDEX(挂机升级突破!$Y$35:$Y$55,卡牌消耗!L338)&gt;0,INDEX(挂机升级突破!$AH$35:$AH$55,卡牌消耗!L338),"")</f>
        <v/>
      </c>
    </row>
    <row r="339" spans="9:21" ht="16.5" x14ac:dyDescent="0.2">
      <c r="I339" s="36">
        <v>303</v>
      </c>
      <c r="J339" s="16">
        <f t="shared" si="21"/>
        <v>1102015</v>
      </c>
      <c r="K339" s="16">
        <f t="shared" si="22"/>
        <v>2</v>
      </c>
      <c r="L339" s="16">
        <f t="shared" si="24"/>
        <v>9</v>
      </c>
      <c r="M339" s="16" t="str">
        <f t="shared" si="23"/>
        <v>红</v>
      </c>
      <c r="N339" s="16" t="str">
        <f t="shared" si="25"/>
        <v>金币</v>
      </c>
      <c r="O339" s="16">
        <f>IF(L339&gt;1,INDEX(挂机升级突破!$AI$35:$AI$55,卡牌消耗!L339),"")</f>
        <v>24000</v>
      </c>
      <c r="P339" s="16" t="str">
        <f>IF(L339&gt;1,INDEX(价值概述!$A$4:$A$8,INDEX(挂机升级突破!$W$35:$W$55,卡牌消耗!L339)),"")</f>
        <v>紫色基础材料</v>
      </c>
      <c r="Q339" s="16">
        <f>IF(L339&gt;1,INDEX(挂机升级突破!$Z$35:$AD$55,卡牌消耗!L339,INDEX(挂机升级突破!$W$35:$W$55,卡牌消耗!L339)),"")</f>
        <v>95</v>
      </c>
      <c r="R339" s="16" t="str">
        <f>IF(INDEX(挂机升级突破!$X$35:$X$55,卡牌消耗!L339)&gt;0,INDEX($G$2:$I$2,INDEX(挂机升级突破!$X$35:$X$55,卡牌消耗!L339))&amp;M339,"")</f>
        <v>中级红</v>
      </c>
      <c r="S339" s="16">
        <f>IF(R339="","",INDEX(挂机升级突破!$AE$35:$AG$55,卡牌消耗!L339,INDEX(挂机升级突破!$X$35:$X$55,卡牌消耗!L339)))</f>
        <v>80</v>
      </c>
      <c r="T339" s="16" t="str">
        <f>IF(INDEX(挂机升级突破!$Y$35:$Y$55,卡牌消耗!L339)&gt;0,"灵玉","")</f>
        <v/>
      </c>
      <c r="U339" s="16" t="str">
        <f>IF(INDEX(挂机升级突破!$Y$35:$Y$55,卡牌消耗!L339)&gt;0,INDEX(挂机升级突破!$AH$35:$AH$55,卡牌消耗!L339),"")</f>
        <v/>
      </c>
    </row>
    <row r="340" spans="9:21" ht="16.5" x14ac:dyDescent="0.2">
      <c r="I340" s="36">
        <v>304</v>
      </c>
      <c r="J340" s="16">
        <f t="shared" si="21"/>
        <v>1102015</v>
      </c>
      <c r="K340" s="16">
        <f t="shared" si="22"/>
        <v>2</v>
      </c>
      <c r="L340" s="16">
        <f t="shared" si="24"/>
        <v>10</v>
      </c>
      <c r="M340" s="16" t="str">
        <f t="shared" si="23"/>
        <v>红</v>
      </c>
      <c r="N340" s="16" t="str">
        <f t="shared" si="25"/>
        <v>金币</v>
      </c>
      <c r="O340" s="16">
        <f>IF(L340&gt;1,INDEX(挂机升级突破!$AI$35:$AI$55,卡牌消耗!L340),"")</f>
        <v>26500</v>
      </c>
      <c r="P340" s="16" t="str">
        <f>IF(L340&gt;1,INDEX(价值概述!$A$4:$A$8,INDEX(挂机升级突破!$W$35:$W$55,卡牌消耗!L340)),"")</f>
        <v>紫色基础材料</v>
      </c>
      <c r="Q340" s="16">
        <f>IF(L340&gt;1,INDEX(挂机升级突破!$Z$35:$AD$55,卡牌消耗!L340,INDEX(挂机升级突破!$W$35:$W$55,卡牌消耗!L340)),"")</f>
        <v>175</v>
      </c>
      <c r="R340" s="16" t="str">
        <f>IF(INDEX(挂机升级突破!$X$35:$X$55,卡牌消耗!L340)&gt;0,INDEX($G$2:$I$2,INDEX(挂机升级突破!$X$35:$X$55,卡牌消耗!L340))&amp;M340,"")</f>
        <v>中级红</v>
      </c>
      <c r="S340" s="16">
        <f>IF(R340="","",INDEX(挂机升级突破!$AE$35:$AG$55,卡牌消耗!L340,INDEX(挂机升级突破!$X$35:$X$55,卡牌消耗!L340)))</f>
        <v>120</v>
      </c>
      <c r="T340" s="16" t="str">
        <f>IF(INDEX(挂机升级突破!$Y$35:$Y$55,卡牌消耗!L340)&gt;0,"灵玉","")</f>
        <v/>
      </c>
      <c r="U340" s="16" t="str">
        <f>IF(INDEX(挂机升级突破!$Y$35:$Y$55,卡牌消耗!L340)&gt;0,INDEX(挂机升级突破!$AH$35:$AH$55,卡牌消耗!L340),"")</f>
        <v/>
      </c>
    </row>
    <row r="341" spans="9:21" ht="16.5" x14ac:dyDescent="0.2">
      <c r="I341" s="36">
        <v>305</v>
      </c>
      <c r="J341" s="16">
        <f t="shared" si="21"/>
        <v>1102015</v>
      </c>
      <c r="K341" s="16">
        <f t="shared" si="22"/>
        <v>2</v>
      </c>
      <c r="L341" s="16">
        <f t="shared" si="24"/>
        <v>11</v>
      </c>
      <c r="M341" s="16" t="str">
        <f t="shared" si="23"/>
        <v>红</v>
      </c>
      <c r="N341" s="16" t="str">
        <f t="shared" si="25"/>
        <v>金币</v>
      </c>
      <c r="O341" s="16">
        <f>IF(L341&gt;1,INDEX(挂机升级突破!$AI$35:$AI$55,卡牌消耗!L341),"")</f>
        <v>28500</v>
      </c>
      <c r="P341" s="16" t="str">
        <f>IF(L341&gt;1,INDEX(价值概述!$A$4:$A$8,INDEX(挂机升级突破!$W$35:$W$55,卡牌消耗!L341)),"")</f>
        <v>紫色基础材料</v>
      </c>
      <c r="Q341" s="16">
        <f>IF(L341&gt;1,INDEX(挂机升级突破!$Z$35:$AD$55,卡牌消耗!L341,INDEX(挂机升级突破!$W$35:$W$55,卡牌消耗!L341)),"")</f>
        <v>245</v>
      </c>
      <c r="R341" s="16" t="str">
        <f>IF(INDEX(挂机升级突破!$X$35:$X$55,卡牌消耗!L341)&gt;0,INDEX($G$2:$I$2,INDEX(挂机升级突破!$X$35:$X$55,卡牌消耗!L341))&amp;M341,"")</f>
        <v>中级红</v>
      </c>
      <c r="S341" s="16">
        <f>IF(R341="","",INDEX(挂机升级突破!$AE$35:$AG$55,卡牌消耗!L341,INDEX(挂机升级突破!$X$35:$X$55,卡牌消耗!L341)))</f>
        <v>170</v>
      </c>
      <c r="T341" s="16" t="str">
        <f>IF(INDEX(挂机升级突破!$Y$35:$Y$55,卡牌消耗!L341)&gt;0,"灵玉","")</f>
        <v/>
      </c>
      <c r="U341" s="16" t="str">
        <f>IF(INDEX(挂机升级突破!$Y$35:$Y$55,卡牌消耗!L341)&gt;0,INDEX(挂机升级突破!$AH$35:$AH$55,卡牌消耗!L341),"")</f>
        <v/>
      </c>
    </row>
    <row r="342" spans="9:21" ht="16.5" x14ac:dyDescent="0.2">
      <c r="I342" s="36">
        <v>306</v>
      </c>
      <c r="J342" s="16">
        <f t="shared" si="21"/>
        <v>1102015</v>
      </c>
      <c r="K342" s="16">
        <f t="shared" si="22"/>
        <v>2</v>
      </c>
      <c r="L342" s="16">
        <f t="shared" si="24"/>
        <v>12</v>
      </c>
      <c r="M342" s="16" t="str">
        <f t="shared" si="23"/>
        <v>红</v>
      </c>
      <c r="N342" s="16" t="str">
        <f t="shared" si="25"/>
        <v>金币</v>
      </c>
      <c r="O342" s="16">
        <f>IF(L342&gt;1,INDEX(挂机升级突破!$AI$35:$AI$55,卡牌消耗!L342),"")</f>
        <v>30500</v>
      </c>
      <c r="P342" s="16" t="str">
        <f>IF(L342&gt;1,INDEX(价值概述!$A$4:$A$8,INDEX(挂机升级突破!$W$35:$W$55,卡牌消耗!L342)),"")</f>
        <v>紫色基础材料</v>
      </c>
      <c r="Q342" s="16">
        <f>IF(L342&gt;1,INDEX(挂机升级突破!$Z$35:$AD$55,卡牌消耗!L342,INDEX(挂机升级突破!$W$35:$W$55,卡牌消耗!L342)),"")</f>
        <v>305</v>
      </c>
      <c r="R342" s="16" t="str">
        <f>IF(INDEX(挂机升级突破!$X$35:$X$55,卡牌消耗!L342)&gt;0,INDEX($G$2:$I$2,INDEX(挂机升级突破!$X$35:$X$55,卡牌消耗!L342))&amp;M342,"")</f>
        <v>中级红</v>
      </c>
      <c r="S342" s="16">
        <f>IF(R342="","",INDEX(挂机升级突破!$AE$35:$AG$55,卡牌消耗!L342,INDEX(挂机升级突破!$X$35:$X$55,卡牌消耗!L342)))</f>
        <v>200</v>
      </c>
      <c r="T342" s="16" t="str">
        <f>IF(INDEX(挂机升级突破!$Y$35:$Y$55,卡牌消耗!L342)&gt;0,"灵玉","")</f>
        <v/>
      </c>
      <c r="U342" s="16" t="str">
        <f>IF(INDEX(挂机升级突破!$Y$35:$Y$55,卡牌消耗!L342)&gt;0,INDEX(挂机升级突破!$AH$35:$AH$55,卡牌消耗!L342),"")</f>
        <v/>
      </c>
    </row>
    <row r="343" spans="9:21" ht="16.5" x14ac:dyDescent="0.2">
      <c r="I343" s="36">
        <v>307</v>
      </c>
      <c r="J343" s="16">
        <f t="shared" si="21"/>
        <v>1102015</v>
      </c>
      <c r="K343" s="16">
        <f t="shared" si="22"/>
        <v>2</v>
      </c>
      <c r="L343" s="16">
        <f t="shared" si="24"/>
        <v>13</v>
      </c>
      <c r="M343" s="16" t="str">
        <f t="shared" si="23"/>
        <v>红</v>
      </c>
      <c r="N343" s="16" t="str">
        <f t="shared" si="25"/>
        <v>金币</v>
      </c>
      <c r="O343" s="16">
        <f>IF(L343&gt;1,INDEX(挂机升级突破!$AI$35:$AI$55,卡牌消耗!L343),"")</f>
        <v>38500</v>
      </c>
      <c r="P343" s="16" t="str">
        <f>IF(L343&gt;1,INDEX(价值概述!$A$4:$A$8,INDEX(挂机升级突破!$W$35:$W$55,卡牌消耗!L343)),"")</f>
        <v>橙色基础材料</v>
      </c>
      <c r="Q343" s="16">
        <f>IF(L343&gt;1,INDEX(挂机升级突破!$Z$35:$AD$55,卡牌消耗!L343,INDEX(挂机升级突破!$W$35:$W$55,卡牌消耗!L343)),"")</f>
        <v>115</v>
      </c>
      <c r="R343" s="16" t="str">
        <f>IF(INDEX(挂机升级突破!$X$35:$X$55,卡牌消耗!L343)&gt;0,INDEX($G$2:$I$2,INDEX(挂机升级突破!$X$35:$X$55,卡牌消耗!L343))&amp;M343,"")</f>
        <v>中级红</v>
      </c>
      <c r="S343" s="16">
        <f>IF(R343="","",INDEX(挂机升级突破!$AE$35:$AG$55,卡牌消耗!L343,INDEX(挂机升级突破!$X$35:$X$55,卡牌消耗!L343)))</f>
        <v>225</v>
      </c>
      <c r="T343" s="16" t="str">
        <f>IF(INDEX(挂机升级突破!$Y$35:$Y$55,卡牌消耗!L343)&gt;0,"灵玉","")</f>
        <v/>
      </c>
      <c r="U343" s="16" t="str">
        <f>IF(INDEX(挂机升级突破!$Y$35:$Y$55,卡牌消耗!L343)&gt;0,INDEX(挂机升级突破!$AH$35:$AH$55,卡牌消耗!L343),"")</f>
        <v/>
      </c>
    </row>
    <row r="344" spans="9:21" ht="16.5" x14ac:dyDescent="0.2">
      <c r="I344" s="36">
        <v>308</v>
      </c>
      <c r="J344" s="16">
        <f t="shared" si="21"/>
        <v>1102015</v>
      </c>
      <c r="K344" s="16">
        <f t="shared" si="22"/>
        <v>2</v>
      </c>
      <c r="L344" s="16">
        <f t="shared" si="24"/>
        <v>14</v>
      </c>
      <c r="M344" s="16" t="str">
        <f t="shared" si="23"/>
        <v>红</v>
      </c>
      <c r="N344" s="16" t="str">
        <f t="shared" si="25"/>
        <v>金币</v>
      </c>
      <c r="O344" s="16">
        <f>IF(L344&gt;1,INDEX(挂机升级突破!$AI$35:$AI$55,卡牌消耗!L344),"")</f>
        <v>51000</v>
      </c>
      <c r="P344" s="16" t="str">
        <f>IF(L344&gt;1,INDEX(价值概述!$A$4:$A$8,INDEX(挂机升级突破!$W$35:$W$55,卡牌消耗!L344)),"")</f>
        <v>橙色基础材料</v>
      </c>
      <c r="Q344" s="16">
        <f>IF(L344&gt;1,INDEX(挂机升级突破!$Z$35:$AD$55,卡牌消耗!L344,INDEX(挂机升级突破!$W$35:$W$55,卡牌消耗!L344)),"")</f>
        <v>235</v>
      </c>
      <c r="R344" s="16" t="str">
        <f>IF(INDEX(挂机升级突破!$X$35:$X$55,卡牌消耗!L344)&gt;0,INDEX($G$2:$I$2,INDEX(挂机升级突破!$X$35:$X$55,卡牌消耗!L344))&amp;M344,"")</f>
        <v>中级红</v>
      </c>
      <c r="S344" s="16">
        <f>IF(R344="","",INDEX(挂机升级突破!$AE$35:$AG$55,卡牌消耗!L344,INDEX(挂机升级突破!$X$35:$X$55,卡牌消耗!L344)))</f>
        <v>265</v>
      </c>
      <c r="T344" s="16" t="str">
        <f>IF(INDEX(挂机升级突破!$Y$35:$Y$55,卡牌消耗!L344)&gt;0,"灵玉","")</f>
        <v/>
      </c>
      <c r="U344" s="16" t="str">
        <f>IF(INDEX(挂机升级突破!$Y$35:$Y$55,卡牌消耗!L344)&gt;0,INDEX(挂机升级突破!$AH$35:$AH$55,卡牌消耗!L344),"")</f>
        <v/>
      </c>
    </row>
    <row r="345" spans="9:21" ht="16.5" x14ac:dyDescent="0.2">
      <c r="I345" s="36">
        <v>309</v>
      </c>
      <c r="J345" s="16">
        <f t="shared" si="21"/>
        <v>1102015</v>
      </c>
      <c r="K345" s="16">
        <f t="shared" si="22"/>
        <v>2</v>
      </c>
      <c r="L345" s="16">
        <f t="shared" si="24"/>
        <v>15</v>
      </c>
      <c r="M345" s="16" t="str">
        <f t="shared" si="23"/>
        <v>红</v>
      </c>
      <c r="N345" s="16" t="str">
        <f t="shared" si="25"/>
        <v>金币</v>
      </c>
      <c r="O345" s="16">
        <f>IF(L345&gt;1,INDEX(挂机升级突破!$AI$35:$AI$55,卡牌消耗!L345),"")</f>
        <v>60000</v>
      </c>
      <c r="P345" s="16" t="str">
        <f>IF(L345&gt;1,INDEX(价值概述!$A$4:$A$8,INDEX(挂机升级突破!$W$35:$W$55,卡牌消耗!L345)),"")</f>
        <v>橙色基础材料</v>
      </c>
      <c r="Q345" s="16">
        <f>IF(L345&gt;1,INDEX(挂机升级突破!$Z$35:$AD$55,卡牌消耗!L345,INDEX(挂机升级突破!$W$35:$W$55,卡牌消耗!L345)),"")</f>
        <v>355</v>
      </c>
      <c r="R345" s="16" t="str">
        <f>IF(INDEX(挂机升级突破!$X$35:$X$55,卡牌消耗!L345)&gt;0,INDEX($G$2:$I$2,INDEX(挂机升级突破!$X$35:$X$55,卡牌消耗!L345))&amp;M345,"")</f>
        <v>高级红</v>
      </c>
      <c r="S345" s="16">
        <f>IF(R345="","",INDEX(挂机升级突破!$AE$35:$AG$55,卡牌消耗!L345,INDEX(挂机升级突破!$X$35:$X$55,卡牌消耗!L345)))</f>
        <v>45</v>
      </c>
      <c r="T345" s="16" t="str">
        <f>IF(INDEX(挂机升级突破!$Y$35:$Y$55,卡牌消耗!L345)&gt;0,"灵玉","")</f>
        <v/>
      </c>
      <c r="U345" s="16" t="str">
        <f>IF(INDEX(挂机升级突破!$Y$35:$Y$55,卡牌消耗!L345)&gt;0,INDEX(挂机升级突破!$AH$35:$AH$55,卡牌消耗!L345),"")</f>
        <v/>
      </c>
    </row>
    <row r="346" spans="9:21" ht="16.5" x14ac:dyDescent="0.2">
      <c r="I346" s="36">
        <v>310</v>
      </c>
      <c r="J346" s="16">
        <f t="shared" si="21"/>
        <v>1102015</v>
      </c>
      <c r="K346" s="16">
        <f t="shared" si="22"/>
        <v>2</v>
      </c>
      <c r="L346" s="16">
        <f t="shared" si="24"/>
        <v>16</v>
      </c>
      <c r="M346" s="16" t="str">
        <f t="shared" si="23"/>
        <v>红</v>
      </c>
      <c r="N346" s="16" t="str">
        <f t="shared" si="25"/>
        <v>金币</v>
      </c>
      <c r="O346" s="16">
        <f>IF(L346&gt;1,INDEX(挂机升级突破!$AI$35:$AI$55,卡牌消耗!L346),"")</f>
        <v>69000</v>
      </c>
      <c r="P346" s="16" t="str">
        <f>IF(L346&gt;1,INDEX(价值概述!$A$4:$A$8,INDEX(挂机升级突破!$W$35:$W$55,卡牌消耗!L346)),"")</f>
        <v>橙色基础材料</v>
      </c>
      <c r="Q346" s="16">
        <f>IF(L346&gt;1,INDEX(挂机升级突破!$Z$35:$AD$55,卡牌消耗!L346,INDEX(挂机升级突破!$W$35:$W$55,卡牌消耗!L346)),"")</f>
        <v>475</v>
      </c>
      <c r="R346" s="16" t="str">
        <f>IF(INDEX(挂机升级突破!$X$35:$X$55,卡牌消耗!L346)&gt;0,INDEX($G$2:$I$2,INDEX(挂机升级突破!$X$35:$X$55,卡牌消耗!L346))&amp;M346,"")</f>
        <v>高级红</v>
      </c>
      <c r="S346" s="16">
        <f>IF(R346="","",INDEX(挂机升级突破!$AE$35:$AG$55,卡牌消耗!L346,INDEX(挂机升级突破!$X$35:$X$55,卡牌消耗!L346)))</f>
        <v>70</v>
      </c>
      <c r="T346" s="16" t="str">
        <f>IF(INDEX(挂机升级突破!$Y$35:$Y$55,卡牌消耗!L346)&gt;0,"灵玉","")</f>
        <v/>
      </c>
      <c r="U346" s="16" t="str">
        <f>IF(INDEX(挂机升级突破!$Y$35:$Y$55,卡牌消耗!L346)&gt;0,INDEX(挂机升级突破!$AH$35:$AH$55,卡牌消耗!L346),"")</f>
        <v/>
      </c>
    </row>
    <row r="347" spans="9:21" ht="16.5" x14ac:dyDescent="0.2">
      <c r="I347" s="36">
        <v>311</v>
      </c>
      <c r="J347" s="16">
        <f t="shared" si="21"/>
        <v>1102015</v>
      </c>
      <c r="K347" s="16">
        <f t="shared" si="22"/>
        <v>2</v>
      </c>
      <c r="L347" s="16">
        <f t="shared" si="24"/>
        <v>17</v>
      </c>
      <c r="M347" s="16" t="str">
        <f t="shared" si="23"/>
        <v>红</v>
      </c>
      <c r="N347" s="16" t="str">
        <f t="shared" si="25"/>
        <v>金币</v>
      </c>
      <c r="O347" s="16">
        <f>IF(L347&gt;1,INDEX(挂机升级突破!$AI$35:$AI$55,卡牌消耗!L347),"")</f>
        <v>76500</v>
      </c>
      <c r="P347" s="16" t="str">
        <f>IF(L347&gt;1,INDEX(价值概述!$A$4:$A$8,INDEX(挂机升级突破!$W$35:$W$55,卡牌消耗!L347)),"")</f>
        <v>红色基础材料</v>
      </c>
      <c r="Q347" s="16">
        <f>IF(L347&gt;1,INDEX(挂机升级突破!$Z$35:$AD$55,卡牌消耗!L347,INDEX(挂机升级突破!$W$35:$W$55,卡牌消耗!L347)),"")</f>
        <v>45</v>
      </c>
      <c r="R347" s="16" t="str">
        <f>IF(INDEX(挂机升级突破!$X$35:$X$55,卡牌消耗!L347)&gt;0,INDEX($G$2:$I$2,INDEX(挂机升级突破!$X$35:$X$55,卡牌消耗!L347))&amp;M347,"")</f>
        <v>高级红</v>
      </c>
      <c r="S347" s="16">
        <f>IF(R347="","",INDEX(挂机升级突破!$AE$35:$AG$55,卡牌消耗!L347,INDEX(挂机升级突破!$X$35:$X$55,卡牌消耗!L347)))</f>
        <v>100</v>
      </c>
      <c r="T347" s="16" t="str">
        <f>IF(INDEX(挂机升级突破!$Y$35:$Y$55,卡牌消耗!L347)&gt;0,"灵玉","")</f>
        <v>灵玉</v>
      </c>
      <c r="U347" s="16">
        <f>IF(INDEX(挂机升级突破!$Y$35:$Y$55,卡牌消耗!L347)&gt;0,INDEX(挂机升级突破!$AH$35:$AH$55,卡牌消耗!L347),"")</f>
        <v>25</v>
      </c>
    </row>
    <row r="348" spans="9:21" ht="16.5" x14ac:dyDescent="0.2">
      <c r="I348" s="36">
        <v>312</v>
      </c>
      <c r="J348" s="16">
        <f t="shared" si="21"/>
        <v>1102015</v>
      </c>
      <c r="K348" s="16">
        <f t="shared" si="22"/>
        <v>2</v>
      </c>
      <c r="L348" s="16">
        <f t="shared" si="24"/>
        <v>18</v>
      </c>
      <c r="M348" s="16" t="str">
        <f t="shared" si="23"/>
        <v>红</v>
      </c>
      <c r="N348" s="16" t="str">
        <f t="shared" si="25"/>
        <v>金币</v>
      </c>
      <c r="O348" s="16">
        <f>IF(L348&gt;1,INDEX(挂机升级突破!$AI$35:$AI$55,卡牌消耗!L348),"")</f>
        <v>107000</v>
      </c>
      <c r="P348" s="16" t="str">
        <f>IF(L348&gt;1,INDEX(价值概述!$A$4:$A$8,INDEX(挂机升级突破!$W$35:$W$55,卡牌消耗!L348)),"")</f>
        <v>红色基础材料</v>
      </c>
      <c r="Q348" s="16">
        <f>IF(L348&gt;1,INDEX(挂机升级突破!$Z$35:$AD$55,卡牌消耗!L348,INDEX(挂机升级突破!$W$35:$W$55,卡牌消耗!L348)),"")</f>
        <v>65</v>
      </c>
      <c r="R348" s="16" t="str">
        <f>IF(INDEX(挂机升级突破!$X$35:$X$55,卡牌消耗!L348)&gt;0,INDEX($G$2:$I$2,INDEX(挂机升级突破!$X$35:$X$55,卡牌消耗!L348))&amp;M348,"")</f>
        <v>高级红</v>
      </c>
      <c r="S348" s="16">
        <f>IF(R348="","",INDEX(挂机升级突破!$AE$35:$AG$55,卡牌消耗!L348,INDEX(挂机升级突破!$X$35:$X$55,卡牌消耗!L348)))</f>
        <v>125</v>
      </c>
      <c r="T348" s="16" t="str">
        <f>IF(INDEX(挂机升级突破!$Y$35:$Y$55,卡牌消耗!L348)&gt;0,"灵玉","")</f>
        <v>灵玉</v>
      </c>
      <c r="U348" s="16">
        <f>IF(INDEX(挂机升级突破!$Y$35:$Y$55,卡牌消耗!L348)&gt;0,INDEX(挂机升级突破!$AH$35:$AH$55,卡牌消耗!L348),"")</f>
        <v>35</v>
      </c>
    </row>
    <row r="349" spans="9:21" ht="16.5" x14ac:dyDescent="0.2">
      <c r="I349" s="36">
        <v>313</v>
      </c>
      <c r="J349" s="16">
        <f t="shared" si="21"/>
        <v>1102015</v>
      </c>
      <c r="K349" s="16">
        <f t="shared" si="22"/>
        <v>2</v>
      </c>
      <c r="L349" s="16">
        <f t="shared" si="24"/>
        <v>19</v>
      </c>
      <c r="M349" s="16" t="str">
        <f t="shared" si="23"/>
        <v>红</v>
      </c>
      <c r="N349" s="16" t="str">
        <f t="shared" si="25"/>
        <v>金币</v>
      </c>
      <c r="O349" s="16">
        <f>IF(L349&gt;1,INDEX(挂机升级突破!$AI$35:$AI$55,卡牌消耗!L349),"")</f>
        <v>142500</v>
      </c>
      <c r="P349" s="16" t="str">
        <f>IF(L349&gt;1,INDEX(价值概述!$A$4:$A$8,INDEX(挂机升级突破!$W$35:$W$55,卡牌消耗!L349)),"")</f>
        <v>红色基础材料</v>
      </c>
      <c r="Q349" s="16">
        <f>IF(L349&gt;1,INDEX(挂机升级突破!$Z$35:$AD$55,卡牌消耗!L349,INDEX(挂机升级突破!$W$35:$W$55,卡牌消耗!L349)),"")</f>
        <v>90</v>
      </c>
      <c r="R349" s="16" t="str">
        <f>IF(INDEX(挂机升级突破!$X$35:$X$55,卡牌消耗!L349)&gt;0,INDEX($G$2:$I$2,INDEX(挂机升级突破!$X$35:$X$55,卡牌消耗!L349))&amp;M349,"")</f>
        <v>高级红</v>
      </c>
      <c r="S349" s="16">
        <f>IF(R349="","",INDEX(挂机升级突破!$AE$35:$AG$55,卡牌消耗!L349,INDEX(挂机升级突破!$X$35:$X$55,卡牌消耗!L349)))</f>
        <v>155</v>
      </c>
      <c r="T349" s="16" t="str">
        <f>IF(INDEX(挂机升级突破!$Y$35:$Y$55,卡牌消耗!L349)&gt;0,"灵玉","")</f>
        <v>灵玉</v>
      </c>
      <c r="U349" s="16">
        <f>IF(INDEX(挂机升级突破!$Y$35:$Y$55,卡牌消耗!L349)&gt;0,INDEX(挂机升级突破!$AH$35:$AH$55,卡牌消耗!L349),"")</f>
        <v>50</v>
      </c>
    </row>
    <row r="350" spans="9:21" ht="16.5" x14ac:dyDescent="0.2">
      <c r="I350" s="36">
        <v>314</v>
      </c>
      <c r="J350" s="16">
        <f t="shared" si="21"/>
        <v>1102015</v>
      </c>
      <c r="K350" s="16">
        <f t="shared" si="22"/>
        <v>2</v>
      </c>
      <c r="L350" s="16">
        <f t="shared" si="24"/>
        <v>20</v>
      </c>
      <c r="M350" s="16" t="str">
        <f t="shared" si="23"/>
        <v>红</v>
      </c>
      <c r="N350" s="16" t="str">
        <f t="shared" si="25"/>
        <v>金币</v>
      </c>
      <c r="O350" s="16">
        <f>IF(L350&gt;1,INDEX(挂机升级突破!$AI$35:$AI$55,卡牌消耗!L350),"")</f>
        <v>178500</v>
      </c>
      <c r="P350" s="16" t="str">
        <f>IF(L350&gt;1,INDEX(价值概述!$A$4:$A$8,INDEX(挂机升级突破!$W$35:$W$55,卡牌消耗!L350)),"")</f>
        <v>红色基础材料</v>
      </c>
      <c r="Q350" s="16">
        <f>IF(L350&gt;1,INDEX(挂机升级突破!$Z$35:$AD$55,卡牌消耗!L350,INDEX(挂机升级突破!$W$35:$W$55,卡牌消耗!L350)),"")</f>
        <v>110</v>
      </c>
      <c r="R350" s="16" t="str">
        <f>IF(INDEX(挂机升级突破!$X$35:$X$55,卡牌消耗!L350)&gt;0,INDEX($G$2:$I$2,INDEX(挂机升级突破!$X$35:$X$55,卡牌消耗!L350))&amp;M350,"")</f>
        <v>高级红</v>
      </c>
      <c r="S350" s="16">
        <f>IF(R350="","",INDEX(挂机升级突破!$AE$35:$AG$55,卡牌消耗!L350,INDEX(挂机升级突破!$X$35:$X$55,卡牌消耗!L350)))</f>
        <v>180</v>
      </c>
      <c r="T350" s="16" t="str">
        <f>IF(INDEX(挂机升级突破!$Y$35:$Y$55,卡牌消耗!L350)&gt;0,"灵玉","")</f>
        <v>灵玉</v>
      </c>
      <c r="U350" s="16">
        <f>IF(INDEX(挂机升级突破!$Y$35:$Y$55,卡牌消耗!L350)&gt;0,INDEX(挂机升级突破!$AH$35:$AH$55,卡牌消耗!L350),"")</f>
        <v>65</v>
      </c>
    </row>
    <row r="351" spans="9:21" ht="16.5" x14ac:dyDescent="0.2">
      <c r="I351" s="36">
        <v>315</v>
      </c>
      <c r="J351" s="16">
        <f t="shared" si="21"/>
        <v>1102015</v>
      </c>
      <c r="K351" s="16">
        <f t="shared" si="22"/>
        <v>2</v>
      </c>
      <c r="L351" s="16">
        <f t="shared" si="24"/>
        <v>21</v>
      </c>
      <c r="M351" s="16" t="str">
        <f t="shared" si="23"/>
        <v>红</v>
      </c>
      <c r="N351" s="16" t="str">
        <f t="shared" si="25"/>
        <v>金币</v>
      </c>
      <c r="O351" s="16">
        <f>IF(L351&gt;1,INDEX(挂机升级突破!$AI$35:$AI$55,卡牌消耗!L351),"")</f>
        <v>214000</v>
      </c>
      <c r="P351" s="16" t="str">
        <f>IF(L351&gt;1,INDEX(价值概述!$A$4:$A$8,INDEX(挂机升级突破!$W$35:$W$55,卡牌消耗!L351)),"")</f>
        <v>红色基础材料</v>
      </c>
      <c r="Q351" s="16">
        <f>IF(L351&gt;1,INDEX(挂机升级突破!$Z$35:$AD$55,卡牌消耗!L351,INDEX(挂机升级突破!$W$35:$W$55,卡牌消耗!L351)),"")</f>
        <v>135</v>
      </c>
      <c r="R351" s="16" t="str">
        <f>IF(INDEX(挂机升级突破!$X$35:$X$55,卡牌消耗!L351)&gt;0,INDEX($G$2:$I$2,INDEX(挂机升级突破!$X$35:$X$55,卡牌消耗!L351))&amp;M351,"")</f>
        <v>高级红</v>
      </c>
      <c r="S351" s="16">
        <f>IF(R351="","",INDEX(挂机升级突破!$AE$35:$AG$55,卡牌消耗!L351,INDEX(挂机升级突破!$X$35:$X$55,卡牌消耗!L351)))</f>
        <v>225</v>
      </c>
      <c r="T351" s="16" t="str">
        <f>IF(INDEX(挂机升级突破!$Y$35:$Y$55,卡牌消耗!L351)&gt;0,"灵玉","")</f>
        <v>灵玉</v>
      </c>
      <c r="U351" s="16">
        <f>IF(INDEX(挂机升级突破!$Y$35:$Y$55,卡牌消耗!L351)&gt;0,INDEX(挂机升级突破!$AH$35:$AH$55,卡牌消耗!L351),"")</f>
        <v>75</v>
      </c>
    </row>
    <row r="352" spans="9:21" ht="16.5" x14ac:dyDescent="0.2">
      <c r="I352" s="36">
        <v>316</v>
      </c>
      <c r="J352" s="16">
        <f t="shared" si="21"/>
        <v>1102016</v>
      </c>
      <c r="K352" s="16">
        <f t="shared" si="22"/>
        <v>4</v>
      </c>
      <c r="L352" s="16">
        <f t="shared" si="24"/>
        <v>1</v>
      </c>
      <c r="M352" s="16" t="str">
        <f t="shared" si="23"/>
        <v>黄</v>
      </c>
      <c r="N352" s="16" t="str">
        <f t="shared" si="25"/>
        <v/>
      </c>
      <c r="O352" s="16" t="str">
        <f>IF(L352&gt;1,INDEX(挂机升级突破!$AI$35:$AI$55,卡牌消耗!L352),"")</f>
        <v/>
      </c>
      <c r="P352" s="16" t="str">
        <f>IF(L352&gt;1,INDEX(价值概述!$A$4:$A$8,INDEX(挂机升级突破!$W$35:$W$55,卡牌消耗!L352)),"")</f>
        <v/>
      </c>
      <c r="Q352" s="16" t="str">
        <f>IF(L352&gt;1,INDEX(挂机升级突破!$Z$35:$AD$55,卡牌消耗!L352,INDEX(挂机升级突破!$W$35:$W$55,卡牌消耗!L352)),"")</f>
        <v/>
      </c>
      <c r="R352" s="16" t="str">
        <f>IF(INDEX(挂机升级突破!$X$35:$X$55,卡牌消耗!L352)&gt;0,INDEX($G$2:$I$2,INDEX(挂机升级突破!$X$35:$X$55,卡牌消耗!L352))&amp;M352,"")</f>
        <v/>
      </c>
      <c r="S352" s="16" t="str">
        <f>IF(R352="","",INDEX(挂机升级突破!$AE$35:$AG$55,卡牌消耗!L352,INDEX(挂机升级突破!$X$35:$X$55,卡牌消耗!L352)))</f>
        <v/>
      </c>
      <c r="T352" s="16" t="str">
        <f>IF(INDEX(挂机升级突破!$Y$35:$Y$55,卡牌消耗!L352)&gt;0,"灵玉","")</f>
        <v/>
      </c>
      <c r="U352" s="16" t="str">
        <f>IF(INDEX(挂机升级突破!$Y$35:$Y$55,卡牌消耗!L352)&gt;0,INDEX(挂机升级突破!$AH$35:$AH$55,卡牌消耗!L352),"")</f>
        <v/>
      </c>
    </row>
    <row r="353" spans="9:21" ht="16.5" x14ac:dyDescent="0.2">
      <c r="I353" s="36">
        <v>317</v>
      </c>
      <c r="J353" s="16">
        <f t="shared" si="21"/>
        <v>1102016</v>
      </c>
      <c r="K353" s="16">
        <f t="shared" si="22"/>
        <v>4</v>
      </c>
      <c r="L353" s="16">
        <f t="shared" si="24"/>
        <v>2</v>
      </c>
      <c r="M353" s="16" t="str">
        <f t="shared" si="23"/>
        <v>黄</v>
      </c>
      <c r="N353" s="16" t="str">
        <f t="shared" si="25"/>
        <v>金币</v>
      </c>
      <c r="O353" s="16">
        <f>IF(L353&gt;1,INDEX(挂机升级突破!$AI$35:$AI$55,卡牌消耗!L353),"")</f>
        <v>2500</v>
      </c>
      <c r="P353" s="16" t="str">
        <f>IF(L353&gt;1,INDEX(价值概述!$A$4:$A$8,INDEX(挂机升级突破!$W$35:$W$55,卡牌消耗!L353)),"")</f>
        <v>绿色基础材料</v>
      </c>
      <c r="Q353" s="16">
        <f>IF(L353&gt;1,INDEX(挂机升级突破!$Z$35:$AD$55,卡牌消耗!L353,INDEX(挂机升级突破!$W$35:$W$55,卡牌消耗!L353)),"")</f>
        <v>40</v>
      </c>
      <c r="R353" s="16" t="str">
        <f>IF(INDEX(挂机升级突破!$X$35:$X$55,卡牌消耗!L353)&gt;0,INDEX($G$2:$I$2,INDEX(挂机升级突破!$X$35:$X$55,卡牌消耗!L353))&amp;M353,"")</f>
        <v/>
      </c>
      <c r="S353" s="16" t="str">
        <f>IF(R353="","",INDEX(挂机升级突破!$AE$35:$AG$55,卡牌消耗!L353,INDEX(挂机升级突破!$X$35:$X$55,卡牌消耗!L353)))</f>
        <v/>
      </c>
      <c r="T353" s="16" t="str">
        <f>IF(INDEX(挂机升级突破!$Y$35:$Y$55,卡牌消耗!L353)&gt;0,"灵玉","")</f>
        <v/>
      </c>
      <c r="U353" s="16" t="str">
        <f>IF(INDEX(挂机升级突破!$Y$35:$Y$55,卡牌消耗!L353)&gt;0,INDEX(挂机升级突破!$AH$35:$AH$55,卡牌消耗!L353),"")</f>
        <v/>
      </c>
    </row>
    <row r="354" spans="9:21" ht="16.5" x14ac:dyDescent="0.2">
      <c r="I354" s="36">
        <v>318</v>
      </c>
      <c r="J354" s="16">
        <f t="shared" si="21"/>
        <v>1102016</v>
      </c>
      <c r="K354" s="16">
        <f t="shared" si="22"/>
        <v>4</v>
      </c>
      <c r="L354" s="16">
        <f t="shared" si="24"/>
        <v>3</v>
      </c>
      <c r="M354" s="16" t="str">
        <f t="shared" si="23"/>
        <v>黄</v>
      </c>
      <c r="N354" s="16" t="str">
        <f t="shared" si="25"/>
        <v>金币</v>
      </c>
      <c r="O354" s="16">
        <f>IF(L354&gt;1,INDEX(挂机升级突破!$AI$35:$AI$55,卡牌消耗!L354),"")</f>
        <v>8500</v>
      </c>
      <c r="P354" s="16" t="str">
        <f>IF(L354&gt;1,INDEX(价值概述!$A$4:$A$8,INDEX(挂机升级突破!$W$35:$W$55,卡牌消耗!L354)),"")</f>
        <v>绿色基础材料</v>
      </c>
      <c r="Q354" s="16">
        <f>IF(L354&gt;1,INDEX(挂机升级突破!$Z$35:$AD$55,卡牌消耗!L354,INDEX(挂机升级突破!$W$35:$W$55,卡牌消耗!L354)),"")</f>
        <v>120</v>
      </c>
      <c r="R354" s="16" t="str">
        <f>IF(INDEX(挂机升级突破!$X$35:$X$55,卡牌消耗!L354)&gt;0,INDEX($G$2:$I$2,INDEX(挂机升级突破!$X$35:$X$55,卡牌消耗!L354))&amp;M354,"")</f>
        <v/>
      </c>
      <c r="S354" s="16" t="str">
        <f>IF(R354="","",INDEX(挂机升级突破!$AE$35:$AG$55,卡牌消耗!L354,INDEX(挂机升级突破!$X$35:$X$55,卡牌消耗!L354)))</f>
        <v/>
      </c>
      <c r="T354" s="16" t="str">
        <f>IF(INDEX(挂机升级突破!$Y$35:$Y$55,卡牌消耗!L354)&gt;0,"灵玉","")</f>
        <v/>
      </c>
      <c r="U354" s="16" t="str">
        <f>IF(INDEX(挂机升级突破!$Y$35:$Y$55,卡牌消耗!L354)&gt;0,INDEX(挂机升级突破!$AH$35:$AH$55,卡牌消耗!L354),"")</f>
        <v/>
      </c>
    </row>
    <row r="355" spans="9:21" ht="16.5" x14ac:dyDescent="0.2">
      <c r="I355" s="36">
        <v>319</v>
      </c>
      <c r="J355" s="16">
        <f t="shared" si="21"/>
        <v>1102016</v>
      </c>
      <c r="K355" s="16">
        <f t="shared" si="22"/>
        <v>4</v>
      </c>
      <c r="L355" s="16">
        <f t="shared" si="24"/>
        <v>4</v>
      </c>
      <c r="M355" s="16" t="str">
        <f t="shared" si="23"/>
        <v>黄</v>
      </c>
      <c r="N355" s="16" t="str">
        <f t="shared" si="25"/>
        <v>金币</v>
      </c>
      <c r="O355" s="16">
        <f>IF(L355&gt;1,INDEX(挂机升级突破!$AI$35:$AI$55,卡牌消耗!L355),"")</f>
        <v>17000</v>
      </c>
      <c r="P355" s="16" t="str">
        <f>IF(L355&gt;1,INDEX(价值概述!$A$4:$A$8,INDEX(挂机升级突破!$W$35:$W$55,卡牌消耗!L355)),"")</f>
        <v>绿色基础材料</v>
      </c>
      <c r="Q355" s="16">
        <f>IF(L355&gt;1,INDEX(挂机升级突破!$Z$35:$AD$55,卡牌消耗!L355,INDEX(挂机升级突破!$W$35:$W$55,卡牌消耗!L355)),"")</f>
        <v>240</v>
      </c>
      <c r="R355" s="16" t="str">
        <f>IF(INDEX(挂机升级突破!$X$35:$X$55,卡牌消耗!L355)&gt;0,INDEX($G$2:$I$2,INDEX(挂机升级突破!$X$35:$X$55,卡牌消耗!L355))&amp;M355,"")</f>
        <v>初级黄</v>
      </c>
      <c r="S355" s="16">
        <f>IF(R355="","",INDEX(挂机升级突破!$AE$35:$AG$55,卡牌消耗!L355,INDEX(挂机升级突破!$X$35:$X$55,卡牌消耗!L355)))</f>
        <v>130</v>
      </c>
      <c r="T355" s="16" t="str">
        <f>IF(INDEX(挂机升级突破!$Y$35:$Y$55,卡牌消耗!L355)&gt;0,"灵玉","")</f>
        <v/>
      </c>
      <c r="U355" s="16" t="str">
        <f>IF(INDEX(挂机升级突破!$Y$35:$Y$55,卡牌消耗!L355)&gt;0,INDEX(挂机升级突破!$AH$35:$AH$55,卡牌消耗!L355),"")</f>
        <v/>
      </c>
    </row>
    <row r="356" spans="9:21" ht="16.5" x14ac:dyDescent="0.2">
      <c r="I356" s="36">
        <v>320</v>
      </c>
      <c r="J356" s="16">
        <f t="shared" si="21"/>
        <v>1102016</v>
      </c>
      <c r="K356" s="16">
        <f t="shared" si="22"/>
        <v>4</v>
      </c>
      <c r="L356" s="16">
        <f t="shared" si="24"/>
        <v>5</v>
      </c>
      <c r="M356" s="16" t="str">
        <f t="shared" si="23"/>
        <v>黄</v>
      </c>
      <c r="N356" s="16" t="str">
        <f t="shared" si="25"/>
        <v>金币</v>
      </c>
      <c r="O356" s="16">
        <f>IF(L356&gt;1,INDEX(挂机升级突破!$AI$35:$AI$55,卡牌消耗!L356),"")</f>
        <v>10500</v>
      </c>
      <c r="P356" s="16" t="str">
        <f>IF(L356&gt;1,INDEX(价值概述!$A$4:$A$8,INDEX(挂机升级突破!$W$35:$W$55,卡牌消耗!L356)),"")</f>
        <v>蓝色基础材料</v>
      </c>
      <c r="Q356" s="16">
        <f>IF(L356&gt;1,INDEX(挂机升级突破!$Z$35:$AD$55,卡牌消耗!L356,INDEX(挂机升级突破!$W$35:$W$55,卡牌消耗!L356)),"")</f>
        <v>85</v>
      </c>
      <c r="R356" s="16" t="str">
        <f>IF(INDEX(挂机升级突破!$X$35:$X$55,卡牌消耗!L356)&gt;0,INDEX($G$2:$I$2,INDEX(挂机升级突破!$X$35:$X$55,卡牌消耗!L356))&amp;M356,"")</f>
        <v>初级黄</v>
      </c>
      <c r="S356" s="16">
        <f>IF(R356="","",INDEX(挂机升级突破!$AE$35:$AG$55,卡牌消耗!L356,INDEX(挂机升级突破!$X$35:$X$55,卡牌消耗!L356)))</f>
        <v>160</v>
      </c>
      <c r="T356" s="16" t="str">
        <f>IF(INDEX(挂机升级突破!$Y$35:$Y$55,卡牌消耗!L356)&gt;0,"灵玉","")</f>
        <v/>
      </c>
      <c r="U356" s="16" t="str">
        <f>IF(INDEX(挂机升级突破!$Y$35:$Y$55,卡牌消耗!L356)&gt;0,INDEX(挂机升级突破!$AH$35:$AH$55,卡牌消耗!L356),"")</f>
        <v/>
      </c>
    </row>
    <row r="357" spans="9:21" ht="16.5" x14ac:dyDescent="0.2">
      <c r="I357" s="36">
        <v>321</v>
      </c>
      <c r="J357" s="16">
        <f t="shared" ref="J357:J420" si="26">INDEX($A$13:$A$33,INT((I357-1)/21)+1)</f>
        <v>1102016</v>
      </c>
      <c r="K357" s="16">
        <f t="shared" ref="K357:K420" si="27">VLOOKUP(J357,$A$13:$D$33,3)</f>
        <v>4</v>
      </c>
      <c r="L357" s="16">
        <f t="shared" si="24"/>
        <v>6</v>
      </c>
      <c r="M357" s="16" t="str">
        <f t="shared" ref="M357:M420" si="28">INDEX($J$2:$L$2,INDEX($E$13:$E$33,INT((I357-1)/21)+1))</f>
        <v>黄</v>
      </c>
      <c r="N357" s="16" t="str">
        <f t="shared" si="25"/>
        <v>金币</v>
      </c>
      <c r="O357" s="16">
        <f>IF(L357&gt;1,INDEX(挂机升级突破!$AI$35:$AI$55,卡牌消耗!L357),"")</f>
        <v>25000</v>
      </c>
      <c r="P357" s="16" t="str">
        <f>IF(L357&gt;1,INDEX(价值概述!$A$4:$A$8,INDEX(挂机升级突破!$W$35:$W$55,卡牌消耗!L357)),"")</f>
        <v>蓝色基础材料</v>
      </c>
      <c r="Q357" s="16">
        <f>IF(L357&gt;1,INDEX(挂机升级突破!$Z$35:$AD$55,卡牌消耗!L357,INDEX(挂机升级突破!$W$35:$W$55,卡牌消耗!L357)),"")</f>
        <v>145</v>
      </c>
      <c r="R357" s="16" t="str">
        <f>IF(INDEX(挂机升级突破!$X$35:$X$55,卡牌消耗!L357)&gt;0,INDEX($G$2:$I$2,INDEX(挂机升级突破!$X$35:$X$55,卡牌消耗!L357))&amp;M357,"")</f>
        <v>初级黄</v>
      </c>
      <c r="S357" s="16">
        <f>IF(R357="","",INDEX(挂机升级突破!$AE$35:$AG$55,卡牌消耗!L357,INDEX(挂机升级突破!$X$35:$X$55,卡牌消耗!L357)))</f>
        <v>175</v>
      </c>
      <c r="T357" s="16" t="str">
        <f>IF(INDEX(挂机升级突破!$Y$35:$Y$55,卡牌消耗!L357)&gt;0,"灵玉","")</f>
        <v/>
      </c>
      <c r="U357" s="16" t="str">
        <f>IF(INDEX(挂机升级突破!$Y$35:$Y$55,卡牌消耗!L357)&gt;0,INDEX(挂机升级突破!$AH$35:$AH$55,卡牌消耗!L357),"")</f>
        <v/>
      </c>
    </row>
    <row r="358" spans="9:21" ht="16.5" x14ac:dyDescent="0.2">
      <c r="I358" s="36">
        <v>322</v>
      </c>
      <c r="J358" s="16">
        <f t="shared" si="26"/>
        <v>1102016</v>
      </c>
      <c r="K358" s="16">
        <f t="shared" si="27"/>
        <v>4</v>
      </c>
      <c r="L358" s="16">
        <f t="shared" ref="L358:L421" si="29">MOD((I358-1),21)+1</f>
        <v>7</v>
      </c>
      <c r="M358" s="16" t="str">
        <f t="shared" si="28"/>
        <v>黄</v>
      </c>
      <c r="N358" s="16" t="str">
        <f t="shared" ref="N358:N421" si="30">IF(L358&gt;1,"金币","")</f>
        <v>金币</v>
      </c>
      <c r="O358" s="16">
        <f>IF(L358&gt;1,INDEX(挂机升级突破!$AI$35:$AI$55,卡牌消耗!L358),"")</f>
        <v>28000</v>
      </c>
      <c r="P358" s="16" t="str">
        <f>IF(L358&gt;1,INDEX(价值概述!$A$4:$A$8,INDEX(挂机升级突破!$W$35:$W$55,卡牌消耗!L358)),"")</f>
        <v>蓝色基础材料</v>
      </c>
      <c r="Q358" s="16">
        <f>IF(L358&gt;1,INDEX(挂机升级突破!$Z$35:$AD$55,卡牌消耗!L358,INDEX(挂机升级突破!$W$35:$W$55,卡牌消耗!L358)),"")</f>
        <v>185</v>
      </c>
      <c r="R358" s="16" t="str">
        <f>IF(INDEX(挂机升级突破!$X$35:$X$55,卡牌消耗!L358)&gt;0,INDEX($G$2:$I$2,INDEX(挂机升级突破!$X$35:$X$55,卡牌消耗!L358))&amp;M358,"")</f>
        <v>初级黄</v>
      </c>
      <c r="S358" s="16">
        <f>IF(R358="","",INDEX(挂机升级突破!$AE$35:$AG$55,卡牌消耗!L358,INDEX(挂机升级突破!$X$35:$X$55,卡牌消耗!L358)))</f>
        <v>190</v>
      </c>
      <c r="T358" s="16" t="str">
        <f>IF(INDEX(挂机升级突破!$Y$35:$Y$55,卡牌消耗!L358)&gt;0,"灵玉","")</f>
        <v/>
      </c>
      <c r="U358" s="16" t="str">
        <f>IF(INDEX(挂机升级突破!$Y$35:$Y$55,卡牌消耗!L358)&gt;0,INDEX(挂机升级突破!$AH$35:$AH$55,卡牌消耗!L358),"")</f>
        <v/>
      </c>
    </row>
    <row r="359" spans="9:21" ht="16.5" x14ac:dyDescent="0.2">
      <c r="I359" s="36">
        <v>323</v>
      </c>
      <c r="J359" s="16">
        <f t="shared" si="26"/>
        <v>1102016</v>
      </c>
      <c r="K359" s="16">
        <f t="shared" si="27"/>
        <v>4</v>
      </c>
      <c r="L359" s="16">
        <f t="shared" si="29"/>
        <v>8</v>
      </c>
      <c r="M359" s="16" t="str">
        <f t="shared" si="28"/>
        <v>黄</v>
      </c>
      <c r="N359" s="16" t="str">
        <f t="shared" si="30"/>
        <v>金币</v>
      </c>
      <c r="O359" s="16">
        <f>IF(L359&gt;1,INDEX(挂机升级突破!$AI$35:$AI$55,卡牌消耗!L359),"")</f>
        <v>31000</v>
      </c>
      <c r="P359" s="16" t="str">
        <f>IF(L359&gt;1,INDEX(价值概述!$A$4:$A$8,INDEX(挂机升级突破!$W$35:$W$55,卡牌消耗!L359)),"")</f>
        <v>蓝色基础材料</v>
      </c>
      <c r="Q359" s="16">
        <f>IF(L359&gt;1,INDEX(挂机升级突破!$Z$35:$AD$55,卡牌消耗!L359,INDEX(挂机升级突破!$W$35:$W$55,卡牌消耗!L359)),"")</f>
        <v>220</v>
      </c>
      <c r="R359" s="16" t="str">
        <f>IF(INDEX(挂机升级突破!$X$35:$X$55,卡牌消耗!L359)&gt;0,INDEX($G$2:$I$2,INDEX(挂机升级突破!$X$35:$X$55,卡牌消耗!L359))&amp;M359,"")</f>
        <v>初级黄</v>
      </c>
      <c r="S359" s="16">
        <f>IF(R359="","",INDEX(挂机升级突破!$AE$35:$AG$55,卡牌消耗!L359,INDEX(挂机升级突破!$X$35:$X$55,卡牌消耗!L359)))</f>
        <v>200</v>
      </c>
      <c r="T359" s="16" t="str">
        <f>IF(INDEX(挂机升级突破!$Y$35:$Y$55,卡牌消耗!L359)&gt;0,"灵玉","")</f>
        <v/>
      </c>
      <c r="U359" s="16" t="str">
        <f>IF(INDEX(挂机升级突破!$Y$35:$Y$55,卡牌消耗!L359)&gt;0,INDEX(挂机升级突破!$AH$35:$AH$55,卡牌消耗!L359),"")</f>
        <v/>
      </c>
    </row>
    <row r="360" spans="9:21" ht="16.5" x14ac:dyDescent="0.2">
      <c r="I360" s="36">
        <v>324</v>
      </c>
      <c r="J360" s="16">
        <f t="shared" si="26"/>
        <v>1102016</v>
      </c>
      <c r="K360" s="16">
        <f t="shared" si="27"/>
        <v>4</v>
      </c>
      <c r="L360" s="16">
        <f t="shared" si="29"/>
        <v>9</v>
      </c>
      <c r="M360" s="16" t="str">
        <f t="shared" si="28"/>
        <v>黄</v>
      </c>
      <c r="N360" s="16" t="str">
        <f t="shared" si="30"/>
        <v>金币</v>
      </c>
      <c r="O360" s="16">
        <f>IF(L360&gt;1,INDEX(挂机升级突破!$AI$35:$AI$55,卡牌消耗!L360),"")</f>
        <v>24000</v>
      </c>
      <c r="P360" s="16" t="str">
        <f>IF(L360&gt;1,INDEX(价值概述!$A$4:$A$8,INDEX(挂机升级突破!$W$35:$W$55,卡牌消耗!L360)),"")</f>
        <v>紫色基础材料</v>
      </c>
      <c r="Q360" s="16">
        <f>IF(L360&gt;1,INDEX(挂机升级突破!$Z$35:$AD$55,卡牌消耗!L360,INDEX(挂机升级突破!$W$35:$W$55,卡牌消耗!L360)),"")</f>
        <v>95</v>
      </c>
      <c r="R360" s="16" t="str">
        <f>IF(INDEX(挂机升级突破!$X$35:$X$55,卡牌消耗!L360)&gt;0,INDEX($G$2:$I$2,INDEX(挂机升级突破!$X$35:$X$55,卡牌消耗!L360))&amp;M360,"")</f>
        <v>中级黄</v>
      </c>
      <c r="S360" s="16">
        <f>IF(R360="","",INDEX(挂机升级突破!$AE$35:$AG$55,卡牌消耗!L360,INDEX(挂机升级突破!$X$35:$X$55,卡牌消耗!L360)))</f>
        <v>80</v>
      </c>
      <c r="T360" s="16" t="str">
        <f>IF(INDEX(挂机升级突破!$Y$35:$Y$55,卡牌消耗!L360)&gt;0,"灵玉","")</f>
        <v/>
      </c>
      <c r="U360" s="16" t="str">
        <f>IF(INDEX(挂机升级突破!$Y$35:$Y$55,卡牌消耗!L360)&gt;0,INDEX(挂机升级突破!$AH$35:$AH$55,卡牌消耗!L360),"")</f>
        <v/>
      </c>
    </row>
    <row r="361" spans="9:21" ht="16.5" x14ac:dyDescent="0.2">
      <c r="I361" s="36">
        <v>325</v>
      </c>
      <c r="J361" s="16">
        <f t="shared" si="26"/>
        <v>1102016</v>
      </c>
      <c r="K361" s="16">
        <f t="shared" si="27"/>
        <v>4</v>
      </c>
      <c r="L361" s="16">
        <f t="shared" si="29"/>
        <v>10</v>
      </c>
      <c r="M361" s="16" t="str">
        <f t="shared" si="28"/>
        <v>黄</v>
      </c>
      <c r="N361" s="16" t="str">
        <f t="shared" si="30"/>
        <v>金币</v>
      </c>
      <c r="O361" s="16">
        <f>IF(L361&gt;1,INDEX(挂机升级突破!$AI$35:$AI$55,卡牌消耗!L361),"")</f>
        <v>26500</v>
      </c>
      <c r="P361" s="16" t="str">
        <f>IF(L361&gt;1,INDEX(价值概述!$A$4:$A$8,INDEX(挂机升级突破!$W$35:$W$55,卡牌消耗!L361)),"")</f>
        <v>紫色基础材料</v>
      </c>
      <c r="Q361" s="16">
        <f>IF(L361&gt;1,INDEX(挂机升级突破!$Z$35:$AD$55,卡牌消耗!L361,INDEX(挂机升级突破!$W$35:$W$55,卡牌消耗!L361)),"")</f>
        <v>175</v>
      </c>
      <c r="R361" s="16" t="str">
        <f>IF(INDEX(挂机升级突破!$X$35:$X$55,卡牌消耗!L361)&gt;0,INDEX($G$2:$I$2,INDEX(挂机升级突破!$X$35:$X$55,卡牌消耗!L361))&amp;M361,"")</f>
        <v>中级黄</v>
      </c>
      <c r="S361" s="16">
        <f>IF(R361="","",INDEX(挂机升级突破!$AE$35:$AG$55,卡牌消耗!L361,INDEX(挂机升级突破!$X$35:$X$55,卡牌消耗!L361)))</f>
        <v>120</v>
      </c>
      <c r="T361" s="16" t="str">
        <f>IF(INDEX(挂机升级突破!$Y$35:$Y$55,卡牌消耗!L361)&gt;0,"灵玉","")</f>
        <v/>
      </c>
      <c r="U361" s="16" t="str">
        <f>IF(INDEX(挂机升级突破!$Y$35:$Y$55,卡牌消耗!L361)&gt;0,INDEX(挂机升级突破!$AH$35:$AH$55,卡牌消耗!L361),"")</f>
        <v/>
      </c>
    </row>
    <row r="362" spans="9:21" ht="16.5" x14ac:dyDescent="0.2">
      <c r="I362" s="36">
        <v>326</v>
      </c>
      <c r="J362" s="16">
        <f t="shared" si="26"/>
        <v>1102016</v>
      </c>
      <c r="K362" s="16">
        <f t="shared" si="27"/>
        <v>4</v>
      </c>
      <c r="L362" s="16">
        <f t="shared" si="29"/>
        <v>11</v>
      </c>
      <c r="M362" s="16" t="str">
        <f t="shared" si="28"/>
        <v>黄</v>
      </c>
      <c r="N362" s="16" t="str">
        <f t="shared" si="30"/>
        <v>金币</v>
      </c>
      <c r="O362" s="16">
        <f>IF(L362&gt;1,INDEX(挂机升级突破!$AI$35:$AI$55,卡牌消耗!L362),"")</f>
        <v>28500</v>
      </c>
      <c r="P362" s="16" t="str">
        <f>IF(L362&gt;1,INDEX(价值概述!$A$4:$A$8,INDEX(挂机升级突破!$W$35:$W$55,卡牌消耗!L362)),"")</f>
        <v>紫色基础材料</v>
      </c>
      <c r="Q362" s="16">
        <f>IF(L362&gt;1,INDEX(挂机升级突破!$Z$35:$AD$55,卡牌消耗!L362,INDEX(挂机升级突破!$W$35:$W$55,卡牌消耗!L362)),"")</f>
        <v>245</v>
      </c>
      <c r="R362" s="16" t="str">
        <f>IF(INDEX(挂机升级突破!$X$35:$X$55,卡牌消耗!L362)&gt;0,INDEX($G$2:$I$2,INDEX(挂机升级突破!$X$35:$X$55,卡牌消耗!L362))&amp;M362,"")</f>
        <v>中级黄</v>
      </c>
      <c r="S362" s="16">
        <f>IF(R362="","",INDEX(挂机升级突破!$AE$35:$AG$55,卡牌消耗!L362,INDEX(挂机升级突破!$X$35:$X$55,卡牌消耗!L362)))</f>
        <v>170</v>
      </c>
      <c r="T362" s="16" t="str">
        <f>IF(INDEX(挂机升级突破!$Y$35:$Y$55,卡牌消耗!L362)&gt;0,"灵玉","")</f>
        <v/>
      </c>
      <c r="U362" s="16" t="str">
        <f>IF(INDEX(挂机升级突破!$Y$35:$Y$55,卡牌消耗!L362)&gt;0,INDEX(挂机升级突破!$AH$35:$AH$55,卡牌消耗!L362),"")</f>
        <v/>
      </c>
    </row>
    <row r="363" spans="9:21" ht="16.5" x14ac:dyDescent="0.2">
      <c r="I363" s="36">
        <v>327</v>
      </c>
      <c r="J363" s="16">
        <f t="shared" si="26"/>
        <v>1102016</v>
      </c>
      <c r="K363" s="16">
        <f t="shared" si="27"/>
        <v>4</v>
      </c>
      <c r="L363" s="16">
        <f t="shared" si="29"/>
        <v>12</v>
      </c>
      <c r="M363" s="16" t="str">
        <f t="shared" si="28"/>
        <v>黄</v>
      </c>
      <c r="N363" s="16" t="str">
        <f t="shared" si="30"/>
        <v>金币</v>
      </c>
      <c r="O363" s="16">
        <f>IF(L363&gt;1,INDEX(挂机升级突破!$AI$35:$AI$55,卡牌消耗!L363),"")</f>
        <v>30500</v>
      </c>
      <c r="P363" s="16" t="str">
        <f>IF(L363&gt;1,INDEX(价值概述!$A$4:$A$8,INDEX(挂机升级突破!$W$35:$W$55,卡牌消耗!L363)),"")</f>
        <v>紫色基础材料</v>
      </c>
      <c r="Q363" s="16">
        <f>IF(L363&gt;1,INDEX(挂机升级突破!$Z$35:$AD$55,卡牌消耗!L363,INDEX(挂机升级突破!$W$35:$W$55,卡牌消耗!L363)),"")</f>
        <v>305</v>
      </c>
      <c r="R363" s="16" t="str">
        <f>IF(INDEX(挂机升级突破!$X$35:$X$55,卡牌消耗!L363)&gt;0,INDEX($G$2:$I$2,INDEX(挂机升级突破!$X$35:$X$55,卡牌消耗!L363))&amp;M363,"")</f>
        <v>中级黄</v>
      </c>
      <c r="S363" s="16">
        <f>IF(R363="","",INDEX(挂机升级突破!$AE$35:$AG$55,卡牌消耗!L363,INDEX(挂机升级突破!$X$35:$X$55,卡牌消耗!L363)))</f>
        <v>200</v>
      </c>
      <c r="T363" s="16" t="str">
        <f>IF(INDEX(挂机升级突破!$Y$35:$Y$55,卡牌消耗!L363)&gt;0,"灵玉","")</f>
        <v/>
      </c>
      <c r="U363" s="16" t="str">
        <f>IF(INDEX(挂机升级突破!$Y$35:$Y$55,卡牌消耗!L363)&gt;0,INDEX(挂机升级突破!$AH$35:$AH$55,卡牌消耗!L363),"")</f>
        <v/>
      </c>
    </row>
    <row r="364" spans="9:21" ht="16.5" x14ac:dyDescent="0.2">
      <c r="I364" s="36">
        <v>328</v>
      </c>
      <c r="J364" s="16">
        <f t="shared" si="26"/>
        <v>1102016</v>
      </c>
      <c r="K364" s="16">
        <f t="shared" si="27"/>
        <v>4</v>
      </c>
      <c r="L364" s="16">
        <f t="shared" si="29"/>
        <v>13</v>
      </c>
      <c r="M364" s="16" t="str">
        <f t="shared" si="28"/>
        <v>黄</v>
      </c>
      <c r="N364" s="16" t="str">
        <f t="shared" si="30"/>
        <v>金币</v>
      </c>
      <c r="O364" s="16">
        <f>IF(L364&gt;1,INDEX(挂机升级突破!$AI$35:$AI$55,卡牌消耗!L364),"")</f>
        <v>38500</v>
      </c>
      <c r="P364" s="16" t="str">
        <f>IF(L364&gt;1,INDEX(价值概述!$A$4:$A$8,INDEX(挂机升级突破!$W$35:$W$55,卡牌消耗!L364)),"")</f>
        <v>橙色基础材料</v>
      </c>
      <c r="Q364" s="16">
        <f>IF(L364&gt;1,INDEX(挂机升级突破!$Z$35:$AD$55,卡牌消耗!L364,INDEX(挂机升级突破!$W$35:$W$55,卡牌消耗!L364)),"")</f>
        <v>115</v>
      </c>
      <c r="R364" s="16" t="str">
        <f>IF(INDEX(挂机升级突破!$X$35:$X$55,卡牌消耗!L364)&gt;0,INDEX($G$2:$I$2,INDEX(挂机升级突破!$X$35:$X$55,卡牌消耗!L364))&amp;M364,"")</f>
        <v>中级黄</v>
      </c>
      <c r="S364" s="16">
        <f>IF(R364="","",INDEX(挂机升级突破!$AE$35:$AG$55,卡牌消耗!L364,INDEX(挂机升级突破!$X$35:$X$55,卡牌消耗!L364)))</f>
        <v>225</v>
      </c>
      <c r="T364" s="16" t="str">
        <f>IF(INDEX(挂机升级突破!$Y$35:$Y$55,卡牌消耗!L364)&gt;0,"灵玉","")</f>
        <v/>
      </c>
      <c r="U364" s="16" t="str">
        <f>IF(INDEX(挂机升级突破!$Y$35:$Y$55,卡牌消耗!L364)&gt;0,INDEX(挂机升级突破!$AH$35:$AH$55,卡牌消耗!L364),"")</f>
        <v/>
      </c>
    </row>
    <row r="365" spans="9:21" ht="16.5" x14ac:dyDescent="0.2">
      <c r="I365" s="36">
        <v>329</v>
      </c>
      <c r="J365" s="16">
        <f t="shared" si="26"/>
        <v>1102016</v>
      </c>
      <c r="K365" s="16">
        <f t="shared" si="27"/>
        <v>4</v>
      </c>
      <c r="L365" s="16">
        <f t="shared" si="29"/>
        <v>14</v>
      </c>
      <c r="M365" s="16" t="str">
        <f t="shared" si="28"/>
        <v>黄</v>
      </c>
      <c r="N365" s="16" t="str">
        <f t="shared" si="30"/>
        <v>金币</v>
      </c>
      <c r="O365" s="16">
        <f>IF(L365&gt;1,INDEX(挂机升级突破!$AI$35:$AI$55,卡牌消耗!L365),"")</f>
        <v>51000</v>
      </c>
      <c r="P365" s="16" t="str">
        <f>IF(L365&gt;1,INDEX(价值概述!$A$4:$A$8,INDEX(挂机升级突破!$W$35:$W$55,卡牌消耗!L365)),"")</f>
        <v>橙色基础材料</v>
      </c>
      <c r="Q365" s="16">
        <f>IF(L365&gt;1,INDEX(挂机升级突破!$Z$35:$AD$55,卡牌消耗!L365,INDEX(挂机升级突破!$W$35:$W$55,卡牌消耗!L365)),"")</f>
        <v>235</v>
      </c>
      <c r="R365" s="16" t="str">
        <f>IF(INDEX(挂机升级突破!$X$35:$X$55,卡牌消耗!L365)&gt;0,INDEX($G$2:$I$2,INDEX(挂机升级突破!$X$35:$X$55,卡牌消耗!L365))&amp;M365,"")</f>
        <v>中级黄</v>
      </c>
      <c r="S365" s="16">
        <f>IF(R365="","",INDEX(挂机升级突破!$AE$35:$AG$55,卡牌消耗!L365,INDEX(挂机升级突破!$X$35:$X$55,卡牌消耗!L365)))</f>
        <v>265</v>
      </c>
      <c r="T365" s="16" t="str">
        <f>IF(INDEX(挂机升级突破!$Y$35:$Y$55,卡牌消耗!L365)&gt;0,"灵玉","")</f>
        <v/>
      </c>
      <c r="U365" s="16" t="str">
        <f>IF(INDEX(挂机升级突破!$Y$35:$Y$55,卡牌消耗!L365)&gt;0,INDEX(挂机升级突破!$AH$35:$AH$55,卡牌消耗!L365),"")</f>
        <v/>
      </c>
    </row>
    <row r="366" spans="9:21" ht="16.5" x14ac:dyDescent="0.2">
      <c r="I366" s="36">
        <v>330</v>
      </c>
      <c r="J366" s="16">
        <f t="shared" si="26"/>
        <v>1102016</v>
      </c>
      <c r="K366" s="16">
        <f t="shared" si="27"/>
        <v>4</v>
      </c>
      <c r="L366" s="16">
        <f t="shared" si="29"/>
        <v>15</v>
      </c>
      <c r="M366" s="16" t="str">
        <f t="shared" si="28"/>
        <v>黄</v>
      </c>
      <c r="N366" s="16" t="str">
        <f t="shared" si="30"/>
        <v>金币</v>
      </c>
      <c r="O366" s="16">
        <f>IF(L366&gt;1,INDEX(挂机升级突破!$AI$35:$AI$55,卡牌消耗!L366),"")</f>
        <v>60000</v>
      </c>
      <c r="P366" s="16" t="str">
        <f>IF(L366&gt;1,INDEX(价值概述!$A$4:$A$8,INDEX(挂机升级突破!$W$35:$W$55,卡牌消耗!L366)),"")</f>
        <v>橙色基础材料</v>
      </c>
      <c r="Q366" s="16">
        <f>IF(L366&gt;1,INDEX(挂机升级突破!$Z$35:$AD$55,卡牌消耗!L366,INDEX(挂机升级突破!$W$35:$W$55,卡牌消耗!L366)),"")</f>
        <v>355</v>
      </c>
      <c r="R366" s="16" t="str">
        <f>IF(INDEX(挂机升级突破!$X$35:$X$55,卡牌消耗!L366)&gt;0,INDEX($G$2:$I$2,INDEX(挂机升级突破!$X$35:$X$55,卡牌消耗!L366))&amp;M366,"")</f>
        <v>高级黄</v>
      </c>
      <c r="S366" s="16">
        <f>IF(R366="","",INDEX(挂机升级突破!$AE$35:$AG$55,卡牌消耗!L366,INDEX(挂机升级突破!$X$35:$X$55,卡牌消耗!L366)))</f>
        <v>45</v>
      </c>
      <c r="T366" s="16" t="str">
        <f>IF(INDEX(挂机升级突破!$Y$35:$Y$55,卡牌消耗!L366)&gt;0,"灵玉","")</f>
        <v/>
      </c>
      <c r="U366" s="16" t="str">
        <f>IF(INDEX(挂机升级突破!$Y$35:$Y$55,卡牌消耗!L366)&gt;0,INDEX(挂机升级突破!$AH$35:$AH$55,卡牌消耗!L366),"")</f>
        <v/>
      </c>
    </row>
    <row r="367" spans="9:21" ht="16.5" x14ac:dyDescent="0.2">
      <c r="I367" s="36">
        <v>331</v>
      </c>
      <c r="J367" s="16">
        <f t="shared" si="26"/>
        <v>1102016</v>
      </c>
      <c r="K367" s="16">
        <f t="shared" si="27"/>
        <v>4</v>
      </c>
      <c r="L367" s="16">
        <f t="shared" si="29"/>
        <v>16</v>
      </c>
      <c r="M367" s="16" t="str">
        <f t="shared" si="28"/>
        <v>黄</v>
      </c>
      <c r="N367" s="16" t="str">
        <f t="shared" si="30"/>
        <v>金币</v>
      </c>
      <c r="O367" s="16">
        <f>IF(L367&gt;1,INDEX(挂机升级突破!$AI$35:$AI$55,卡牌消耗!L367),"")</f>
        <v>69000</v>
      </c>
      <c r="P367" s="16" t="str">
        <f>IF(L367&gt;1,INDEX(价值概述!$A$4:$A$8,INDEX(挂机升级突破!$W$35:$W$55,卡牌消耗!L367)),"")</f>
        <v>橙色基础材料</v>
      </c>
      <c r="Q367" s="16">
        <f>IF(L367&gt;1,INDEX(挂机升级突破!$Z$35:$AD$55,卡牌消耗!L367,INDEX(挂机升级突破!$W$35:$W$55,卡牌消耗!L367)),"")</f>
        <v>475</v>
      </c>
      <c r="R367" s="16" t="str">
        <f>IF(INDEX(挂机升级突破!$X$35:$X$55,卡牌消耗!L367)&gt;0,INDEX($G$2:$I$2,INDEX(挂机升级突破!$X$35:$X$55,卡牌消耗!L367))&amp;M367,"")</f>
        <v>高级黄</v>
      </c>
      <c r="S367" s="16">
        <f>IF(R367="","",INDEX(挂机升级突破!$AE$35:$AG$55,卡牌消耗!L367,INDEX(挂机升级突破!$X$35:$X$55,卡牌消耗!L367)))</f>
        <v>70</v>
      </c>
      <c r="T367" s="16" t="str">
        <f>IF(INDEX(挂机升级突破!$Y$35:$Y$55,卡牌消耗!L367)&gt;0,"灵玉","")</f>
        <v/>
      </c>
      <c r="U367" s="16" t="str">
        <f>IF(INDEX(挂机升级突破!$Y$35:$Y$55,卡牌消耗!L367)&gt;0,INDEX(挂机升级突破!$AH$35:$AH$55,卡牌消耗!L367),"")</f>
        <v/>
      </c>
    </row>
    <row r="368" spans="9:21" ht="16.5" x14ac:dyDescent="0.2">
      <c r="I368" s="36">
        <v>332</v>
      </c>
      <c r="J368" s="16">
        <f t="shared" si="26"/>
        <v>1102016</v>
      </c>
      <c r="K368" s="16">
        <f t="shared" si="27"/>
        <v>4</v>
      </c>
      <c r="L368" s="16">
        <f t="shared" si="29"/>
        <v>17</v>
      </c>
      <c r="M368" s="16" t="str">
        <f t="shared" si="28"/>
        <v>黄</v>
      </c>
      <c r="N368" s="16" t="str">
        <f t="shared" si="30"/>
        <v>金币</v>
      </c>
      <c r="O368" s="16">
        <f>IF(L368&gt;1,INDEX(挂机升级突破!$AI$35:$AI$55,卡牌消耗!L368),"")</f>
        <v>76500</v>
      </c>
      <c r="P368" s="16" t="str">
        <f>IF(L368&gt;1,INDEX(价值概述!$A$4:$A$8,INDEX(挂机升级突破!$W$35:$W$55,卡牌消耗!L368)),"")</f>
        <v>红色基础材料</v>
      </c>
      <c r="Q368" s="16">
        <f>IF(L368&gt;1,INDEX(挂机升级突破!$Z$35:$AD$55,卡牌消耗!L368,INDEX(挂机升级突破!$W$35:$W$55,卡牌消耗!L368)),"")</f>
        <v>45</v>
      </c>
      <c r="R368" s="16" t="str">
        <f>IF(INDEX(挂机升级突破!$X$35:$X$55,卡牌消耗!L368)&gt;0,INDEX($G$2:$I$2,INDEX(挂机升级突破!$X$35:$X$55,卡牌消耗!L368))&amp;M368,"")</f>
        <v>高级黄</v>
      </c>
      <c r="S368" s="16">
        <f>IF(R368="","",INDEX(挂机升级突破!$AE$35:$AG$55,卡牌消耗!L368,INDEX(挂机升级突破!$X$35:$X$55,卡牌消耗!L368)))</f>
        <v>100</v>
      </c>
      <c r="T368" s="16" t="str">
        <f>IF(INDEX(挂机升级突破!$Y$35:$Y$55,卡牌消耗!L368)&gt;0,"灵玉","")</f>
        <v>灵玉</v>
      </c>
      <c r="U368" s="16">
        <f>IF(INDEX(挂机升级突破!$Y$35:$Y$55,卡牌消耗!L368)&gt;0,INDEX(挂机升级突破!$AH$35:$AH$55,卡牌消耗!L368),"")</f>
        <v>25</v>
      </c>
    </row>
    <row r="369" spans="9:21" ht="16.5" x14ac:dyDescent="0.2">
      <c r="I369" s="36">
        <v>333</v>
      </c>
      <c r="J369" s="16">
        <f t="shared" si="26"/>
        <v>1102016</v>
      </c>
      <c r="K369" s="16">
        <f t="shared" si="27"/>
        <v>4</v>
      </c>
      <c r="L369" s="16">
        <f t="shared" si="29"/>
        <v>18</v>
      </c>
      <c r="M369" s="16" t="str">
        <f t="shared" si="28"/>
        <v>黄</v>
      </c>
      <c r="N369" s="16" t="str">
        <f t="shared" si="30"/>
        <v>金币</v>
      </c>
      <c r="O369" s="16">
        <f>IF(L369&gt;1,INDEX(挂机升级突破!$AI$35:$AI$55,卡牌消耗!L369),"")</f>
        <v>107000</v>
      </c>
      <c r="P369" s="16" t="str">
        <f>IF(L369&gt;1,INDEX(价值概述!$A$4:$A$8,INDEX(挂机升级突破!$W$35:$W$55,卡牌消耗!L369)),"")</f>
        <v>红色基础材料</v>
      </c>
      <c r="Q369" s="16">
        <f>IF(L369&gt;1,INDEX(挂机升级突破!$Z$35:$AD$55,卡牌消耗!L369,INDEX(挂机升级突破!$W$35:$W$55,卡牌消耗!L369)),"")</f>
        <v>65</v>
      </c>
      <c r="R369" s="16" t="str">
        <f>IF(INDEX(挂机升级突破!$X$35:$X$55,卡牌消耗!L369)&gt;0,INDEX($G$2:$I$2,INDEX(挂机升级突破!$X$35:$X$55,卡牌消耗!L369))&amp;M369,"")</f>
        <v>高级黄</v>
      </c>
      <c r="S369" s="16">
        <f>IF(R369="","",INDEX(挂机升级突破!$AE$35:$AG$55,卡牌消耗!L369,INDEX(挂机升级突破!$X$35:$X$55,卡牌消耗!L369)))</f>
        <v>125</v>
      </c>
      <c r="T369" s="16" t="str">
        <f>IF(INDEX(挂机升级突破!$Y$35:$Y$55,卡牌消耗!L369)&gt;0,"灵玉","")</f>
        <v>灵玉</v>
      </c>
      <c r="U369" s="16">
        <f>IF(INDEX(挂机升级突破!$Y$35:$Y$55,卡牌消耗!L369)&gt;0,INDEX(挂机升级突破!$AH$35:$AH$55,卡牌消耗!L369),"")</f>
        <v>35</v>
      </c>
    </row>
    <row r="370" spans="9:21" ht="16.5" x14ac:dyDescent="0.2">
      <c r="I370" s="36">
        <v>334</v>
      </c>
      <c r="J370" s="16">
        <f t="shared" si="26"/>
        <v>1102016</v>
      </c>
      <c r="K370" s="16">
        <f t="shared" si="27"/>
        <v>4</v>
      </c>
      <c r="L370" s="16">
        <f t="shared" si="29"/>
        <v>19</v>
      </c>
      <c r="M370" s="16" t="str">
        <f t="shared" si="28"/>
        <v>黄</v>
      </c>
      <c r="N370" s="16" t="str">
        <f t="shared" si="30"/>
        <v>金币</v>
      </c>
      <c r="O370" s="16">
        <f>IF(L370&gt;1,INDEX(挂机升级突破!$AI$35:$AI$55,卡牌消耗!L370),"")</f>
        <v>142500</v>
      </c>
      <c r="P370" s="16" t="str">
        <f>IF(L370&gt;1,INDEX(价值概述!$A$4:$A$8,INDEX(挂机升级突破!$W$35:$W$55,卡牌消耗!L370)),"")</f>
        <v>红色基础材料</v>
      </c>
      <c r="Q370" s="16">
        <f>IF(L370&gt;1,INDEX(挂机升级突破!$Z$35:$AD$55,卡牌消耗!L370,INDEX(挂机升级突破!$W$35:$W$55,卡牌消耗!L370)),"")</f>
        <v>90</v>
      </c>
      <c r="R370" s="16" t="str">
        <f>IF(INDEX(挂机升级突破!$X$35:$X$55,卡牌消耗!L370)&gt;0,INDEX($G$2:$I$2,INDEX(挂机升级突破!$X$35:$X$55,卡牌消耗!L370))&amp;M370,"")</f>
        <v>高级黄</v>
      </c>
      <c r="S370" s="16">
        <f>IF(R370="","",INDEX(挂机升级突破!$AE$35:$AG$55,卡牌消耗!L370,INDEX(挂机升级突破!$X$35:$X$55,卡牌消耗!L370)))</f>
        <v>155</v>
      </c>
      <c r="T370" s="16" t="str">
        <f>IF(INDEX(挂机升级突破!$Y$35:$Y$55,卡牌消耗!L370)&gt;0,"灵玉","")</f>
        <v>灵玉</v>
      </c>
      <c r="U370" s="16">
        <f>IF(INDEX(挂机升级突破!$Y$35:$Y$55,卡牌消耗!L370)&gt;0,INDEX(挂机升级突破!$AH$35:$AH$55,卡牌消耗!L370),"")</f>
        <v>50</v>
      </c>
    </row>
    <row r="371" spans="9:21" ht="16.5" x14ac:dyDescent="0.2">
      <c r="I371" s="36">
        <v>335</v>
      </c>
      <c r="J371" s="16">
        <f t="shared" si="26"/>
        <v>1102016</v>
      </c>
      <c r="K371" s="16">
        <f t="shared" si="27"/>
        <v>4</v>
      </c>
      <c r="L371" s="16">
        <f t="shared" si="29"/>
        <v>20</v>
      </c>
      <c r="M371" s="16" t="str">
        <f t="shared" si="28"/>
        <v>黄</v>
      </c>
      <c r="N371" s="16" t="str">
        <f t="shared" si="30"/>
        <v>金币</v>
      </c>
      <c r="O371" s="16">
        <f>IF(L371&gt;1,INDEX(挂机升级突破!$AI$35:$AI$55,卡牌消耗!L371),"")</f>
        <v>178500</v>
      </c>
      <c r="P371" s="16" t="str">
        <f>IF(L371&gt;1,INDEX(价值概述!$A$4:$A$8,INDEX(挂机升级突破!$W$35:$W$55,卡牌消耗!L371)),"")</f>
        <v>红色基础材料</v>
      </c>
      <c r="Q371" s="16">
        <f>IF(L371&gt;1,INDEX(挂机升级突破!$Z$35:$AD$55,卡牌消耗!L371,INDEX(挂机升级突破!$W$35:$W$55,卡牌消耗!L371)),"")</f>
        <v>110</v>
      </c>
      <c r="R371" s="16" t="str">
        <f>IF(INDEX(挂机升级突破!$X$35:$X$55,卡牌消耗!L371)&gt;0,INDEX($G$2:$I$2,INDEX(挂机升级突破!$X$35:$X$55,卡牌消耗!L371))&amp;M371,"")</f>
        <v>高级黄</v>
      </c>
      <c r="S371" s="16">
        <f>IF(R371="","",INDEX(挂机升级突破!$AE$35:$AG$55,卡牌消耗!L371,INDEX(挂机升级突破!$X$35:$X$55,卡牌消耗!L371)))</f>
        <v>180</v>
      </c>
      <c r="T371" s="16" t="str">
        <f>IF(INDEX(挂机升级突破!$Y$35:$Y$55,卡牌消耗!L371)&gt;0,"灵玉","")</f>
        <v>灵玉</v>
      </c>
      <c r="U371" s="16">
        <f>IF(INDEX(挂机升级突破!$Y$35:$Y$55,卡牌消耗!L371)&gt;0,INDEX(挂机升级突破!$AH$35:$AH$55,卡牌消耗!L371),"")</f>
        <v>65</v>
      </c>
    </row>
    <row r="372" spans="9:21" ht="16.5" x14ac:dyDescent="0.2">
      <c r="I372" s="36">
        <v>336</v>
      </c>
      <c r="J372" s="16">
        <f t="shared" si="26"/>
        <v>1102016</v>
      </c>
      <c r="K372" s="16">
        <f t="shared" si="27"/>
        <v>4</v>
      </c>
      <c r="L372" s="16">
        <f t="shared" si="29"/>
        <v>21</v>
      </c>
      <c r="M372" s="16" t="str">
        <f t="shared" si="28"/>
        <v>黄</v>
      </c>
      <c r="N372" s="16" t="str">
        <f t="shared" si="30"/>
        <v>金币</v>
      </c>
      <c r="O372" s="16">
        <f>IF(L372&gt;1,INDEX(挂机升级突破!$AI$35:$AI$55,卡牌消耗!L372),"")</f>
        <v>214000</v>
      </c>
      <c r="P372" s="16" t="str">
        <f>IF(L372&gt;1,INDEX(价值概述!$A$4:$A$8,INDEX(挂机升级突破!$W$35:$W$55,卡牌消耗!L372)),"")</f>
        <v>红色基础材料</v>
      </c>
      <c r="Q372" s="16">
        <f>IF(L372&gt;1,INDEX(挂机升级突破!$Z$35:$AD$55,卡牌消耗!L372,INDEX(挂机升级突破!$W$35:$W$55,卡牌消耗!L372)),"")</f>
        <v>135</v>
      </c>
      <c r="R372" s="16" t="str">
        <f>IF(INDEX(挂机升级突破!$X$35:$X$55,卡牌消耗!L372)&gt;0,INDEX($G$2:$I$2,INDEX(挂机升级突破!$X$35:$X$55,卡牌消耗!L372))&amp;M372,"")</f>
        <v>高级黄</v>
      </c>
      <c r="S372" s="16">
        <f>IF(R372="","",INDEX(挂机升级突破!$AE$35:$AG$55,卡牌消耗!L372,INDEX(挂机升级突破!$X$35:$X$55,卡牌消耗!L372)))</f>
        <v>225</v>
      </c>
      <c r="T372" s="16" t="str">
        <f>IF(INDEX(挂机升级突破!$Y$35:$Y$55,卡牌消耗!L372)&gt;0,"灵玉","")</f>
        <v>灵玉</v>
      </c>
      <c r="U372" s="16">
        <f>IF(INDEX(挂机升级突破!$Y$35:$Y$55,卡牌消耗!L372)&gt;0,INDEX(挂机升级突破!$AH$35:$AH$55,卡牌消耗!L372),"")</f>
        <v>75</v>
      </c>
    </row>
    <row r="373" spans="9:21" ht="16.5" x14ac:dyDescent="0.2">
      <c r="I373" s="36">
        <v>337</v>
      </c>
      <c r="J373" s="16">
        <f t="shared" si="26"/>
        <v>1102017</v>
      </c>
      <c r="K373" s="16">
        <f t="shared" si="27"/>
        <v>3</v>
      </c>
      <c r="L373" s="16">
        <f t="shared" si="29"/>
        <v>1</v>
      </c>
      <c r="M373" s="16" t="str">
        <f t="shared" si="28"/>
        <v>蓝</v>
      </c>
      <c r="N373" s="16" t="str">
        <f t="shared" si="30"/>
        <v/>
      </c>
      <c r="O373" s="16" t="str">
        <f>IF(L373&gt;1,INDEX(挂机升级突破!$AI$35:$AI$55,卡牌消耗!L373),"")</f>
        <v/>
      </c>
      <c r="P373" s="16" t="str">
        <f>IF(L373&gt;1,INDEX(价值概述!$A$4:$A$8,INDEX(挂机升级突破!$W$35:$W$55,卡牌消耗!L373)),"")</f>
        <v/>
      </c>
      <c r="Q373" s="16" t="str">
        <f>IF(L373&gt;1,INDEX(挂机升级突破!$Z$35:$AD$55,卡牌消耗!L373,INDEX(挂机升级突破!$W$35:$W$55,卡牌消耗!L373)),"")</f>
        <v/>
      </c>
      <c r="R373" s="16" t="str">
        <f>IF(INDEX(挂机升级突破!$X$35:$X$55,卡牌消耗!L373)&gt;0,INDEX($G$2:$I$2,INDEX(挂机升级突破!$X$35:$X$55,卡牌消耗!L373))&amp;M373,"")</f>
        <v/>
      </c>
      <c r="S373" s="16" t="str">
        <f>IF(R373="","",INDEX(挂机升级突破!$AE$35:$AG$55,卡牌消耗!L373,INDEX(挂机升级突破!$X$35:$X$55,卡牌消耗!L373)))</f>
        <v/>
      </c>
      <c r="T373" s="16" t="str">
        <f>IF(INDEX(挂机升级突破!$Y$35:$Y$55,卡牌消耗!L373)&gt;0,"灵玉","")</f>
        <v/>
      </c>
      <c r="U373" s="16" t="str">
        <f>IF(INDEX(挂机升级突破!$Y$35:$Y$55,卡牌消耗!L373)&gt;0,INDEX(挂机升级突破!$AH$35:$AH$55,卡牌消耗!L373),"")</f>
        <v/>
      </c>
    </row>
    <row r="374" spans="9:21" ht="16.5" x14ac:dyDescent="0.2">
      <c r="I374" s="36">
        <v>338</v>
      </c>
      <c r="J374" s="16">
        <f t="shared" si="26"/>
        <v>1102017</v>
      </c>
      <c r="K374" s="16">
        <f t="shared" si="27"/>
        <v>3</v>
      </c>
      <c r="L374" s="16">
        <f t="shared" si="29"/>
        <v>2</v>
      </c>
      <c r="M374" s="16" t="str">
        <f t="shared" si="28"/>
        <v>蓝</v>
      </c>
      <c r="N374" s="16" t="str">
        <f t="shared" si="30"/>
        <v>金币</v>
      </c>
      <c r="O374" s="16">
        <f>IF(L374&gt;1,INDEX(挂机升级突破!$AI$35:$AI$55,卡牌消耗!L374),"")</f>
        <v>2500</v>
      </c>
      <c r="P374" s="16" t="str">
        <f>IF(L374&gt;1,INDEX(价值概述!$A$4:$A$8,INDEX(挂机升级突破!$W$35:$W$55,卡牌消耗!L374)),"")</f>
        <v>绿色基础材料</v>
      </c>
      <c r="Q374" s="16">
        <f>IF(L374&gt;1,INDEX(挂机升级突破!$Z$35:$AD$55,卡牌消耗!L374,INDEX(挂机升级突破!$W$35:$W$55,卡牌消耗!L374)),"")</f>
        <v>40</v>
      </c>
      <c r="R374" s="16" t="str">
        <f>IF(INDEX(挂机升级突破!$X$35:$X$55,卡牌消耗!L374)&gt;0,INDEX($G$2:$I$2,INDEX(挂机升级突破!$X$35:$X$55,卡牌消耗!L374))&amp;M374,"")</f>
        <v/>
      </c>
      <c r="S374" s="16" t="str">
        <f>IF(R374="","",INDEX(挂机升级突破!$AE$35:$AG$55,卡牌消耗!L374,INDEX(挂机升级突破!$X$35:$X$55,卡牌消耗!L374)))</f>
        <v/>
      </c>
      <c r="T374" s="16" t="str">
        <f>IF(INDEX(挂机升级突破!$Y$35:$Y$55,卡牌消耗!L374)&gt;0,"灵玉","")</f>
        <v/>
      </c>
      <c r="U374" s="16" t="str">
        <f>IF(INDEX(挂机升级突破!$Y$35:$Y$55,卡牌消耗!L374)&gt;0,INDEX(挂机升级突破!$AH$35:$AH$55,卡牌消耗!L374),"")</f>
        <v/>
      </c>
    </row>
    <row r="375" spans="9:21" ht="16.5" x14ac:dyDescent="0.2">
      <c r="I375" s="36">
        <v>339</v>
      </c>
      <c r="J375" s="16">
        <f t="shared" si="26"/>
        <v>1102017</v>
      </c>
      <c r="K375" s="16">
        <f t="shared" si="27"/>
        <v>3</v>
      </c>
      <c r="L375" s="16">
        <f t="shared" si="29"/>
        <v>3</v>
      </c>
      <c r="M375" s="16" t="str">
        <f t="shared" si="28"/>
        <v>蓝</v>
      </c>
      <c r="N375" s="16" t="str">
        <f t="shared" si="30"/>
        <v>金币</v>
      </c>
      <c r="O375" s="16">
        <f>IF(L375&gt;1,INDEX(挂机升级突破!$AI$35:$AI$55,卡牌消耗!L375),"")</f>
        <v>8500</v>
      </c>
      <c r="P375" s="16" t="str">
        <f>IF(L375&gt;1,INDEX(价值概述!$A$4:$A$8,INDEX(挂机升级突破!$W$35:$W$55,卡牌消耗!L375)),"")</f>
        <v>绿色基础材料</v>
      </c>
      <c r="Q375" s="16">
        <f>IF(L375&gt;1,INDEX(挂机升级突破!$Z$35:$AD$55,卡牌消耗!L375,INDEX(挂机升级突破!$W$35:$W$55,卡牌消耗!L375)),"")</f>
        <v>120</v>
      </c>
      <c r="R375" s="16" t="str">
        <f>IF(INDEX(挂机升级突破!$X$35:$X$55,卡牌消耗!L375)&gt;0,INDEX($G$2:$I$2,INDEX(挂机升级突破!$X$35:$X$55,卡牌消耗!L375))&amp;M375,"")</f>
        <v/>
      </c>
      <c r="S375" s="16" t="str">
        <f>IF(R375="","",INDEX(挂机升级突破!$AE$35:$AG$55,卡牌消耗!L375,INDEX(挂机升级突破!$X$35:$X$55,卡牌消耗!L375)))</f>
        <v/>
      </c>
      <c r="T375" s="16" t="str">
        <f>IF(INDEX(挂机升级突破!$Y$35:$Y$55,卡牌消耗!L375)&gt;0,"灵玉","")</f>
        <v/>
      </c>
      <c r="U375" s="16" t="str">
        <f>IF(INDEX(挂机升级突破!$Y$35:$Y$55,卡牌消耗!L375)&gt;0,INDEX(挂机升级突破!$AH$35:$AH$55,卡牌消耗!L375),"")</f>
        <v/>
      </c>
    </row>
    <row r="376" spans="9:21" ht="16.5" x14ac:dyDescent="0.2">
      <c r="I376" s="36">
        <v>340</v>
      </c>
      <c r="J376" s="16">
        <f t="shared" si="26"/>
        <v>1102017</v>
      </c>
      <c r="K376" s="16">
        <f t="shared" si="27"/>
        <v>3</v>
      </c>
      <c r="L376" s="16">
        <f t="shared" si="29"/>
        <v>4</v>
      </c>
      <c r="M376" s="16" t="str">
        <f t="shared" si="28"/>
        <v>蓝</v>
      </c>
      <c r="N376" s="16" t="str">
        <f t="shared" si="30"/>
        <v>金币</v>
      </c>
      <c r="O376" s="16">
        <f>IF(L376&gt;1,INDEX(挂机升级突破!$AI$35:$AI$55,卡牌消耗!L376),"")</f>
        <v>17000</v>
      </c>
      <c r="P376" s="16" t="str">
        <f>IF(L376&gt;1,INDEX(价值概述!$A$4:$A$8,INDEX(挂机升级突破!$W$35:$W$55,卡牌消耗!L376)),"")</f>
        <v>绿色基础材料</v>
      </c>
      <c r="Q376" s="16">
        <f>IF(L376&gt;1,INDEX(挂机升级突破!$Z$35:$AD$55,卡牌消耗!L376,INDEX(挂机升级突破!$W$35:$W$55,卡牌消耗!L376)),"")</f>
        <v>240</v>
      </c>
      <c r="R376" s="16" t="str">
        <f>IF(INDEX(挂机升级突破!$X$35:$X$55,卡牌消耗!L376)&gt;0,INDEX($G$2:$I$2,INDEX(挂机升级突破!$X$35:$X$55,卡牌消耗!L376))&amp;M376,"")</f>
        <v>初级蓝</v>
      </c>
      <c r="S376" s="16">
        <f>IF(R376="","",INDEX(挂机升级突破!$AE$35:$AG$55,卡牌消耗!L376,INDEX(挂机升级突破!$X$35:$X$55,卡牌消耗!L376)))</f>
        <v>130</v>
      </c>
      <c r="T376" s="16" t="str">
        <f>IF(INDEX(挂机升级突破!$Y$35:$Y$55,卡牌消耗!L376)&gt;0,"灵玉","")</f>
        <v/>
      </c>
      <c r="U376" s="16" t="str">
        <f>IF(INDEX(挂机升级突破!$Y$35:$Y$55,卡牌消耗!L376)&gt;0,INDEX(挂机升级突破!$AH$35:$AH$55,卡牌消耗!L376),"")</f>
        <v/>
      </c>
    </row>
    <row r="377" spans="9:21" ht="16.5" x14ac:dyDescent="0.2">
      <c r="I377" s="36">
        <v>341</v>
      </c>
      <c r="J377" s="16">
        <f t="shared" si="26"/>
        <v>1102017</v>
      </c>
      <c r="K377" s="16">
        <f t="shared" si="27"/>
        <v>3</v>
      </c>
      <c r="L377" s="16">
        <f t="shared" si="29"/>
        <v>5</v>
      </c>
      <c r="M377" s="16" t="str">
        <f t="shared" si="28"/>
        <v>蓝</v>
      </c>
      <c r="N377" s="16" t="str">
        <f t="shared" si="30"/>
        <v>金币</v>
      </c>
      <c r="O377" s="16">
        <f>IF(L377&gt;1,INDEX(挂机升级突破!$AI$35:$AI$55,卡牌消耗!L377),"")</f>
        <v>10500</v>
      </c>
      <c r="P377" s="16" t="str">
        <f>IF(L377&gt;1,INDEX(价值概述!$A$4:$A$8,INDEX(挂机升级突破!$W$35:$W$55,卡牌消耗!L377)),"")</f>
        <v>蓝色基础材料</v>
      </c>
      <c r="Q377" s="16">
        <f>IF(L377&gt;1,INDEX(挂机升级突破!$Z$35:$AD$55,卡牌消耗!L377,INDEX(挂机升级突破!$W$35:$W$55,卡牌消耗!L377)),"")</f>
        <v>85</v>
      </c>
      <c r="R377" s="16" t="str">
        <f>IF(INDEX(挂机升级突破!$X$35:$X$55,卡牌消耗!L377)&gt;0,INDEX($G$2:$I$2,INDEX(挂机升级突破!$X$35:$X$55,卡牌消耗!L377))&amp;M377,"")</f>
        <v>初级蓝</v>
      </c>
      <c r="S377" s="16">
        <f>IF(R377="","",INDEX(挂机升级突破!$AE$35:$AG$55,卡牌消耗!L377,INDEX(挂机升级突破!$X$35:$X$55,卡牌消耗!L377)))</f>
        <v>160</v>
      </c>
      <c r="T377" s="16" t="str">
        <f>IF(INDEX(挂机升级突破!$Y$35:$Y$55,卡牌消耗!L377)&gt;0,"灵玉","")</f>
        <v/>
      </c>
      <c r="U377" s="16" t="str">
        <f>IF(INDEX(挂机升级突破!$Y$35:$Y$55,卡牌消耗!L377)&gt;0,INDEX(挂机升级突破!$AH$35:$AH$55,卡牌消耗!L377),"")</f>
        <v/>
      </c>
    </row>
    <row r="378" spans="9:21" ht="16.5" x14ac:dyDescent="0.2">
      <c r="I378" s="36">
        <v>342</v>
      </c>
      <c r="J378" s="16">
        <f t="shared" si="26"/>
        <v>1102017</v>
      </c>
      <c r="K378" s="16">
        <f t="shared" si="27"/>
        <v>3</v>
      </c>
      <c r="L378" s="16">
        <f t="shared" si="29"/>
        <v>6</v>
      </c>
      <c r="M378" s="16" t="str">
        <f t="shared" si="28"/>
        <v>蓝</v>
      </c>
      <c r="N378" s="16" t="str">
        <f t="shared" si="30"/>
        <v>金币</v>
      </c>
      <c r="O378" s="16">
        <f>IF(L378&gt;1,INDEX(挂机升级突破!$AI$35:$AI$55,卡牌消耗!L378),"")</f>
        <v>25000</v>
      </c>
      <c r="P378" s="16" t="str">
        <f>IF(L378&gt;1,INDEX(价值概述!$A$4:$A$8,INDEX(挂机升级突破!$W$35:$W$55,卡牌消耗!L378)),"")</f>
        <v>蓝色基础材料</v>
      </c>
      <c r="Q378" s="16">
        <f>IF(L378&gt;1,INDEX(挂机升级突破!$Z$35:$AD$55,卡牌消耗!L378,INDEX(挂机升级突破!$W$35:$W$55,卡牌消耗!L378)),"")</f>
        <v>145</v>
      </c>
      <c r="R378" s="16" t="str">
        <f>IF(INDEX(挂机升级突破!$X$35:$X$55,卡牌消耗!L378)&gt;0,INDEX($G$2:$I$2,INDEX(挂机升级突破!$X$35:$X$55,卡牌消耗!L378))&amp;M378,"")</f>
        <v>初级蓝</v>
      </c>
      <c r="S378" s="16">
        <f>IF(R378="","",INDEX(挂机升级突破!$AE$35:$AG$55,卡牌消耗!L378,INDEX(挂机升级突破!$X$35:$X$55,卡牌消耗!L378)))</f>
        <v>175</v>
      </c>
      <c r="T378" s="16" t="str">
        <f>IF(INDEX(挂机升级突破!$Y$35:$Y$55,卡牌消耗!L378)&gt;0,"灵玉","")</f>
        <v/>
      </c>
      <c r="U378" s="16" t="str">
        <f>IF(INDEX(挂机升级突破!$Y$35:$Y$55,卡牌消耗!L378)&gt;0,INDEX(挂机升级突破!$AH$35:$AH$55,卡牌消耗!L378),"")</f>
        <v/>
      </c>
    </row>
    <row r="379" spans="9:21" ht="16.5" x14ac:dyDescent="0.2">
      <c r="I379" s="36">
        <v>343</v>
      </c>
      <c r="J379" s="16">
        <f t="shared" si="26"/>
        <v>1102017</v>
      </c>
      <c r="K379" s="16">
        <f t="shared" si="27"/>
        <v>3</v>
      </c>
      <c r="L379" s="16">
        <f t="shared" si="29"/>
        <v>7</v>
      </c>
      <c r="M379" s="16" t="str">
        <f t="shared" si="28"/>
        <v>蓝</v>
      </c>
      <c r="N379" s="16" t="str">
        <f t="shared" si="30"/>
        <v>金币</v>
      </c>
      <c r="O379" s="16">
        <f>IF(L379&gt;1,INDEX(挂机升级突破!$AI$35:$AI$55,卡牌消耗!L379),"")</f>
        <v>28000</v>
      </c>
      <c r="P379" s="16" t="str">
        <f>IF(L379&gt;1,INDEX(价值概述!$A$4:$A$8,INDEX(挂机升级突破!$W$35:$W$55,卡牌消耗!L379)),"")</f>
        <v>蓝色基础材料</v>
      </c>
      <c r="Q379" s="16">
        <f>IF(L379&gt;1,INDEX(挂机升级突破!$Z$35:$AD$55,卡牌消耗!L379,INDEX(挂机升级突破!$W$35:$W$55,卡牌消耗!L379)),"")</f>
        <v>185</v>
      </c>
      <c r="R379" s="16" t="str">
        <f>IF(INDEX(挂机升级突破!$X$35:$X$55,卡牌消耗!L379)&gt;0,INDEX($G$2:$I$2,INDEX(挂机升级突破!$X$35:$X$55,卡牌消耗!L379))&amp;M379,"")</f>
        <v>初级蓝</v>
      </c>
      <c r="S379" s="16">
        <f>IF(R379="","",INDEX(挂机升级突破!$AE$35:$AG$55,卡牌消耗!L379,INDEX(挂机升级突破!$X$35:$X$55,卡牌消耗!L379)))</f>
        <v>190</v>
      </c>
      <c r="T379" s="16" t="str">
        <f>IF(INDEX(挂机升级突破!$Y$35:$Y$55,卡牌消耗!L379)&gt;0,"灵玉","")</f>
        <v/>
      </c>
      <c r="U379" s="16" t="str">
        <f>IF(INDEX(挂机升级突破!$Y$35:$Y$55,卡牌消耗!L379)&gt;0,INDEX(挂机升级突破!$AH$35:$AH$55,卡牌消耗!L379),"")</f>
        <v/>
      </c>
    </row>
    <row r="380" spans="9:21" ht="16.5" x14ac:dyDescent="0.2">
      <c r="I380" s="36">
        <v>344</v>
      </c>
      <c r="J380" s="16">
        <f t="shared" si="26"/>
        <v>1102017</v>
      </c>
      <c r="K380" s="16">
        <f t="shared" si="27"/>
        <v>3</v>
      </c>
      <c r="L380" s="16">
        <f t="shared" si="29"/>
        <v>8</v>
      </c>
      <c r="M380" s="16" t="str">
        <f t="shared" si="28"/>
        <v>蓝</v>
      </c>
      <c r="N380" s="16" t="str">
        <f t="shared" si="30"/>
        <v>金币</v>
      </c>
      <c r="O380" s="16">
        <f>IF(L380&gt;1,INDEX(挂机升级突破!$AI$35:$AI$55,卡牌消耗!L380),"")</f>
        <v>31000</v>
      </c>
      <c r="P380" s="16" t="str">
        <f>IF(L380&gt;1,INDEX(价值概述!$A$4:$A$8,INDEX(挂机升级突破!$W$35:$W$55,卡牌消耗!L380)),"")</f>
        <v>蓝色基础材料</v>
      </c>
      <c r="Q380" s="16">
        <f>IF(L380&gt;1,INDEX(挂机升级突破!$Z$35:$AD$55,卡牌消耗!L380,INDEX(挂机升级突破!$W$35:$W$55,卡牌消耗!L380)),"")</f>
        <v>220</v>
      </c>
      <c r="R380" s="16" t="str">
        <f>IF(INDEX(挂机升级突破!$X$35:$X$55,卡牌消耗!L380)&gt;0,INDEX($G$2:$I$2,INDEX(挂机升级突破!$X$35:$X$55,卡牌消耗!L380))&amp;M380,"")</f>
        <v>初级蓝</v>
      </c>
      <c r="S380" s="16">
        <f>IF(R380="","",INDEX(挂机升级突破!$AE$35:$AG$55,卡牌消耗!L380,INDEX(挂机升级突破!$X$35:$X$55,卡牌消耗!L380)))</f>
        <v>200</v>
      </c>
      <c r="T380" s="16" t="str">
        <f>IF(INDEX(挂机升级突破!$Y$35:$Y$55,卡牌消耗!L380)&gt;0,"灵玉","")</f>
        <v/>
      </c>
      <c r="U380" s="16" t="str">
        <f>IF(INDEX(挂机升级突破!$Y$35:$Y$55,卡牌消耗!L380)&gt;0,INDEX(挂机升级突破!$AH$35:$AH$55,卡牌消耗!L380),"")</f>
        <v/>
      </c>
    </row>
    <row r="381" spans="9:21" ht="16.5" x14ac:dyDescent="0.2">
      <c r="I381" s="36">
        <v>345</v>
      </c>
      <c r="J381" s="16">
        <f t="shared" si="26"/>
        <v>1102017</v>
      </c>
      <c r="K381" s="16">
        <f t="shared" si="27"/>
        <v>3</v>
      </c>
      <c r="L381" s="16">
        <f t="shared" si="29"/>
        <v>9</v>
      </c>
      <c r="M381" s="16" t="str">
        <f t="shared" si="28"/>
        <v>蓝</v>
      </c>
      <c r="N381" s="16" t="str">
        <f t="shared" si="30"/>
        <v>金币</v>
      </c>
      <c r="O381" s="16">
        <f>IF(L381&gt;1,INDEX(挂机升级突破!$AI$35:$AI$55,卡牌消耗!L381),"")</f>
        <v>24000</v>
      </c>
      <c r="P381" s="16" t="str">
        <f>IF(L381&gt;1,INDEX(价值概述!$A$4:$A$8,INDEX(挂机升级突破!$W$35:$W$55,卡牌消耗!L381)),"")</f>
        <v>紫色基础材料</v>
      </c>
      <c r="Q381" s="16">
        <f>IF(L381&gt;1,INDEX(挂机升级突破!$Z$35:$AD$55,卡牌消耗!L381,INDEX(挂机升级突破!$W$35:$W$55,卡牌消耗!L381)),"")</f>
        <v>95</v>
      </c>
      <c r="R381" s="16" t="str">
        <f>IF(INDEX(挂机升级突破!$X$35:$X$55,卡牌消耗!L381)&gt;0,INDEX($G$2:$I$2,INDEX(挂机升级突破!$X$35:$X$55,卡牌消耗!L381))&amp;M381,"")</f>
        <v>中级蓝</v>
      </c>
      <c r="S381" s="16">
        <f>IF(R381="","",INDEX(挂机升级突破!$AE$35:$AG$55,卡牌消耗!L381,INDEX(挂机升级突破!$X$35:$X$55,卡牌消耗!L381)))</f>
        <v>80</v>
      </c>
      <c r="T381" s="16" t="str">
        <f>IF(INDEX(挂机升级突破!$Y$35:$Y$55,卡牌消耗!L381)&gt;0,"灵玉","")</f>
        <v/>
      </c>
      <c r="U381" s="16" t="str">
        <f>IF(INDEX(挂机升级突破!$Y$35:$Y$55,卡牌消耗!L381)&gt;0,INDEX(挂机升级突破!$AH$35:$AH$55,卡牌消耗!L381),"")</f>
        <v/>
      </c>
    </row>
    <row r="382" spans="9:21" ht="16.5" x14ac:dyDescent="0.2">
      <c r="I382" s="36">
        <v>346</v>
      </c>
      <c r="J382" s="16">
        <f t="shared" si="26"/>
        <v>1102017</v>
      </c>
      <c r="K382" s="16">
        <f t="shared" si="27"/>
        <v>3</v>
      </c>
      <c r="L382" s="16">
        <f t="shared" si="29"/>
        <v>10</v>
      </c>
      <c r="M382" s="16" t="str">
        <f t="shared" si="28"/>
        <v>蓝</v>
      </c>
      <c r="N382" s="16" t="str">
        <f t="shared" si="30"/>
        <v>金币</v>
      </c>
      <c r="O382" s="16">
        <f>IF(L382&gt;1,INDEX(挂机升级突破!$AI$35:$AI$55,卡牌消耗!L382),"")</f>
        <v>26500</v>
      </c>
      <c r="P382" s="16" t="str">
        <f>IF(L382&gt;1,INDEX(价值概述!$A$4:$A$8,INDEX(挂机升级突破!$W$35:$W$55,卡牌消耗!L382)),"")</f>
        <v>紫色基础材料</v>
      </c>
      <c r="Q382" s="16">
        <f>IF(L382&gt;1,INDEX(挂机升级突破!$Z$35:$AD$55,卡牌消耗!L382,INDEX(挂机升级突破!$W$35:$W$55,卡牌消耗!L382)),"")</f>
        <v>175</v>
      </c>
      <c r="R382" s="16" t="str">
        <f>IF(INDEX(挂机升级突破!$X$35:$X$55,卡牌消耗!L382)&gt;0,INDEX($G$2:$I$2,INDEX(挂机升级突破!$X$35:$X$55,卡牌消耗!L382))&amp;M382,"")</f>
        <v>中级蓝</v>
      </c>
      <c r="S382" s="16">
        <f>IF(R382="","",INDEX(挂机升级突破!$AE$35:$AG$55,卡牌消耗!L382,INDEX(挂机升级突破!$X$35:$X$55,卡牌消耗!L382)))</f>
        <v>120</v>
      </c>
      <c r="T382" s="16" t="str">
        <f>IF(INDEX(挂机升级突破!$Y$35:$Y$55,卡牌消耗!L382)&gt;0,"灵玉","")</f>
        <v/>
      </c>
      <c r="U382" s="16" t="str">
        <f>IF(INDEX(挂机升级突破!$Y$35:$Y$55,卡牌消耗!L382)&gt;0,INDEX(挂机升级突破!$AH$35:$AH$55,卡牌消耗!L382),"")</f>
        <v/>
      </c>
    </row>
    <row r="383" spans="9:21" ht="16.5" x14ac:dyDescent="0.2">
      <c r="I383" s="36">
        <v>347</v>
      </c>
      <c r="J383" s="16">
        <f t="shared" si="26"/>
        <v>1102017</v>
      </c>
      <c r="K383" s="16">
        <f t="shared" si="27"/>
        <v>3</v>
      </c>
      <c r="L383" s="16">
        <f t="shared" si="29"/>
        <v>11</v>
      </c>
      <c r="M383" s="16" t="str">
        <f t="shared" si="28"/>
        <v>蓝</v>
      </c>
      <c r="N383" s="16" t="str">
        <f t="shared" si="30"/>
        <v>金币</v>
      </c>
      <c r="O383" s="16">
        <f>IF(L383&gt;1,INDEX(挂机升级突破!$AI$35:$AI$55,卡牌消耗!L383),"")</f>
        <v>28500</v>
      </c>
      <c r="P383" s="16" t="str">
        <f>IF(L383&gt;1,INDEX(价值概述!$A$4:$A$8,INDEX(挂机升级突破!$W$35:$W$55,卡牌消耗!L383)),"")</f>
        <v>紫色基础材料</v>
      </c>
      <c r="Q383" s="16">
        <f>IF(L383&gt;1,INDEX(挂机升级突破!$Z$35:$AD$55,卡牌消耗!L383,INDEX(挂机升级突破!$W$35:$W$55,卡牌消耗!L383)),"")</f>
        <v>245</v>
      </c>
      <c r="R383" s="16" t="str">
        <f>IF(INDEX(挂机升级突破!$X$35:$X$55,卡牌消耗!L383)&gt;0,INDEX($G$2:$I$2,INDEX(挂机升级突破!$X$35:$X$55,卡牌消耗!L383))&amp;M383,"")</f>
        <v>中级蓝</v>
      </c>
      <c r="S383" s="16">
        <f>IF(R383="","",INDEX(挂机升级突破!$AE$35:$AG$55,卡牌消耗!L383,INDEX(挂机升级突破!$X$35:$X$55,卡牌消耗!L383)))</f>
        <v>170</v>
      </c>
      <c r="T383" s="16" t="str">
        <f>IF(INDEX(挂机升级突破!$Y$35:$Y$55,卡牌消耗!L383)&gt;0,"灵玉","")</f>
        <v/>
      </c>
      <c r="U383" s="16" t="str">
        <f>IF(INDEX(挂机升级突破!$Y$35:$Y$55,卡牌消耗!L383)&gt;0,INDEX(挂机升级突破!$AH$35:$AH$55,卡牌消耗!L383),"")</f>
        <v/>
      </c>
    </row>
    <row r="384" spans="9:21" ht="16.5" x14ac:dyDescent="0.2">
      <c r="I384" s="36">
        <v>348</v>
      </c>
      <c r="J384" s="16">
        <f t="shared" si="26"/>
        <v>1102017</v>
      </c>
      <c r="K384" s="16">
        <f t="shared" si="27"/>
        <v>3</v>
      </c>
      <c r="L384" s="16">
        <f t="shared" si="29"/>
        <v>12</v>
      </c>
      <c r="M384" s="16" t="str">
        <f t="shared" si="28"/>
        <v>蓝</v>
      </c>
      <c r="N384" s="16" t="str">
        <f t="shared" si="30"/>
        <v>金币</v>
      </c>
      <c r="O384" s="16">
        <f>IF(L384&gt;1,INDEX(挂机升级突破!$AI$35:$AI$55,卡牌消耗!L384),"")</f>
        <v>30500</v>
      </c>
      <c r="P384" s="16" t="str">
        <f>IF(L384&gt;1,INDEX(价值概述!$A$4:$A$8,INDEX(挂机升级突破!$W$35:$W$55,卡牌消耗!L384)),"")</f>
        <v>紫色基础材料</v>
      </c>
      <c r="Q384" s="16">
        <f>IF(L384&gt;1,INDEX(挂机升级突破!$Z$35:$AD$55,卡牌消耗!L384,INDEX(挂机升级突破!$W$35:$W$55,卡牌消耗!L384)),"")</f>
        <v>305</v>
      </c>
      <c r="R384" s="16" t="str">
        <f>IF(INDEX(挂机升级突破!$X$35:$X$55,卡牌消耗!L384)&gt;0,INDEX($G$2:$I$2,INDEX(挂机升级突破!$X$35:$X$55,卡牌消耗!L384))&amp;M384,"")</f>
        <v>中级蓝</v>
      </c>
      <c r="S384" s="16">
        <f>IF(R384="","",INDEX(挂机升级突破!$AE$35:$AG$55,卡牌消耗!L384,INDEX(挂机升级突破!$X$35:$X$55,卡牌消耗!L384)))</f>
        <v>200</v>
      </c>
      <c r="T384" s="16" t="str">
        <f>IF(INDEX(挂机升级突破!$Y$35:$Y$55,卡牌消耗!L384)&gt;0,"灵玉","")</f>
        <v/>
      </c>
      <c r="U384" s="16" t="str">
        <f>IF(INDEX(挂机升级突破!$Y$35:$Y$55,卡牌消耗!L384)&gt;0,INDEX(挂机升级突破!$AH$35:$AH$55,卡牌消耗!L384),"")</f>
        <v/>
      </c>
    </row>
    <row r="385" spans="9:21" ht="16.5" x14ac:dyDescent="0.2">
      <c r="I385" s="36">
        <v>349</v>
      </c>
      <c r="J385" s="16">
        <f t="shared" si="26"/>
        <v>1102017</v>
      </c>
      <c r="K385" s="16">
        <f t="shared" si="27"/>
        <v>3</v>
      </c>
      <c r="L385" s="16">
        <f t="shared" si="29"/>
        <v>13</v>
      </c>
      <c r="M385" s="16" t="str">
        <f t="shared" si="28"/>
        <v>蓝</v>
      </c>
      <c r="N385" s="16" t="str">
        <f t="shared" si="30"/>
        <v>金币</v>
      </c>
      <c r="O385" s="16">
        <f>IF(L385&gt;1,INDEX(挂机升级突破!$AI$35:$AI$55,卡牌消耗!L385),"")</f>
        <v>38500</v>
      </c>
      <c r="P385" s="16" t="str">
        <f>IF(L385&gt;1,INDEX(价值概述!$A$4:$A$8,INDEX(挂机升级突破!$W$35:$W$55,卡牌消耗!L385)),"")</f>
        <v>橙色基础材料</v>
      </c>
      <c r="Q385" s="16">
        <f>IF(L385&gt;1,INDEX(挂机升级突破!$Z$35:$AD$55,卡牌消耗!L385,INDEX(挂机升级突破!$W$35:$W$55,卡牌消耗!L385)),"")</f>
        <v>115</v>
      </c>
      <c r="R385" s="16" t="str">
        <f>IF(INDEX(挂机升级突破!$X$35:$X$55,卡牌消耗!L385)&gt;0,INDEX($G$2:$I$2,INDEX(挂机升级突破!$X$35:$X$55,卡牌消耗!L385))&amp;M385,"")</f>
        <v>中级蓝</v>
      </c>
      <c r="S385" s="16">
        <f>IF(R385="","",INDEX(挂机升级突破!$AE$35:$AG$55,卡牌消耗!L385,INDEX(挂机升级突破!$X$35:$X$55,卡牌消耗!L385)))</f>
        <v>225</v>
      </c>
      <c r="T385" s="16" t="str">
        <f>IF(INDEX(挂机升级突破!$Y$35:$Y$55,卡牌消耗!L385)&gt;0,"灵玉","")</f>
        <v/>
      </c>
      <c r="U385" s="16" t="str">
        <f>IF(INDEX(挂机升级突破!$Y$35:$Y$55,卡牌消耗!L385)&gt;0,INDEX(挂机升级突破!$AH$35:$AH$55,卡牌消耗!L385),"")</f>
        <v/>
      </c>
    </row>
    <row r="386" spans="9:21" ht="16.5" x14ac:dyDescent="0.2">
      <c r="I386" s="36">
        <v>350</v>
      </c>
      <c r="J386" s="16">
        <f t="shared" si="26"/>
        <v>1102017</v>
      </c>
      <c r="K386" s="16">
        <f t="shared" si="27"/>
        <v>3</v>
      </c>
      <c r="L386" s="16">
        <f t="shared" si="29"/>
        <v>14</v>
      </c>
      <c r="M386" s="16" t="str">
        <f t="shared" si="28"/>
        <v>蓝</v>
      </c>
      <c r="N386" s="16" t="str">
        <f t="shared" si="30"/>
        <v>金币</v>
      </c>
      <c r="O386" s="16">
        <f>IF(L386&gt;1,INDEX(挂机升级突破!$AI$35:$AI$55,卡牌消耗!L386),"")</f>
        <v>51000</v>
      </c>
      <c r="P386" s="16" t="str">
        <f>IF(L386&gt;1,INDEX(价值概述!$A$4:$A$8,INDEX(挂机升级突破!$W$35:$W$55,卡牌消耗!L386)),"")</f>
        <v>橙色基础材料</v>
      </c>
      <c r="Q386" s="16">
        <f>IF(L386&gt;1,INDEX(挂机升级突破!$Z$35:$AD$55,卡牌消耗!L386,INDEX(挂机升级突破!$W$35:$W$55,卡牌消耗!L386)),"")</f>
        <v>235</v>
      </c>
      <c r="R386" s="16" t="str">
        <f>IF(INDEX(挂机升级突破!$X$35:$X$55,卡牌消耗!L386)&gt;0,INDEX($G$2:$I$2,INDEX(挂机升级突破!$X$35:$X$55,卡牌消耗!L386))&amp;M386,"")</f>
        <v>中级蓝</v>
      </c>
      <c r="S386" s="16">
        <f>IF(R386="","",INDEX(挂机升级突破!$AE$35:$AG$55,卡牌消耗!L386,INDEX(挂机升级突破!$X$35:$X$55,卡牌消耗!L386)))</f>
        <v>265</v>
      </c>
      <c r="T386" s="16" t="str">
        <f>IF(INDEX(挂机升级突破!$Y$35:$Y$55,卡牌消耗!L386)&gt;0,"灵玉","")</f>
        <v/>
      </c>
      <c r="U386" s="16" t="str">
        <f>IF(INDEX(挂机升级突破!$Y$35:$Y$55,卡牌消耗!L386)&gt;0,INDEX(挂机升级突破!$AH$35:$AH$55,卡牌消耗!L386),"")</f>
        <v/>
      </c>
    </row>
    <row r="387" spans="9:21" ht="16.5" x14ac:dyDescent="0.2">
      <c r="I387" s="36">
        <v>351</v>
      </c>
      <c r="J387" s="16">
        <f t="shared" si="26"/>
        <v>1102017</v>
      </c>
      <c r="K387" s="16">
        <f t="shared" si="27"/>
        <v>3</v>
      </c>
      <c r="L387" s="16">
        <f t="shared" si="29"/>
        <v>15</v>
      </c>
      <c r="M387" s="16" t="str">
        <f t="shared" si="28"/>
        <v>蓝</v>
      </c>
      <c r="N387" s="16" t="str">
        <f t="shared" si="30"/>
        <v>金币</v>
      </c>
      <c r="O387" s="16">
        <f>IF(L387&gt;1,INDEX(挂机升级突破!$AI$35:$AI$55,卡牌消耗!L387),"")</f>
        <v>60000</v>
      </c>
      <c r="P387" s="16" t="str">
        <f>IF(L387&gt;1,INDEX(价值概述!$A$4:$A$8,INDEX(挂机升级突破!$W$35:$W$55,卡牌消耗!L387)),"")</f>
        <v>橙色基础材料</v>
      </c>
      <c r="Q387" s="16">
        <f>IF(L387&gt;1,INDEX(挂机升级突破!$Z$35:$AD$55,卡牌消耗!L387,INDEX(挂机升级突破!$W$35:$W$55,卡牌消耗!L387)),"")</f>
        <v>355</v>
      </c>
      <c r="R387" s="16" t="str">
        <f>IF(INDEX(挂机升级突破!$X$35:$X$55,卡牌消耗!L387)&gt;0,INDEX($G$2:$I$2,INDEX(挂机升级突破!$X$35:$X$55,卡牌消耗!L387))&amp;M387,"")</f>
        <v>高级蓝</v>
      </c>
      <c r="S387" s="16">
        <f>IF(R387="","",INDEX(挂机升级突破!$AE$35:$AG$55,卡牌消耗!L387,INDEX(挂机升级突破!$X$35:$X$55,卡牌消耗!L387)))</f>
        <v>45</v>
      </c>
      <c r="T387" s="16" t="str">
        <f>IF(INDEX(挂机升级突破!$Y$35:$Y$55,卡牌消耗!L387)&gt;0,"灵玉","")</f>
        <v/>
      </c>
      <c r="U387" s="16" t="str">
        <f>IF(INDEX(挂机升级突破!$Y$35:$Y$55,卡牌消耗!L387)&gt;0,INDEX(挂机升级突破!$AH$35:$AH$55,卡牌消耗!L387),"")</f>
        <v/>
      </c>
    </row>
    <row r="388" spans="9:21" ht="16.5" x14ac:dyDescent="0.2">
      <c r="I388" s="36">
        <v>352</v>
      </c>
      <c r="J388" s="16">
        <f t="shared" si="26"/>
        <v>1102017</v>
      </c>
      <c r="K388" s="16">
        <f t="shared" si="27"/>
        <v>3</v>
      </c>
      <c r="L388" s="16">
        <f t="shared" si="29"/>
        <v>16</v>
      </c>
      <c r="M388" s="16" t="str">
        <f t="shared" si="28"/>
        <v>蓝</v>
      </c>
      <c r="N388" s="16" t="str">
        <f t="shared" si="30"/>
        <v>金币</v>
      </c>
      <c r="O388" s="16">
        <f>IF(L388&gt;1,INDEX(挂机升级突破!$AI$35:$AI$55,卡牌消耗!L388),"")</f>
        <v>69000</v>
      </c>
      <c r="P388" s="16" t="str">
        <f>IF(L388&gt;1,INDEX(价值概述!$A$4:$A$8,INDEX(挂机升级突破!$W$35:$W$55,卡牌消耗!L388)),"")</f>
        <v>橙色基础材料</v>
      </c>
      <c r="Q388" s="16">
        <f>IF(L388&gt;1,INDEX(挂机升级突破!$Z$35:$AD$55,卡牌消耗!L388,INDEX(挂机升级突破!$W$35:$W$55,卡牌消耗!L388)),"")</f>
        <v>475</v>
      </c>
      <c r="R388" s="16" t="str">
        <f>IF(INDEX(挂机升级突破!$X$35:$X$55,卡牌消耗!L388)&gt;0,INDEX($G$2:$I$2,INDEX(挂机升级突破!$X$35:$X$55,卡牌消耗!L388))&amp;M388,"")</f>
        <v>高级蓝</v>
      </c>
      <c r="S388" s="16">
        <f>IF(R388="","",INDEX(挂机升级突破!$AE$35:$AG$55,卡牌消耗!L388,INDEX(挂机升级突破!$X$35:$X$55,卡牌消耗!L388)))</f>
        <v>70</v>
      </c>
      <c r="T388" s="16" t="str">
        <f>IF(INDEX(挂机升级突破!$Y$35:$Y$55,卡牌消耗!L388)&gt;0,"灵玉","")</f>
        <v/>
      </c>
      <c r="U388" s="16" t="str">
        <f>IF(INDEX(挂机升级突破!$Y$35:$Y$55,卡牌消耗!L388)&gt;0,INDEX(挂机升级突破!$AH$35:$AH$55,卡牌消耗!L388),"")</f>
        <v/>
      </c>
    </row>
    <row r="389" spans="9:21" ht="16.5" x14ac:dyDescent="0.2">
      <c r="I389" s="36">
        <v>353</v>
      </c>
      <c r="J389" s="16">
        <f t="shared" si="26"/>
        <v>1102017</v>
      </c>
      <c r="K389" s="16">
        <f t="shared" si="27"/>
        <v>3</v>
      </c>
      <c r="L389" s="16">
        <f t="shared" si="29"/>
        <v>17</v>
      </c>
      <c r="M389" s="16" t="str">
        <f t="shared" si="28"/>
        <v>蓝</v>
      </c>
      <c r="N389" s="16" t="str">
        <f t="shared" si="30"/>
        <v>金币</v>
      </c>
      <c r="O389" s="16">
        <f>IF(L389&gt;1,INDEX(挂机升级突破!$AI$35:$AI$55,卡牌消耗!L389),"")</f>
        <v>76500</v>
      </c>
      <c r="P389" s="16" t="str">
        <f>IF(L389&gt;1,INDEX(价值概述!$A$4:$A$8,INDEX(挂机升级突破!$W$35:$W$55,卡牌消耗!L389)),"")</f>
        <v>红色基础材料</v>
      </c>
      <c r="Q389" s="16">
        <f>IF(L389&gt;1,INDEX(挂机升级突破!$Z$35:$AD$55,卡牌消耗!L389,INDEX(挂机升级突破!$W$35:$W$55,卡牌消耗!L389)),"")</f>
        <v>45</v>
      </c>
      <c r="R389" s="16" t="str">
        <f>IF(INDEX(挂机升级突破!$X$35:$X$55,卡牌消耗!L389)&gt;0,INDEX($G$2:$I$2,INDEX(挂机升级突破!$X$35:$X$55,卡牌消耗!L389))&amp;M389,"")</f>
        <v>高级蓝</v>
      </c>
      <c r="S389" s="16">
        <f>IF(R389="","",INDEX(挂机升级突破!$AE$35:$AG$55,卡牌消耗!L389,INDEX(挂机升级突破!$X$35:$X$55,卡牌消耗!L389)))</f>
        <v>100</v>
      </c>
      <c r="T389" s="16" t="str">
        <f>IF(INDEX(挂机升级突破!$Y$35:$Y$55,卡牌消耗!L389)&gt;0,"灵玉","")</f>
        <v>灵玉</v>
      </c>
      <c r="U389" s="16">
        <f>IF(INDEX(挂机升级突破!$Y$35:$Y$55,卡牌消耗!L389)&gt;0,INDEX(挂机升级突破!$AH$35:$AH$55,卡牌消耗!L389),"")</f>
        <v>25</v>
      </c>
    </row>
    <row r="390" spans="9:21" ht="16.5" x14ac:dyDescent="0.2">
      <c r="I390" s="36">
        <v>354</v>
      </c>
      <c r="J390" s="16">
        <f t="shared" si="26"/>
        <v>1102017</v>
      </c>
      <c r="K390" s="16">
        <f t="shared" si="27"/>
        <v>3</v>
      </c>
      <c r="L390" s="16">
        <f t="shared" si="29"/>
        <v>18</v>
      </c>
      <c r="M390" s="16" t="str">
        <f t="shared" si="28"/>
        <v>蓝</v>
      </c>
      <c r="N390" s="16" t="str">
        <f t="shared" si="30"/>
        <v>金币</v>
      </c>
      <c r="O390" s="16">
        <f>IF(L390&gt;1,INDEX(挂机升级突破!$AI$35:$AI$55,卡牌消耗!L390),"")</f>
        <v>107000</v>
      </c>
      <c r="P390" s="16" t="str">
        <f>IF(L390&gt;1,INDEX(价值概述!$A$4:$A$8,INDEX(挂机升级突破!$W$35:$W$55,卡牌消耗!L390)),"")</f>
        <v>红色基础材料</v>
      </c>
      <c r="Q390" s="16">
        <f>IF(L390&gt;1,INDEX(挂机升级突破!$Z$35:$AD$55,卡牌消耗!L390,INDEX(挂机升级突破!$W$35:$W$55,卡牌消耗!L390)),"")</f>
        <v>65</v>
      </c>
      <c r="R390" s="16" t="str">
        <f>IF(INDEX(挂机升级突破!$X$35:$X$55,卡牌消耗!L390)&gt;0,INDEX($G$2:$I$2,INDEX(挂机升级突破!$X$35:$X$55,卡牌消耗!L390))&amp;M390,"")</f>
        <v>高级蓝</v>
      </c>
      <c r="S390" s="16">
        <f>IF(R390="","",INDEX(挂机升级突破!$AE$35:$AG$55,卡牌消耗!L390,INDEX(挂机升级突破!$X$35:$X$55,卡牌消耗!L390)))</f>
        <v>125</v>
      </c>
      <c r="T390" s="16" t="str">
        <f>IF(INDEX(挂机升级突破!$Y$35:$Y$55,卡牌消耗!L390)&gt;0,"灵玉","")</f>
        <v>灵玉</v>
      </c>
      <c r="U390" s="16">
        <f>IF(INDEX(挂机升级突破!$Y$35:$Y$55,卡牌消耗!L390)&gt;0,INDEX(挂机升级突破!$AH$35:$AH$55,卡牌消耗!L390),"")</f>
        <v>35</v>
      </c>
    </row>
    <row r="391" spans="9:21" ht="16.5" x14ac:dyDescent="0.2">
      <c r="I391" s="36">
        <v>355</v>
      </c>
      <c r="J391" s="16">
        <f t="shared" si="26"/>
        <v>1102017</v>
      </c>
      <c r="K391" s="16">
        <f t="shared" si="27"/>
        <v>3</v>
      </c>
      <c r="L391" s="16">
        <f t="shared" si="29"/>
        <v>19</v>
      </c>
      <c r="M391" s="16" t="str">
        <f t="shared" si="28"/>
        <v>蓝</v>
      </c>
      <c r="N391" s="16" t="str">
        <f t="shared" si="30"/>
        <v>金币</v>
      </c>
      <c r="O391" s="16">
        <f>IF(L391&gt;1,INDEX(挂机升级突破!$AI$35:$AI$55,卡牌消耗!L391),"")</f>
        <v>142500</v>
      </c>
      <c r="P391" s="16" t="str">
        <f>IF(L391&gt;1,INDEX(价值概述!$A$4:$A$8,INDEX(挂机升级突破!$W$35:$W$55,卡牌消耗!L391)),"")</f>
        <v>红色基础材料</v>
      </c>
      <c r="Q391" s="16">
        <f>IF(L391&gt;1,INDEX(挂机升级突破!$Z$35:$AD$55,卡牌消耗!L391,INDEX(挂机升级突破!$W$35:$W$55,卡牌消耗!L391)),"")</f>
        <v>90</v>
      </c>
      <c r="R391" s="16" t="str">
        <f>IF(INDEX(挂机升级突破!$X$35:$X$55,卡牌消耗!L391)&gt;0,INDEX($G$2:$I$2,INDEX(挂机升级突破!$X$35:$X$55,卡牌消耗!L391))&amp;M391,"")</f>
        <v>高级蓝</v>
      </c>
      <c r="S391" s="16">
        <f>IF(R391="","",INDEX(挂机升级突破!$AE$35:$AG$55,卡牌消耗!L391,INDEX(挂机升级突破!$X$35:$X$55,卡牌消耗!L391)))</f>
        <v>155</v>
      </c>
      <c r="T391" s="16" t="str">
        <f>IF(INDEX(挂机升级突破!$Y$35:$Y$55,卡牌消耗!L391)&gt;0,"灵玉","")</f>
        <v>灵玉</v>
      </c>
      <c r="U391" s="16">
        <f>IF(INDEX(挂机升级突破!$Y$35:$Y$55,卡牌消耗!L391)&gt;0,INDEX(挂机升级突破!$AH$35:$AH$55,卡牌消耗!L391),"")</f>
        <v>50</v>
      </c>
    </row>
    <row r="392" spans="9:21" ht="16.5" x14ac:dyDescent="0.2">
      <c r="I392" s="36">
        <v>356</v>
      </c>
      <c r="J392" s="16">
        <f t="shared" si="26"/>
        <v>1102017</v>
      </c>
      <c r="K392" s="16">
        <f t="shared" si="27"/>
        <v>3</v>
      </c>
      <c r="L392" s="16">
        <f t="shared" si="29"/>
        <v>20</v>
      </c>
      <c r="M392" s="16" t="str">
        <f t="shared" si="28"/>
        <v>蓝</v>
      </c>
      <c r="N392" s="16" t="str">
        <f t="shared" si="30"/>
        <v>金币</v>
      </c>
      <c r="O392" s="16">
        <f>IF(L392&gt;1,INDEX(挂机升级突破!$AI$35:$AI$55,卡牌消耗!L392),"")</f>
        <v>178500</v>
      </c>
      <c r="P392" s="16" t="str">
        <f>IF(L392&gt;1,INDEX(价值概述!$A$4:$A$8,INDEX(挂机升级突破!$W$35:$W$55,卡牌消耗!L392)),"")</f>
        <v>红色基础材料</v>
      </c>
      <c r="Q392" s="16">
        <f>IF(L392&gt;1,INDEX(挂机升级突破!$Z$35:$AD$55,卡牌消耗!L392,INDEX(挂机升级突破!$W$35:$W$55,卡牌消耗!L392)),"")</f>
        <v>110</v>
      </c>
      <c r="R392" s="16" t="str">
        <f>IF(INDEX(挂机升级突破!$X$35:$X$55,卡牌消耗!L392)&gt;0,INDEX($G$2:$I$2,INDEX(挂机升级突破!$X$35:$X$55,卡牌消耗!L392))&amp;M392,"")</f>
        <v>高级蓝</v>
      </c>
      <c r="S392" s="16">
        <f>IF(R392="","",INDEX(挂机升级突破!$AE$35:$AG$55,卡牌消耗!L392,INDEX(挂机升级突破!$X$35:$X$55,卡牌消耗!L392)))</f>
        <v>180</v>
      </c>
      <c r="T392" s="16" t="str">
        <f>IF(INDEX(挂机升级突破!$Y$35:$Y$55,卡牌消耗!L392)&gt;0,"灵玉","")</f>
        <v>灵玉</v>
      </c>
      <c r="U392" s="16">
        <f>IF(INDEX(挂机升级突破!$Y$35:$Y$55,卡牌消耗!L392)&gt;0,INDEX(挂机升级突破!$AH$35:$AH$55,卡牌消耗!L392),"")</f>
        <v>65</v>
      </c>
    </row>
    <row r="393" spans="9:21" ht="16.5" x14ac:dyDescent="0.2">
      <c r="I393" s="36">
        <v>357</v>
      </c>
      <c r="J393" s="16">
        <f t="shared" si="26"/>
        <v>1102017</v>
      </c>
      <c r="K393" s="16">
        <f t="shared" si="27"/>
        <v>3</v>
      </c>
      <c r="L393" s="16">
        <f t="shared" si="29"/>
        <v>21</v>
      </c>
      <c r="M393" s="16" t="str">
        <f t="shared" si="28"/>
        <v>蓝</v>
      </c>
      <c r="N393" s="16" t="str">
        <f t="shared" si="30"/>
        <v>金币</v>
      </c>
      <c r="O393" s="16">
        <f>IF(L393&gt;1,INDEX(挂机升级突破!$AI$35:$AI$55,卡牌消耗!L393),"")</f>
        <v>214000</v>
      </c>
      <c r="P393" s="16" t="str">
        <f>IF(L393&gt;1,INDEX(价值概述!$A$4:$A$8,INDEX(挂机升级突破!$W$35:$W$55,卡牌消耗!L393)),"")</f>
        <v>红色基础材料</v>
      </c>
      <c r="Q393" s="16">
        <f>IF(L393&gt;1,INDEX(挂机升级突破!$Z$35:$AD$55,卡牌消耗!L393,INDEX(挂机升级突破!$W$35:$W$55,卡牌消耗!L393)),"")</f>
        <v>135</v>
      </c>
      <c r="R393" s="16" t="str">
        <f>IF(INDEX(挂机升级突破!$X$35:$X$55,卡牌消耗!L393)&gt;0,INDEX($G$2:$I$2,INDEX(挂机升级突破!$X$35:$X$55,卡牌消耗!L393))&amp;M393,"")</f>
        <v>高级蓝</v>
      </c>
      <c r="S393" s="16">
        <f>IF(R393="","",INDEX(挂机升级突破!$AE$35:$AG$55,卡牌消耗!L393,INDEX(挂机升级突破!$X$35:$X$55,卡牌消耗!L393)))</f>
        <v>225</v>
      </c>
      <c r="T393" s="16" t="str">
        <f>IF(INDEX(挂机升级突破!$Y$35:$Y$55,卡牌消耗!L393)&gt;0,"灵玉","")</f>
        <v>灵玉</v>
      </c>
      <c r="U393" s="16">
        <f>IF(INDEX(挂机升级突破!$Y$35:$Y$55,卡牌消耗!L393)&gt;0,INDEX(挂机升级突破!$AH$35:$AH$55,卡牌消耗!L393),"")</f>
        <v>75</v>
      </c>
    </row>
    <row r="394" spans="9:21" ht="16.5" x14ac:dyDescent="0.2">
      <c r="I394" s="36">
        <v>358</v>
      </c>
      <c r="J394" s="16">
        <f t="shared" si="26"/>
        <v>1102018</v>
      </c>
      <c r="K394" s="16">
        <f t="shared" si="27"/>
        <v>3</v>
      </c>
      <c r="L394" s="16">
        <f t="shared" si="29"/>
        <v>1</v>
      </c>
      <c r="M394" s="16" t="str">
        <f t="shared" si="28"/>
        <v>黄</v>
      </c>
      <c r="N394" s="16" t="str">
        <f t="shared" si="30"/>
        <v/>
      </c>
      <c r="O394" s="16" t="str">
        <f>IF(L394&gt;1,INDEX(挂机升级突破!$AI$35:$AI$55,卡牌消耗!L394),"")</f>
        <v/>
      </c>
      <c r="P394" s="16" t="str">
        <f>IF(L394&gt;1,INDEX(价值概述!$A$4:$A$8,INDEX(挂机升级突破!$W$35:$W$55,卡牌消耗!L394)),"")</f>
        <v/>
      </c>
      <c r="Q394" s="16" t="str">
        <f>IF(L394&gt;1,INDEX(挂机升级突破!$Z$35:$AD$55,卡牌消耗!L394,INDEX(挂机升级突破!$W$35:$W$55,卡牌消耗!L394)),"")</f>
        <v/>
      </c>
      <c r="R394" s="16" t="str">
        <f>IF(INDEX(挂机升级突破!$X$35:$X$55,卡牌消耗!L394)&gt;0,INDEX($G$2:$I$2,INDEX(挂机升级突破!$X$35:$X$55,卡牌消耗!L394))&amp;M394,"")</f>
        <v/>
      </c>
      <c r="S394" s="16" t="str">
        <f>IF(R394="","",INDEX(挂机升级突破!$AE$35:$AG$55,卡牌消耗!L394,INDEX(挂机升级突破!$X$35:$X$55,卡牌消耗!L394)))</f>
        <v/>
      </c>
      <c r="T394" s="16" t="str">
        <f>IF(INDEX(挂机升级突破!$Y$35:$Y$55,卡牌消耗!L394)&gt;0,"灵玉","")</f>
        <v/>
      </c>
      <c r="U394" s="16" t="str">
        <f>IF(INDEX(挂机升级突破!$Y$35:$Y$55,卡牌消耗!L394)&gt;0,INDEX(挂机升级突破!$AH$35:$AH$55,卡牌消耗!L394),"")</f>
        <v/>
      </c>
    </row>
    <row r="395" spans="9:21" ht="16.5" x14ac:dyDescent="0.2">
      <c r="I395" s="36">
        <v>359</v>
      </c>
      <c r="J395" s="16">
        <f t="shared" si="26"/>
        <v>1102018</v>
      </c>
      <c r="K395" s="16">
        <f t="shared" si="27"/>
        <v>3</v>
      </c>
      <c r="L395" s="16">
        <f t="shared" si="29"/>
        <v>2</v>
      </c>
      <c r="M395" s="16" t="str">
        <f t="shared" si="28"/>
        <v>黄</v>
      </c>
      <c r="N395" s="16" t="str">
        <f t="shared" si="30"/>
        <v>金币</v>
      </c>
      <c r="O395" s="16">
        <f>IF(L395&gt;1,INDEX(挂机升级突破!$AI$35:$AI$55,卡牌消耗!L395),"")</f>
        <v>2500</v>
      </c>
      <c r="P395" s="16" t="str">
        <f>IF(L395&gt;1,INDEX(价值概述!$A$4:$A$8,INDEX(挂机升级突破!$W$35:$W$55,卡牌消耗!L395)),"")</f>
        <v>绿色基础材料</v>
      </c>
      <c r="Q395" s="16">
        <f>IF(L395&gt;1,INDEX(挂机升级突破!$Z$35:$AD$55,卡牌消耗!L395,INDEX(挂机升级突破!$W$35:$W$55,卡牌消耗!L395)),"")</f>
        <v>40</v>
      </c>
      <c r="R395" s="16" t="str">
        <f>IF(INDEX(挂机升级突破!$X$35:$X$55,卡牌消耗!L395)&gt;0,INDEX($G$2:$I$2,INDEX(挂机升级突破!$X$35:$X$55,卡牌消耗!L395))&amp;M395,"")</f>
        <v/>
      </c>
      <c r="S395" s="16" t="str">
        <f>IF(R395="","",INDEX(挂机升级突破!$AE$35:$AG$55,卡牌消耗!L395,INDEX(挂机升级突破!$X$35:$X$55,卡牌消耗!L395)))</f>
        <v/>
      </c>
      <c r="T395" s="16" t="str">
        <f>IF(INDEX(挂机升级突破!$Y$35:$Y$55,卡牌消耗!L395)&gt;0,"灵玉","")</f>
        <v/>
      </c>
      <c r="U395" s="16" t="str">
        <f>IF(INDEX(挂机升级突破!$Y$35:$Y$55,卡牌消耗!L395)&gt;0,INDEX(挂机升级突破!$AH$35:$AH$55,卡牌消耗!L395),"")</f>
        <v/>
      </c>
    </row>
    <row r="396" spans="9:21" ht="16.5" x14ac:dyDescent="0.2">
      <c r="I396" s="36">
        <v>360</v>
      </c>
      <c r="J396" s="16">
        <f t="shared" si="26"/>
        <v>1102018</v>
      </c>
      <c r="K396" s="16">
        <f t="shared" si="27"/>
        <v>3</v>
      </c>
      <c r="L396" s="16">
        <f t="shared" si="29"/>
        <v>3</v>
      </c>
      <c r="M396" s="16" t="str">
        <f t="shared" si="28"/>
        <v>黄</v>
      </c>
      <c r="N396" s="16" t="str">
        <f t="shared" si="30"/>
        <v>金币</v>
      </c>
      <c r="O396" s="16">
        <f>IF(L396&gt;1,INDEX(挂机升级突破!$AI$35:$AI$55,卡牌消耗!L396),"")</f>
        <v>8500</v>
      </c>
      <c r="P396" s="16" t="str">
        <f>IF(L396&gt;1,INDEX(价值概述!$A$4:$A$8,INDEX(挂机升级突破!$W$35:$W$55,卡牌消耗!L396)),"")</f>
        <v>绿色基础材料</v>
      </c>
      <c r="Q396" s="16">
        <f>IF(L396&gt;1,INDEX(挂机升级突破!$Z$35:$AD$55,卡牌消耗!L396,INDEX(挂机升级突破!$W$35:$W$55,卡牌消耗!L396)),"")</f>
        <v>120</v>
      </c>
      <c r="R396" s="16" t="str">
        <f>IF(INDEX(挂机升级突破!$X$35:$X$55,卡牌消耗!L396)&gt;0,INDEX($G$2:$I$2,INDEX(挂机升级突破!$X$35:$X$55,卡牌消耗!L396))&amp;M396,"")</f>
        <v/>
      </c>
      <c r="S396" s="16" t="str">
        <f>IF(R396="","",INDEX(挂机升级突破!$AE$35:$AG$55,卡牌消耗!L396,INDEX(挂机升级突破!$X$35:$X$55,卡牌消耗!L396)))</f>
        <v/>
      </c>
      <c r="T396" s="16" t="str">
        <f>IF(INDEX(挂机升级突破!$Y$35:$Y$55,卡牌消耗!L396)&gt;0,"灵玉","")</f>
        <v/>
      </c>
      <c r="U396" s="16" t="str">
        <f>IF(INDEX(挂机升级突破!$Y$35:$Y$55,卡牌消耗!L396)&gt;0,INDEX(挂机升级突破!$AH$35:$AH$55,卡牌消耗!L396),"")</f>
        <v/>
      </c>
    </row>
    <row r="397" spans="9:21" ht="16.5" x14ac:dyDescent="0.2">
      <c r="I397" s="36">
        <v>361</v>
      </c>
      <c r="J397" s="16">
        <f t="shared" si="26"/>
        <v>1102018</v>
      </c>
      <c r="K397" s="16">
        <f t="shared" si="27"/>
        <v>3</v>
      </c>
      <c r="L397" s="16">
        <f t="shared" si="29"/>
        <v>4</v>
      </c>
      <c r="M397" s="16" t="str">
        <f t="shared" si="28"/>
        <v>黄</v>
      </c>
      <c r="N397" s="16" t="str">
        <f t="shared" si="30"/>
        <v>金币</v>
      </c>
      <c r="O397" s="16">
        <f>IF(L397&gt;1,INDEX(挂机升级突破!$AI$35:$AI$55,卡牌消耗!L397),"")</f>
        <v>17000</v>
      </c>
      <c r="P397" s="16" t="str">
        <f>IF(L397&gt;1,INDEX(价值概述!$A$4:$A$8,INDEX(挂机升级突破!$W$35:$W$55,卡牌消耗!L397)),"")</f>
        <v>绿色基础材料</v>
      </c>
      <c r="Q397" s="16">
        <f>IF(L397&gt;1,INDEX(挂机升级突破!$Z$35:$AD$55,卡牌消耗!L397,INDEX(挂机升级突破!$W$35:$W$55,卡牌消耗!L397)),"")</f>
        <v>240</v>
      </c>
      <c r="R397" s="16" t="str">
        <f>IF(INDEX(挂机升级突破!$X$35:$X$55,卡牌消耗!L397)&gt;0,INDEX($G$2:$I$2,INDEX(挂机升级突破!$X$35:$X$55,卡牌消耗!L397))&amp;M397,"")</f>
        <v>初级黄</v>
      </c>
      <c r="S397" s="16">
        <f>IF(R397="","",INDEX(挂机升级突破!$AE$35:$AG$55,卡牌消耗!L397,INDEX(挂机升级突破!$X$35:$X$55,卡牌消耗!L397)))</f>
        <v>130</v>
      </c>
      <c r="T397" s="16" t="str">
        <f>IF(INDEX(挂机升级突破!$Y$35:$Y$55,卡牌消耗!L397)&gt;0,"灵玉","")</f>
        <v/>
      </c>
      <c r="U397" s="16" t="str">
        <f>IF(INDEX(挂机升级突破!$Y$35:$Y$55,卡牌消耗!L397)&gt;0,INDEX(挂机升级突破!$AH$35:$AH$55,卡牌消耗!L397),"")</f>
        <v/>
      </c>
    </row>
    <row r="398" spans="9:21" ht="16.5" x14ac:dyDescent="0.2">
      <c r="I398" s="36">
        <v>362</v>
      </c>
      <c r="J398" s="16">
        <f t="shared" si="26"/>
        <v>1102018</v>
      </c>
      <c r="K398" s="16">
        <f t="shared" si="27"/>
        <v>3</v>
      </c>
      <c r="L398" s="16">
        <f t="shared" si="29"/>
        <v>5</v>
      </c>
      <c r="M398" s="16" t="str">
        <f t="shared" si="28"/>
        <v>黄</v>
      </c>
      <c r="N398" s="16" t="str">
        <f t="shared" si="30"/>
        <v>金币</v>
      </c>
      <c r="O398" s="16">
        <f>IF(L398&gt;1,INDEX(挂机升级突破!$AI$35:$AI$55,卡牌消耗!L398),"")</f>
        <v>10500</v>
      </c>
      <c r="P398" s="16" t="str">
        <f>IF(L398&gt;1,INDEX(价值概述!$A$4:$A$8,INDEX(挂机升级突破!$W$35:$W$55,卡牌消耗!L398)),"")</f>
        <v>蓝色基础材料</v>
      </c>
      <c r="Q398" s="16">
        <f>IF(L398&gt;1,INDEX(挂机升级突破!$Z$35:$AD$55,卡牌消耗!L398,INDEX(挂机升级突破!$W$35:$W$55,卡牌消耗!L398)),"")</f>
        <v>85</v>
      </c>
      <c r="R398" s="16" t="str">
        <f>IF(INDEX(挂机升级突破!$X$35:$X$55,卡牌消耗!L398)&gt;0,INDEX($G$2:$I$2,INDEX(挂机升级突破!$X$35:$X$55,卡牌消耗!L398))&amp;M398,"")</f>
        <v>初级黄</v>
      </c>
      <c r="S398" s="16">
        <f>IF(R398="","",INDEX(挂机升级突破!$AE$35:$AG$55,卡牌消耗!L398,INDEX(挂机升级突破!$X$35:$X$55,卡牌消耗!L398)))</f>
        <v>160</v>
      </c>
      <c r="T398" s="16" t="str">
        <f>IF(INDEX(挂机升级突破!$Y$35:$Y$55,卡牌消耗!L398)&gt;0,"灵玉","")</f>
        <v/>
      </c>
      <c r="U398" s="16" t="str">
        <f>IF(INDEX(挂机升级突破!$Y$35:$Y$55,卡牌消耗!L398)&gt;0,INDEX(挂机升级突破!$AH$35:$AH$55,卡牌消耗!L398),"")</f>
        <v/>
      </c>
    </row>
    <row r="399" spans="9:21" ht="16.5" x14ac:dyDescent="0.2">
      <c r="I399" s="36">
        <v>363</v>
      </c>
      <c r="J399" s="16">
        <f t="shared" si="26"/>
        <v>1102018</v>
      </c>
      <c r="K399" s="16">
        <f t="shared" si="27"/>
        <v>3</v>
      </c>
      <c r="L399" s="16">
        <f t="shared" si="29"/>
        <v>6</v>
      </c>
      <c r="M399" s="16" t="str">
        <f t="shared" si="28"/>
        <v>黄</v>
      </c>
      <c r="N399" s="16" t="str">
        <f t="shared" si="30"/>
        <v>金币</v>
      </c>
      <c r="O399" s="16">
        <f>IF(L399&gt;1,INDEX(挂机升级突破!$AI$35:$AI$55,卡牌消耗!L399),"")</f>
        <v>25000</v>
      </c>
      <c r="P399" s="16" t="str">
        <f>IF(L399&gt;1,INDEX(价值概述!$A$4:$A$8,INDEX(挂机升级突破!$W$35:$W$55,卡牌消耗!L399)),"")</f>
        <v>蓝色基础材料</v>
      </c>
      <c r="Q399" s="16">
        <f>IF(L399&gt;1,INDEX(挂机升级突破!$Z$35:$AD$55,卡牌消耗!L399,INDEX(挂机升级突破!$W$35:$W$55,卡牌消耗!L399)),"")</f>
        <v>145</v>
      </c>
      <c r="R399" s="16" t="str">
        <f>IF(INDEX(挂机升级突破!$X$35:$X$55,卡牌消耗!L399)&gt;0,INDEX($G$2:$I$2,INDEX(挂机升级突破!$X$35:$X$55,卡牌消耗!L399))&amp;M399,"")</f>
        <v>初级黄</v>
      </c>
      <c r="S399" s="16">
        <f>IF(R399="","",INDEX(挂机升级突破!$AE$35:$AG$55,卡牌消耗!L399,INDEX(挂机升级突破!$X$35:$X$55,卡牌消耗!L399)))</f>
        <v>175</v>
      </c>
      <c r="T399" s="16" t="str">
        <f>IF(INDEX(挂机升级突破!$Y$35:$Y$55,卡牌消耗!L399)&gt;0,"灵玉","")</f>
        <v/>
      </c>
      <c r="U399" s="16" t="str">
        <f>IF(INDEX(挂机升级突破!$Y$35:$Y$55,卡牌消耗!L399)&gt;0,INDEX(挂机升级突破!$AH$35:$AH$55,卡牌消耗!L399),"")</f>
        <v/>
      </c>
    </row>
    <row r="400" spans="9:21" ht="16.5" x14ac:dyDescent="0.2">
      <c r="I400" s="36">
        <v>364</v>
      </c>
      <c r="J400" s="16">
        <f t="shared" si="26"/>
        <v>1102018</v>
      </c>
      <c r="K400" s="16">
        <f t="shared" si="27"/>
        <v>3</v>
      </c>
      <c r="L400" s="16">
        <f t="shared" si="29"/>
        <v>7</v>
      </c>
      <c r="M400" s="16" t="str">
        <f t="shared" si="28"/>
        <v>黄</v>
      </c>
      <c r="N400" s="16" t="str">
        <f t="shared" si="30"/>
        <v>金币</v>
      </c>
      <c r="O400" s="16">
        <f>IF(L400&gt;1,INDEX(挂机升级突破!$AI$35:$AI$55,卡牌消耗!L400),"")</f>
        <v>28000</v>
      </c>
      <c r="P400" s="16" t="str">
        <f>IF(L400&gt;1,INDEX(价值概述!$A$4:$A$8,INDEX(挂机升级突破!$W$35:$W$55,卡牌消耗!L400)),"")</f>
        <v>蓝色基础材料</v>
      </c>
      <c r="Q400" s="16">
        <f>IF(L400&gt;1,INDEX(挂机升级突破!$Z$35:$AD$55,卡牌消耗!L400,INDEX(挂机升级突破!$W$35:$W$55,卡牌消耗!L400)),"")</f>
        <v>185</v>
      </c>
      <c r="R400" s="16" t="str">
        <f>IF(INDEX(挂机升级突破!$X$35:$X$55,卡牌消耗!L400)&gt;0,INDEX($G$2:$I$2,INDEX(挂机升级突破!$X$35:$X$55,卡牌消耗!L400))&amp;M400,"")</f>
        <v>初级黄</v>
      </c>
      <c r="S400" s="16">
        <f>IF(R400="","",INDEX(挂机升级突破!$AE$35:$AG$55,卡牌消耗!L400,INDEX(挂机升级突破!$X$35:$X$55,卡牌消耗!L400)))</f>
        <v>190</v>
      </c>
      <c r="T400" s="16" t="str">
        <f>IF(INDEX(挂机升级突破!$Y$35:$Y$55,卡牌消耗!L400)&gt;0,"灵玉","")</f>
        <v/>
      </c>
      <c r="U400" s="16" t="str">
        <f>IF(INDEX(挂机升级突破!$Y$35:$Y$55,卡牌消耗!L400)&gt;0,INDEX(挂机升级突破!$AH$35:$AH$55,卡牌消耗!L400),"")</f>
        <v/>
      </c>
    </row>
    <row r="401" spans="9:21" ht="16.5" x14ac:dyDescent="0.2">
      <c r="I401" s="36">
        <v>365</v>
      </c>
      <c r="J401" s="16">
        <f t="shared" si="26"/>
        <v>1102018</v>
      </c>
      <c r="K401" s="16">
        <f t="shared" si="27"/>
        <v>3</v>
      </c>
      <c r="L401" s="16">
        <f t="shared" si="29"/>
        <v>8</v>
      </c>
      <c r="M401" s="16" t="str">
        <f t="shared" si="28"/>
        <v>黄</v>
      </c>
      <c r="N401" s="16" t="str">
        <f t="shared" si="30"/>
        <v>金币</v>
      </c>
      <c r="O401" s="16">
        <f>IF(L401&gt;1,INDEX(挂机升级突破!$AI$35:$AI$55,卡牌消耗!L401),"")</f>
        <v>31000</v>
      </c>
      <c r="P401" s="16" t="str">
        <f>IF(L401&gt;1,INDEX(价值概述!$A$4:$A$8,INDEX(挂机升级突破!$W$35:$W$55,卡牌消耗!L401)),"")</f>
        <v>蓝色基础材料</v>
      </c>
      <c r="Q401" s="16">
        <f>IF(L401&gt;1,INDEX(挂机升级突破!$Z$35:$AD$55,卡牌消耗!L401,INDEX(挂机升级突破!$W$35:$W$55,卡牌消耗!L401)),"")</f>
        <v>220</v>
      </c>
      <c r="R401" s="16" t="str">
        <f>IF(INDEX(挂机升级突破!$X$35:$X$55,卡牌消耗!L401)&gt;0,INDEX($G$2:$I$2,INDEX(挂机升级突破!$X$35:$X$55,卡牌消耗!L401))&amp;M401,"")</f>
        <v>初级黄</v>
      </c>
      <c r="S401" s="16">
        <f>IF(R401="","",INDEX(挂机升级突破!$AE$35:$AG$55,卡牌消耗!L401,INDEX(挂机升级突破!$X$35:$X$55,卡牌消耗!L401)))</f>
        <v>200</v>
      </c>
      <c r="T401" s="16" t="str">
        <f>IF(INDEX(挂机升级突破!$Y$35:$Y$55,卡牌消耗!L401)&gt;0,"灵玉","")</f>
        <v/>
      </c>
      <c r="U401" s="16" t="str">
        <f>IF(INDEX(挂机升级突破!$Y$35:$Y$55,卡牌消耗!L401)&gt;0,INDEX(挂机升级突破!$AH$35:$AH$55,卡牌消耗!L401),"")</f>
        <v/>
      </c>
    </row>
    <row r="402" spans="9:21" ht="16.5" x14ac:dyDescent="0.2">
      <c r="I402" s="36">
        <v>366</v>
      </c>
      <c r="J402" s="16">
        <f t="shared" si="26"/>
        <v>1102018</v>
      </c>
      <c r="K402" s="16">
        <f t="shared" si="27"/>
        <v>3</v>
      </c>
      <c r="L402" s="16">
        <f t="shared" si="29"/>
        <v>9</v>
      </c>
      <c r="M402" s="16" t="str">
        <f t="shared" si="28"/>
        <v>黄</v>
      </c>
      <c r="N402" s="16" t="str">
        <f t="shared" si="30"/>
        <v>金币</v>
      </c>
      <c r="O402" s="16">
        <f>IF(L402&gt;1,INDEX(挂机升级突破!$AI$35:$AI$55,卡牌消耗!L402),"")</f>
        <v>24000</v>
      </c>
      <c r="P402" s="16" t="str">
        <f>IF(L402&gt;1,INDEX(价值概述!$A$4:$A$8,INDEX(挂机升级突破!$W$35:$W$55,卡牌消耗!L402)),"")</f>
        <v>紫色基础材料</v>
      </c>
      <c r="Q402" s="16">
        <f>IF(L402&gt;1,INDEX(挂机升级突破!$Z$35:$AD$55,卡牌消耗!L402,INDEX(挂机升级突破!$W$35:$W$55,卡牌消耗!L402)),"")</f>
        <v>95</v>
      </c>
      <c r="R402" s="16" t="str">
        <f>IF(INDEX(挂机升级突破!$X$35:$X$55,卡牌消耗!L402)&gt;0,INDEX($G$2:$I$2,INDEX(挂机升级突破!$X$35:$X$55,卡牌消耗!L402))&amp;M402,"")</f>
        <v>中级黄</v>
      </c>
      <c r="S402" s="16">
        <f>IF(R402="","",INDEX(挂机升级突破!$AE$35:$AG$55,卡牌消耗!L402,INDEX(挂机升级突破!$X$35:$X$55,卡牌消耗!L402)))</f>
        <v>80</v>
      </c>
      <c r="T402" s="16" t="str">
        <f>IF(INDEX(挂机升级突破!$Y$35:$Y$55,卡牌消耗!L402)&gt;0,"灵玉","")</f>
        <v/>
      </c>
      <c r="U402" s="16" t="str">
        <f>IF(INDEX(挂机升级突破!$Y$35:$Y$55,卡牌消耗!L402)&gt;0,INDEX(挂机升级突破!$AH$35:$AH$55,卡牌消耗!L402),"")</f>
        <v/>
      </c>
    </row>
    <row r="403" spans="9:21" ht="16.5" x14ac:dyDescent="0.2">
      <c r="I403" s="36">
        <v>367</v>
      </c>
      <c r="J403" s="16">
        <f t="shared" si="26"/>
        <v>1102018</v>
      </c>
      <c r="K403" s="16">
        <f t="shared" si="27"/>
        <v>3</v>
      </c>
      <c r="L403" s="16">
        <f t="shared" si="29"/>
        <v>10</v>
      </c>
      <c r="M403" s="16" t="str">
        <f t="shared" si="28"/>
        <v>黄</v>
      </c>
      <c r="N403" s="16" t="str">
        <f t="shared" si="30"/>
        <v>金币</v>
      </c>
      <c r="O403" s="16">
        <f>IF(L403&gt;1,INDEX(挂机升级突破!$AI$35:$AI$55,卡牌消耗!L403),"")</f>
        <v>26500</v>
      </c>
      <c r="P403" s="16" t="str">
        <f>IF(L403&gt;1,INDEX(价值概述!$A$4:$A$8,INDEX(挂机升级突破!$W$35:$W$55,卡牌消耗!L403)),"")</f>
        <v>紫色基础材料</v>
      </c>
      <c r="Q403" s="16">
        <f>IF(L403&gt;1,INDEX(挂机升级突破!$Z$35:$AD$55,卡牌消耗!L403,INDEX(挂机升级突破!$W$35:$W$55,卡牌消耗!L403)),"")</f>
        <v>175</v>
      </c>
      <c r="R403" s="16" t="str">
        <f>IF(INDEX(挂机升级突破!$X$35:$X$55,卡牌消耗!L403)&gt;0,INDEX($G$2:$I$2,INDEX(挂机升级突破!$X$35:$X$55,卡牌消耗!L403))&amp;M403,"")</f>
        <v>中级黄</v>
      </c>
      <c r="S403" s="16">
        <f>IF(R403="","",INDEX(挂机升级突破!$AE$35:$AG$55,卡牌消耗!L403,INDEX(挂机升级突破!$X$35:$X$55,卡牌消耗!L403)))</f>
        <v>120</v>
      </c>
      <c r="T403" s="16" t="str">
        <f>IF(INDEX(挂机升级突破!$Y$35:$Y$55,卡牌消耗!L403)&gt;0,"灵玉","")</f>
        <v/>
      </c>
      <c r="U403" s="16" t="str">
        <f>IF(INDEX(挂机升级突破!$Y$35:$Y$55,卡牌消耗!L403)&gt;0,INDEX(挂机升级突破!$AH$35:$AH$55,卡牌消耗!L403),"")</f>
        <v/>
      </c>
    </row>
    <row r="404" spans="9:21" ht="16.5" x14ac:dyDescent="0.2">
      <c r="I404" s="36">
        <v>368</v>
      </c>
      <c r="J404" s="16">
        <f t="shared" si="26"/>
        <v>1102018</v>
      </c>
      <c r="K404" s="16">
        <f t="shared" si="27"/>
        <v>3</v>
      </c>
      <c r="L404" s="16">
        <f t="shared" si="29"/>
        <v>11</v>
      </c>
      <c r="M404" s="16" t="str">
        <f t="shared" si="28"/>
        <v>黄</v>
      </c>
      <c r="N404" s="16" t="str">
        <f t="shared" si="30"/>
        <v>金币</v>
      </c>
      <c r="O404" s="16">
        <f>IF(L404&gt;1,INDEX(挂机升级突破!$AI$35:$AI$55,卡牌消耗!L404),"")</f>
        <v>28500</v>
      </c>
      <c r="P404" s="16" t="str">
        <f>IF(L404&gt;1,INDEX(价值概述!$A$4:$A$8,INDEX(挂机升级突破!$W$35:$W$55,卡牌消耗!L404)),"")</f>
        <v>紫色基础材料</v>
      </c>
      <c r="Q404" s="16">
        <f>IF(L404&gt;1,INDEX(挂机升级突破!$Z$35:$AD$55,卡牌消耗!L404,INDEX(挂机升级突破!$W$35:$W$55,卡牌消耗!L404)),"")</f>
        <v>245</v>
      </c>
      <c r="R404" s="16" t="str">
        <f>IF(INDEX(挂机升级突破!$X$35:$X$55,卡牌消耗!L404)&gt;0,INDEX($G$2:$I$2,INDEX(挂机升级突破!$X$35:$X$55,卡牌消耗!L404))&amp;M404,"")</f>
        <v>中级黄</v>
      </c>
      <c r="S404" s="16">
        <f>IF(R404="","",INDEX(挂机升级突破!$AE$35:$AG$55,卡牌消耗!L404,INDEX(挂机升级突破!$X$35:$X$55,卡牌消耗!L404)))</f>
        <v>170</v>
      </c>
      <c r="T404" s="16" t="str">
        <f>IF(INDEX(挂机升级突破!$Y$35:$Y$55,卡牌消耗!L404)&gt;0,"灵玉","")</f>
        <v/>
      </c>
      <c r="U404" s="16" t="str">
        <f>IF(INDEX(挂机升级突破!$Y$35:$Y$55,卡牌消耗!L404)&gt;0,INDEX(挂机升级突破!$AH$35:$AH$55,卡牌消耗!L404),"")</f>
        <v/>
      </c>
    </row>
    <row r="405" spans="9:21" ht="16.5" x14ac:dyDescent="0.2">
      <c r="I405" s="36">
        <v>369</v>
      </c>
      <c r="J405" s="16">
        <f t="shared" si="26"/>
        <v>1102018</v>
      </c>
      <c r="K405" s="16">
        <f t="shared" si="27"/>
        <v>3</v>
      </c>
      <c r="L405" s="16">
        <f t="shared" si="29"/>
        <v>12</v>
      </c>
      <c r="M405" s="16" t="str">
        <f t="shared" si="28"/>
        <v>黄</v>
      </c>
      <c r="N405" s="16" t="str">
        <f t="shared" si="30"/>
        <v>金币</v>
      </c>
      <c r="O405" s="16">
        <f>IF(L405&gt;1,INDEX(挂机升级突破!$AI$35:$AI$55,卡牌消耗!L405),"")</f>
        <v>30500</v>
      </c>
      <c r="P405" s="16" t="str">
        <f>IF(L405&gt;1,INDEX(价值概述!$A$4:$A$8,INDEX(挂机升级突破!$W$35:$W$55,卡牌消耗!L405)),"")</f>
        <v>紫色基础材料</v>
      </c>
      <c r="Q405" s="16">
        <f>IF(L405&gt;1,INDEX(挂机升级突破!$Z$35:$AD$55,卡牌消耗!L405,INDEX(挂机升级突破!$W$35:$W$55,卡牌消耗!L405)),"")</f>
        <v>305</v>
      </c>
      <c r="R405" s="16" t="str">
        <f>IF(INDEX(挂机升级突破!$X$35:$X$55,卡牌消耗!L405)&gt;0,INDEX($G$2:$I$2,INDEX(挂机升级突破!$X$35:$X$55,卡牌消耗!L405))&amp;M405,"")</f>
        <v>中级黄</v>
      </c>
      <c r="S405" s="16">
        <f>IF(R405="","",INDEX(挂机升级突破!$AE$35:$AG$55,卡牌消耗!L405,INDEX(挂机升级突破!$X$35:$X$55,卡牌消耗!L405)))</f>
        <v>200</v>
      </c>
      <c r="T405" s="16" t="str">
        <f>IF(INDEX(挂机升级突破!$Y$35:$Y$55,卡牌消耗!L405)&gt;0,"灵玉","")</f>
        <v/>
      </c>
      <c r="U405" s="16" t="str">
        <f>IF(INDEX(挂机升级突破!$Y$35:$Y$55,卡牌消耗!L405)&gt;0,INDEX(挂机升级突破!$AH$35:$AH$55,卡牌消耗!L405),"")</f>
        <v/>
      </c>
    </row>
    <row r="406" spans="9:21" ht="16.5" x14ac:dyDescent="0.2">
      <c r="I406" s="36">
        <v>370</v>
      </c>
      <c r="J406" s="16">
        <f t="shared" si="26"/>
        <v>1102018</v>
      </c>
      <c r="K406" s="16">
        <f t="shared" si="27"/>
        <v>3</v>
      </c>
      <c r="L406" s="16">
        <f t="shared" si="29"/>
        <v>13</v>
      </c>
      <c r="M406" s="16" t="str">
        <f t="shared" si="28"/>
        <v>黄</v>
      </c>
      <c r="N406" s="16" t="str">
        <f t="shared" si="30"/>
        <v>金币</v>
      </c>
      <c r="O406" s="16">
        <f>IF(L406&gt;1,INDEX(挂机升级突破!$AI$35:$AI$55,卡牌消耗!L406),"")</f>
        <v>38500</v>
      </c>
      <c r="P406" s="16" t="str">
        <f>IF(L406&gt;1,INDEX(价值概述!$A$4:$A$8,INDEX(挂机升级突破!$W$35:$W$55,卡牌消耗!L406)),"")</f>
        <v>橙色基础材料</v>
      </c>
      <c r="Q406" s="16">
        <f>IF(L406&gt;1,INDEX(挂机升级突破!$Z$35:$AD$55,卡牌消耗!L406,INDEX(挂机升级突破!$W$35:$W$55,卡牌消耗!L406)),"")</f>
        <v>115</v>
      </c>
      <c r="R406" s="16" t="str">
        <f>IF(INDEX(挂机升级突破!$X$35:$X$55,卡牌消耗!L406)&gt;0,INDEX($G$2:$I$2,INDEX(挂机升级突破!$X$35:$X$55,卡牌消耗!L406))&amp;M406,"")</f>
        <v>中级黄</v>
      </c>
      <c r="S406" s="16">
        <f>IF(R406="","",INDEX(挂机升级突破!$AE$35:$AG$55,卡牌消耗!L406,INDEX(挂机升级突破!$X$35:$X$55,卡牌消耗!L406)))</f>
        <v>225</v>
      </c>
      <c r="T406" s="16" t="str">
        <f>IF(INDEX(挂机升级突破!$Y$35:$Y$55,卡牌消耗!L406)&gt;0,"灵玉","")</f>
        <v/>
      </c>
      <c r="U406" s="16" t="str">
        <f>IF(INDEX(挂机升级突破!$Y$35:$Y$55,卡牌消耗!L406)&gt;0,INDEX(挂机升级突破!$AH$35:$AH$55,卡牌消耗!L406),"")</f>
        <v/>
      </c>
    </row>
    <row r="407" spans="9:21" ht="16.5" x14ac:dyDescent="0.2">
      <c r="I407" s="36">
        <v>371</v>
      </c>
      <c r="J407" s="16">
        <f t="shared" si="26"/>
        <v>1102018</v>
      </c>
      <c r="K407" s="16">
        <f t="shared" si="27"/>
        <v>3</v>
      </c>
      <c r="L407" s="16">
        <f t="shared" si="29"/>
        <v>14</v>
      </c>
      <c r="M407" s="16" t="str">
        <f t="shared" si="28"/>
        <v>黄</v>
      </c>
      <c r="N407" s="16" t="str">
        <f t="shared" si="30"/>
        <v>金币</v>
      </c>
      <c r="O407" s="16">
        <f>IF(L407&gt;1,INDEX(挂机升级突破!$AI$35:$AI$55,卡牌消耗!L407),"")</f>
        <v>51000</v>
      </c>
      <c r="P407" s="16" t="str">
        <f>IF(L407&gt;1,INDEX(价值概述!$A$4:$A$8,INDEX(挂机升级突破!$W$35:$W$55,卡牌消耗!L407)),"")</f>
        <v>橙色基础材料</v>
      </c>
      <c r="Q407" s="16">
        <f>IF(L407&gt;1,INDEX(挂机升级突破!$Z$35:$AD$55,卡牌消耗!L407,INDEX(挂机升级突破!$W$35:$W$55,卡牌消耗!L407)),"")</f>
        <v>235</v>
      </c>
      <c r="R407" s="16" t="str">
        <f>IF(INDEX(挂机升级突破!$X$35:$X$55,卡牌消耗!L407)&gt;0,INDEX($G$2:$I$2,INDEX(挂机升级突破!$X$35:$X$55,卡牌消耗!L407))&amp;M407,"")</f>
        <v>中级黄</v>
      </c>
      <c r="S407" s="16">
        <f>IF(R407="","",INDEX(挂机升级突破!$AE$35:$AG$55,卡牌消耗!L407,INDEX(挂机升级突破!$X$35:$X$55,卡牌消耗!L407)))</f>
        <v>265</v>
      </c>
      <c r="T407" s="16" t="str">
        <f>IF(INDEX(挂机升级突破!$Y$35:$Y$55,卡牌消耗!L407)&gt;0,"灵玉","")</f>
        <v/>
      </c>
      <c r="U407" s="16" t="str">
        <f>IF(INDEX(挂机升级突破!$Y$35:$Y$55,卡牌消耗!L407)&gt;0,INDEX(挂机升级突破!$AH$35:$AH$55,卡牌消耗!L407),"")</f>
        <v/>
      </c>
    </row>
    <row r="408" spans="9:21" ht="16.5" x14ac:dyDescent="0.2">
      <c r="I408" s="36">
        <v>372</v>
      </c>
      <c r="J408" s="16">
        <f t="shared" si="26"/>
        <v>1102018</v>
      </c>
      <c r="K408" s="16">
        <f t="shared" si="27"/>
        <v>3</v>
      </c>
      <c r="L408" s="16">
        <f t="shared" si="29"/>
        <v>15</v>
      </c>
      <c r="M408" s="16" t="str">
        <f t="shared" si="28"/>
        <v>黄</v>
      </c>
      <c r="N408" s="16" t="str">
        <f t="shared" si="30"/>
        <v>金币</v>
      </c>
      <c r="O408" s="16">
        <f>IF(L408&gt;1,INDEX(挂机升级突破!$AI$35:$AI$55,卡牌消耗!L408),"")</f>
        <v>60000</v>
      </c>
      <c r="P408" s="16" t="str">
        <f>IF(L408&gt;1,INDEX(价值概述!$A$4:$A$8,INDEX(挂机升级突破!$W$35:$W$55,卡牌消耗!L408)),"")</f>
        <v>橙色基础材料</v>
      </c>
      <c r="Q408" s="16">
        <f>IF(L408&gt;1,INDEX(挂机升级突破!$Z$35:$AD$55,卡牌消耗!L408,INDEX(挂机升级突破!$W$35:$W$55,卡牌消耗!L408)),"")</f>
        <v>355</v>
      </c>
      <c r="R408" s="16" t="str">
        <f>IF(INDEX(挂机升级突破!$X$35:$X$55,卡牌消耗!L408)&gt;0,INDEX($G$2:$I$2,INDEX(挂机升级突破!$X$35:$X$55,卡牌消耗!L408))&amp;M408,"")</f>
        <v>高级黄</v>
      </c>
      <c r="S408" s="16">
        <f>IF(R408="","",INDEX(挂机升级突破!$AE$35:$AG$55,卡牌消耗!L408,INDEX(挂机升级突破!$X$35:$X$55,卡牌消耗!L408)))</f>
        <v>45</v>
      </c>
      <c r="T408" s="16" t="str">
        <f>IF(INDEX(挂机升级突破!$Y$35:$Y$55,卡牌消耗!L408)&gt;0,"灵玉","")</f>
        <v/>
      </c>
      <c r="U408" s="16" t="str">
        <f>IF(INDEX(挂机升级突破!$Y$35:$Y$55,卡牌消耗!L408)&gt;0,INDEX(挂机升级突破!$AH$35:$AH$55,卡牌消耗!L408),"")</f>
        <v/>
      </c>
    </row>
    <row r="409" spans="9:21" ht="16.5" x14ac:dyDescent="0.2">
      <c r="I409" s="36">
        <v>373</v>
      </c>
      <c r="J409" s="16">
        <f t="shared" si="26"/>
        <v>1102018</v>
      </c>
      <c r="K409" s="16">
        <f t="shared" si="27"/>
        <v>3</v>
      </c>
      <c r="L409" s="16">
        <f t="shared" si="29"/>
        <v>16</v>
      </c>
      <c r="M409" s="16" t="str">
        <f t="shared" si="28"/>
        <v>黄</v>
      </c>
      <c r="N409" s="16" t="str">
        <f t="shared" si="30"/>
        <v>金币</v>
      </c>
      <c r="O409" s="16">
        <f>IF(L409&gt;1,INDEX(挂机升级突破!$AI$35:$AI$55,卡牌消耗!L409),"")</f>
        <v>69000</v>
      </c>
      <c r="P409" s="16" t="str">
        <f>IF(L409&gt;1,INDEX(价值概述!$A$4:$A$8,INDEX(挂机升级突破!$W$35:$W$55,卡牌消耗!L409)),"")</f>
        <v>橙色基础材料</v>
      </c>
      <c r="Q409" s="16">
        <f>IF(L409&gt;1,INDEX(挂机升级突破!$Z$35:$AD$55,卡牌消耗!L409,INDEX(挂机升级突破!$W$35:$W$55,卡牌消耗!L409)),"")</f>
        <v>475</v>
      </c>
      <c r="R409" s="16" t="str">
        <f>IF(INDEX(挂机升级突破!$X$35:$X$55,卡牌消耗!L409)&gt;0,INDEX($G$2:$I$2,INDEX(挂机升级突破!$X$35:$X$55,卡牌消耗!L409))&amp;M409,"")</f>
        <v>高级黄</v>
      </c>
      <c r="S409" s="16">
        <f>IF(R409="","",INDEX(挂机升级突破!$AE$35:$AG$55,卡牌消耗!L409,INDEX(挂机升级突破!$X$35:$X$55,卡牌消耗!L409)))</f>
        <v>70</v>
      </c>
      <c r="T409" s="16" t="str">
        <f>IF(INDEX(挂机升级突破!$Y$35:$Y$55,卡牌消耗!L409)&gt;0,"灵玉","")</f>
        <v/>
      </c>
      <c r="U409" s="16" t="str">
        <f>IF(INDEX(挂机升级突破!$Y$35:$Y$55,卡牌消耗!L409)&gt;0,INDEX(挂机升级突破!$AH$35:$AH$55,卡牌消耗!L409),"")</f>
        <v/>
      </c>
    </row>
    <row r="410" spans="9:21" ht="16.5" x14ac:dyDescent="0.2">
      <c r="I410" s="36">
        <v>374</v>
      </c>
      <c r="J410" s="16">
        <f t="shared" si="26"/>
        <v>1102018</v>
      </c>
      <c r="K410" s="16">
        <f t="shared" si="27"/>
        <v>3</v>
      </c>
      <c r="L410" s="16">
        <f t="shared" si="29"/>
        <v>17</v>
      </c>
      <c r="M410" s="16" t="str">
        <f t="shared" si="28"/>
        <v>黄</v>
      </c>
      <c r="N410" s="16" t="str">
        <f t="shared" si="30"/>
        <v>金币</v>
      </c>
      <c r="O410" s="16">
        <f>IF(L410&gt;1,INDEX(挂机升级突破!$AI$35:$AI$55,卡牌消耗!L410),"")</f>
        <v>76500</v>
      </c>
      <c r="P410" s="16" t="str">
        <f>IF(L410&gt;1,INDEX(价值概述!$A$4:$A$8,INDEX(挂机升级突破!$W$35:$W$55,卡牌消耗!L410)),"")</f>
        <v>红色基础材料</v>
      </c>
      <c r="Q410" s="16">
        <f>IF(L410&gt;1,INDEX(挂机升级突破!$Z$35:$AD$55,卡牌消耗!L410,INDEX(挂机升级突破!$W$35:$W$55,卡牌消耗!L410)),"")</f>
        <v>45</v>
      </c>
      <c r="R410" s="16" t="str">
        <f>IF(INDEX(挂机升级突破!$X$35:$X$55,卡牌消耗!L410)&gt;0,INDEX($G$2:$I$2,INDEX(挂机升级突破!$X$35:$X$55,卡牌消耗!L410))&amp;M410,"")</f>
        <v>高级黄</v>
      </c>
      <c r="S410" s="16">
        <f>IF(R410="","",INDEX(挂机升级突破!$AE$35:$AG$55,卡牌消耗!L410,INDEX(挂机升级突破!$X$35:$X$55,卡牌消耗!L410)))</f>
        <v>100</v>
      </c>
      <c r="T410" s="16" t="str">
        <f>IF(INDEX(挂机升级突破!$Y$35:$Y$55,卡牌消耗!L410)&gt;0,"灵玉","")</f>
        <v>灵玉</v>
      </c>
      <c r="U410" s="16">
        <f>IF(INDEX(挂机升级突破!$Y$35:$Y$55,卡牌消耗!L410)&gt;0,INDEX(挂机升级突破!$AH$35:$AH$55,卡牌消耗!L410),"")</f>
        <v>25</v>
      </c>
    </row>
    <row r="411" spans="9:21" ht="16.5" x14ac:dyDescent="0.2">
      <c r="I411" s="36">
        <v>375</v>
      </c>
      <c r="J411" s="16">
        <f t="shared" si="26"/>
        <v>1102018</v>
      </c>
      <c r="K411" s="16">
        <f t="shared" si="27"/>
        <v>3</v>
      </c>
      <c r="L411" s="16">
        <f t="shared" si="29"/>
        <v>18</v>
      </c>
      <c r="M411" s="16" t="str">
        <f t="shared" si="28"/>
        <v>黄</v>
      </c>
      <c r="N411" s="16" t="str">
        <f t="shared" si="30"/>
        <v>金币</v>
      </c>
      <c r="O411" s="16">
        <f>IF(L411&gt;1,INDEX(挂机升级突破!$AI$35:$AI$55,卡牌消耗!L411),"")</f>
        <v>107000</v>
      </c>
      <c r="P411" s="16" t="str">
        <f>IF(L411&gt;1,INDEX(价值概述!$A$4:$A$8,INDEX(挂机升级突破!$W$35:$W$55,卡牌消耗!L411)),"")</f>
        <v>红色基础材料</v>
      </c>
      <c r="Q411" s="16">
        <f>IF(L411&gt;1,INDEX(挂机升级突破!$Z$35:$AD$55,卡牌消耗!L411,INDEX(挂机升级突破!$W$35:$W$55,卡牌消耗!L411)),"")</f>
        <v>65</v>
      </c>
      <c r="R411" s="16" t="str">
        <f>IF(INDEX(挂机升级突破!$X$35:$X$55,卡牌消耗!L411)&gt;0,INDEX($G$2:$I$2,INDEX(挂机升级突破!$X$35:$X$55,卡牌消耗!L411))&amp;M411,"")</f>
        <v>高级黄</v>
      </c>
      <c r="S411" s="16">
        <f>IF(R411="","",INDEX(挂机升级突破!$AE$35:$AG$55,卡牌消耗!L411,INDEX(挂机升级突破!$X$35:$X$55,卡牌消耗!L411)))</f>
        <v>125</v>
      </c>
      <c r="T411" s="16" t="str">
        <f>IF(INDEX(挂机升级突破!$Y$35:$Y$55,卡牌消耗!L411)&gt;0,"灵玉","")</f>
        <v>灵玉</v>
      </c>
      <c r="U411" s="16">
        <f>IF(INDEX(挂机升级突破!$Y$35:$Y$55,卡牌消耗!L411)&gt;0,INDEX(挂机升级突破!$AH$35:$AH$55,卡牌消耗!L411),"")</f>
        <v>35</v>
      </c>
    </row>
    <row r="412" spans="9:21" ht="16.5" x14ac:dyDescent="0.2">
      <c r="I412" s="36">
        <v>376</v>
      </c>
      <c r="J412" s="16">
        <f t="shared" si="26"/>
        <v>1102018</v>
      </c>
      <c r="K412" s="16">
        <f t="shared" si="27"/>
        <v>3</v>
      </c>
      <c r="L412" s="16">
        <f t="shared" si="29"/>
        <v>19</v>
      </c>
      <c r="M412" s="16" t="str">
        <f t="shared" si="28"/>
        <v>黄</v>
      </c>
      <c r="N412" s="16" t="str">
        <f t="shared" si="30"/>
        <v>金币</v>
      </c>
      <c r="O412" s="16">
        <f>IF(L412&gt;1,INDEX(挂机升级突破!$AI$35:$AI$55,卡牌消耗!L412),"")</f>
        <v>142500</v>
      </c>
      <c r="P412" s="16" t="str">
        <f>IF(L412&gt;1,INDEX(价值概述!$A$4:$A$8,INDEX(挂机升级突破!$W$35:$W$55,卡牌消耗!L412)),"")</f>
        <v>红色基础材料</v>
      </c>
      <c r="Q412" s="16">
        <f>IF(L412&gt;1,INDEX(挂机升级突破!$Z$35:$AD$55,卡牌消耗!L412,INDEX(挂机升级突破!$W$35:$W$55,卡牌消耗!L412)),"")</f>
        <v>90</v>
      </c>
      <c r="R412" s="16" t="str">
        <f>IF(INDEX(挂机升级突破!$X$35:$X$55,卡牌消耗!L412)&gt;0,INDEX($G$2:$I$2,INDEX(挂机升级突破!$X$35:$X$55,卡牌消耗!L412))&amp;M412,"")</f>
        <v>高级黄</v>
      </c>
      <c r="S412" s="16">
        <f>IF(R412="","",INDEX(挂机升级突破!$AE$35:$AG$55,卡牌消耗!L412,INDEX(挂机升级突破!$X$35:$X$55,卡牌消耗!L412)))</f>
        <v>155</v>
      </c>
      <c r="T412" s="16" t="str">
        <f>IF(INDEX(挂机升级突破!$Y$35:$Y$55,卡牌消耗!L412)&gt;0,"灵玉","")</f>
        <v>灵玉</v>
      </c>
      <c r="U412" s="16">
        <f>IF(INDEX(挂机升级突破!$Y$35:$Y$55,卡牌消耗!L412)&gt;0,INDEX(挂机升级突破!$AH$35:$AH$55,卡牌消耗!L412),"")</f>
        <v>50</v>
      </c>
    </row>
    <row r="413" spans="9:21" ht="16.5" x14ac:dyDescent="0.2">
      <c r="I413" s="36">
        <v>377</v>
      </c>
      <c r="J413" s="16">
        <f t="shared" si="26"/>
        <v>1102018</v>
      </c>
      <c r="K413" s="16">
        <f t="shared" si="27"/>
        <v>3</v>
      </c>
      <c r="L413" s="16">
        <f t="shared" si="29"/>
        <v>20</v>
      </c>
      <c r="M413" s="16" t="str">
        <f t="shared" si="28"/>
        <v>黄</v>
      </c>
      <c r="N413" s="16" t="str">
        <f t="shared" si="30"/>
        <v>金币</v>
      </c>
      <c r="O413" s="16">
        <f>IF(L413&gt;1,INDEX(挂机升级突破!$AI$35:$AI$55,卡牌消耗!L413),"")</f>
        <v>178500</v>
      </c>
      <c r="P413" s="16" t="str">
        <f>IF(L413&gt;1,INDEX(价值概述!$A$4:$A$8,INDEX(挂机升级突破!$W$35:$W$55,卡牌消耗!L413)),"")</f>
        <v>红色基础材料</v>
      </c>
      <c r="Q413" s="16">
        <f>IF(L413&gt;1,INDEX(挂机升级突破!$Z$35:$AD$55,卡牌消耗!L413,INDEX(挂机升级突破!$W$35:$W$55,卡牌消耗!L413)),"")</f>
        <v>110</v>
      </c>
      <c r="R413" s="16" t="str">
        <f>IF(INDEX(挂机升级突破!$X$35:$X$55,卡牌消耗!L413)&gt;0,INDEX($G$2:$I$2,INDEX(挂机升级突破!$X$35:$X$55,卡牌消耗!L413))&amp;M413,"")</f>
        <v>高级黄</v>
      </c>
      <c r="S413" s="16">
        <f>IF(R413="","",INDEX(挂机升级突破!$AE$35:$AG$55,卡牌消耗!L413,INDEX(挂机升级突破!$X$35:$X$55,卡牌消耗!L413)))</f>
        <v>180</v>
      </c>
      <c r="T413" s="16" t="str">
        <f>IF(INDEX(挂机升级突破!$Y$35:$Y$55,卡牌消耗!L413)&gt;0,"灵玉","")</f>
        <v>灵玉</v>
      </c>
      <c r="U413" s="16">
        <f>IF(INDEX(挂机升级突破!$Y$35:$Y$55,卡牌消耗!L413)&gt;0,INDEX(挂机升级突破!$AH$35:$AH$55,卡牌消耗!L413),"")</f>
        <v>65</v>
      </c>
    </row>
    <row r="414" spans="9:21" ht="16.5" x14ac:dyDescent="0.2">
      <c r="I414" s="36">
        <v>378</v>
      </c>
      <c r="J414" s="16">
        <f t="shared" si="26"/>
        <v>1102018</v>
      </c>
      <c r="K414" s="16">
        <f t="shared" si="27"/>
        <v>3</v>
      </c>
      <c r="L414" s="16">
        <f t="shared" si="29"/>
        <v>21</v>
      </c>
      <c r="M414" s="16" t="str">
        <f t="shared" si="28"/>
        <v>黄</v>
      </c>
      <c r="N414" s="16" t="str">
        <f t="shared" si="30"/>
        <v>金币</v>
      </c>
      <c r="O414" s="16">
        <f>IF(L414&gt;1,INDEX(挂机升级突破!$AI$35:$AI$55,卡牌消耗!L414),"")</f>
        <v>214000</v>
      </c>
      <c r="P414" s="16" t="str">
        <f>IF(L414&gt;1,INDEX(价值概述!$A$4:$A$8,INDEX(挂机升级突破!$W$35:$W$55,卡牌消耗!L414)),"")</f>
        <v>红色基础材料</v>
      </c>
      <c r="Q414" s="16">
        <f>IF(L414&gt;1,INDEX(挂机升级突破!$Z$35:$AD$55,卡牌消耗!L414,INDEX(挂机升级突破!$W$35:$W$55,卡牌消耗!L414)),"")</f>
        <v>135</v>
      </c>
      <c r="R414" s="16" t="str">
        <f>IF(INDEX(挂机升级突破!$X$35:$X$55,卡牌消耗!L414)&gt;0,INDEX($G$2:$I$2,INDEX(挂机升级突破!$X$35:$X$55,卡牌消耗!L414))&amp;M414,"")</f>
        <v>高级黄</v>
      </c>
      <c r="S414" s="16">
        <f>IF(R414="","",INDEX(挂机升级突破!$AE$35:$AG$55,卡牌消耗!L414,INDEX(挂机升级突破!$X$35:$X$55,卡牌消耗!L414)))</f>
        <v>225</v>
      </c>
      <c r="T414" s="16" t="str">
        <f>IF(INDEX(挂机升级突破!$Y$35:$Y$55,卡牌消耗!L414)&gt;0,"灵玉","")</f>
        <v>灵玉</v>
      </c>
      <c r="U414" s="16">
        <f>IF(INDEX(挂机升级突破!$Y$35:$Y$55,卡牌消耗!L414)&gt;0,INDEX(挂机升级突破!$AH$35:$AH$55,卡牌消耗!L414),"")</f>
        <v>75</v>
      </c>
    </row>
    <row r="415" spans="9:21" ht="16.5" x14ac:dyDescent="0.2">
      <c r="I415" s="36">
        <v>379</v>
      </c>
      <c r="J415" s="16">
        <f t="shared" si="26"/>
        <v>1102019</v>
      </c>
      <c r="K415" s="16">
        <f t="shared" si="27"/>
        <v>3</v>
      </c>
      <c r="L415" s="16">
        <f t="shared" si="29"/>
        <v>1</v>
      </c>
      <c r="M415" s="16" t="str">
        <f t="shared" si="28"/>
        <v>红</v>
      </c>
      <c r="N415" s="16" t="str">
        <f t="shared" si="30"/>
        <v/>
      </c>
      <c r="O415" s="16" t="str">
        <f>IF(L415&gt;1,INDEX(挂机升级突破!$AI$35:$AI$55,卡牌消耗!L415),"")</f>
        <v/>
      </c>
      <c r="P415" s="16" t="str">
        <f>IF(L415&gt;1,INDEX(价值概述!$A$4:$A$8,INDEX(挂机升级突破!$W$35:$W$55,卡牌消耗!L415)),"")</f>
        <v/>
      </c>
      <c r="Q415" s="16" t="str">
        <f>IF(L415&gt;1,INDEX(挂机升级突破!$Z$35:$AD$55,卡牌消耗!L415,INDEX(挂机升级突破!$W$35:$W$55,卡牌消耗!L415)),"")</f>
        <v/>
      </c>
      <c r="R415" s="16" t="str">
        <f>IF(INDEX(挂机升级突破!$X$35:$X$55,卡牌消耗!L415)&gt;0,INDEX($G$2:$I$2,INDEX(挂机升级突破!$X$35:$X$55,卡牌消耗!L415))&amp;M415,"")</f>
        <v/>
      </c>
      <c r="S415" s="16" t="str">
        <f>IF(R415="","",INDEX(挂机升级突破!$AE$35:$AG$55,卡牌消耗!L415,INDEX(挂机升级突破!$X$35:$X$55,卡牌消耗!L415)))</f>
        <v/>
      </c>
      <c r="T415" s="16" t="str">
        <f>IF(INDEX(挂机升级突破!$Y$35:$Y$55,卡牌消耗!L415)&gt;0,"灵玉","")</f>
        <v/>
      </c>
      <c r="U415" s="16" t="str">
        <f>IF(INDEX(挂机升级突破!$Y$35:$Y$55,卡牌消耗!L415)&gt;0,INDEX(挂机升级突破!$AH$35:$AH$55,卡牌消耗!L415),"")</f>
        <v/>
      </c>
    </row>
    <row r="416" spans="9:21" ht="16.5" x14ac:dyDescent="0.2">
      <c r="I416" s="36">
        <v>380</v>
      </c>
      <c r="J416" s="16">
        <f t="shared" si="26"/>
        <v>1102019</v>
      </c>
      <c r="K416" s="16">
        <f t="shared" si="27"/>
        <v>3</v>
      </c>
      <c r="L416" s="16">
        <f t="shared" si="29"/>
        <v>2</v>
      </c>
      <c r="M416" s="16" t="str">
        <f t="shared" si="28"/>
        <v>红</v>
      </c>
      <c r="N416" s="16" t="str">
        <f t="shared" si="30"/>
        <v>金币</v>
      </c>
      <c r="O416" s="16">
        <f>IF(L416&gt;1,INDEX(挂机升级突破!$AI$35:$AI$55,卡牌消耗!L416),"")</f>
        <v>2500</v>
      </c>
      <c r="P416" s="16" t="str">
        <f>IF(L416&gt;1,INDEX(价值概述!$A$4:$A$8,INDEX(挂机升级突破!$W$35:$W$55,卡牌消耗!L416)),"")</f>
        <v>绿色基础材料</v>
      </c>
      <c r="Q416" s="16">
        <f>IF(L416&gt;1,INDEX(挂机升级突破!$Z$35:$AD$55,卡牌消耗!L416,INDEX(挂机升级突破!$W$35:$W$55,卡牌消耗!L416)),"")</f>
        <v>40</v>
      </c>
      <c r="R416" s="16" t="str">
        <f>IF(INDEX(挂机升级突破!$X$35:$X$55,卡牌消耗!L416)&gt;0,INDEX($G$2:$I$2,INDEX(挂机升级突破!$X$35:$X$55,卡牌消耗!L416))&amp;M416,"")</f>
        <v/>
      </c>
      <c r="S416" s="16" t="str">
        <f>IF(R416="","",INDEX(挂机升级突破!$AE$35:$AG$55,卡牌消耗!L416,INDEX(挂机升级突破!$X$35:$X$55,卡牌消耗!L416)))</f>
        <v/>
      </c>
      <c r="T416" s="16" t="str">
        <f>IF(INDEX(挂机升级突破!$Y$35:$Y$55,卡牌消耗!L416)&gt;0,"灵玉","")</f>
        <v/>
      </c>
      <c r="U416" s="16" t="str">
        <f>IF(INDEX(挂机升级突破!$Y$35:$Y$55,卡牌消耗!L416)&gt;0,INDEX(挂机升级突破!$AH$35:$AH$55,卡牌消耗!L416),"")</f>
        <v/>
      </c>
    </row>
    <row r="417" spans="9:21" ht="16.5" x14ac:dyDescent="0.2">
      <c r="I417" s="36">
        <v>381</v>
      </c>
      <c r="J417" s="16">
        <f t="shared" si="26"/>
        <v>1102019</v>
      </c>
      <c r="K417" s="16">
        <f t="shared" si="27"/>
        <v>3</v>
      </c>
      <c r="L417" s="16">
        <f t="shared" si="29"/>
        <v>3</v>
      </c>
      <c r="M417" s="16" t="str">
        <f t="shared" si="28"/>
        <v>红</v>
      </c>
      <c r="N417" s="16" t="str">
        <f t="shared" si="30"/>
        <v>金币</v>
      </c>
      <c r="O417" s="16">
        <f>IF(L417&gt;1,INDEX(挂机升级突破!$AI$35:$AI$55,卡牌消耗!L417),"")</f>
        <v>8500</v>
      </c>
      <c r="P417" s="16" t="str">
        <f>IF(L417&gt;1,INDEX(价值概述!$A$4:$A$8,INDEX(挂机升级突破!$W$35:$W$55,卡牌消耗!L417)),"")</f>
        <v>绿色基础材料</v>
      </c>
      <c r="Q417" s="16">
        <f>IF(L417&gt;1,INDEX(挂机升级突破!$Z$35:$AD$55,卡牌消耗!L417,INDEX(挂机升级突破!$W$35:$W$55,卡牌消耗!L417)),"")</f>
        <v>120</v>
      </c>
      <c r="R417" s="16" t="str">
        <f>IF(INDEX(挂机升级突破!$X$35:$X$55,卡牌消耗!L417)&gt;0,INDEX($G$2:$I$2,INDEX(挂机升级突破!$X$35:$X$55,卡牌消耗!L417))&amp;M417,"")</f>
        <v/>
      </c>
      <c r="S417" s="16" t="str">
        <f>IF(R417="","",INDEX(挂机升级突破!$AE$35:$AG$55,卡牌消耗!L417,INDEX(挂机升级突破!$X$35:$X$55,卡牌消耗!L417)))</f>
        <v/>
      </c>
      <c r="T417" s="16" t="str">
        <f>IF(INDEX(挂机升级突破!$Y$35:$Y$55,卡牌消耗!L417)&gt;0,"灵玉","")</f>
        <v/>
      </c>
      <c r="U417" s="16" t="str">
        <f>IF(INDEX(挂机升级突破!$Y$35:$Y$55,卡牌消耗!L417)&gt;0,INDEX(挂机升级突破!$AH$35:$AH$55,卡牌消耗!L417),"")</f>
        <v/>
      </c>
    </row>
    <row r="418" spans="9:21" ht="16.5" x14ac:dyDescent="0.2">
      <c r="I418" s="36">
        <v>382</v>
      </c>
      <c r="J418" s="16">
        <f t="shared" si="26"/>
        <v>1102019</v>
      </c>
      <c r="K418" s="16">
        <f t="shared" si="27"/>
        <v>3</v>
      </c>
      <c r="L418" s="16">
        <f t="shared" si="29"/>
        <v>4</v>
      </c>
      <c r="M418" s="16" t="str">
        <f t="shared" si="28"/>
        <v>红</v>
      </c>
      <c r="N418" s="16" t="str">
        <f t="shared" si="30"/>
        <v>金币</v>
      </c>
      <c r="O418" s="16">
        <f>IF(L418&gt;1,INDEX(挂机升级突破!$AI$35:$AI$55,卡牌消耗!L418),"")</f>
        <v>17000</v>
      </c>
      <c r="P418" s="16" t="str">
        <f>IF(L418&gt;1,INDEX(价值概述!$A$4:$A$8,INDEX(挂机升级突破!$W$35:$W$55,卡牌消耗!L418)),"")</f>
        <v>绿色基础材料</v>
      </c>
      <c r="Q418" s="16">
        <f>IF(L418&gt;1,INDEX(挂机升级突破!$Z$35:$AD$55,卡牌消耗!L418,INDEX(挂机升级突破!$W$35:$W$55,卡牌消耗!L418)),"")</f>
        <v>240</v>
      </c>
      <c r="R418" s="16" t="str">
        <f>IF(INDEX(挂机升级突破!$X$35:$X$55,卡牌消耗!L418)&gt;0,INDEX($G$2:$I$2,INDEX(挂机升级突破!$X$35:$X$55,卡牌消耗!L418))&amp;M418,"")</f>
        <v>初级红</v>
      </c>
      <c r="S418" s="16">
        <f>IF(R418="","",INDEX(挂机升级突破!$AE$35:$AG$55,卡牌消耗!L418,INDEX(挂机升级突破!$X$35:$X$55,卡牌消耗!L418)))</f>
        <v>130</v>
      </c>
      <c r="T418" s="16" t="str">
        <f>IF(INDEX(挂机升级突破!$Y$35:$Y$55,卡牌消耗!L418)&gt;0,"灵玉","")</f>
        <v/>
      </c>
      <c r="U418" s="16" t="str">
        <f>IF(INDEX(挂机升级突破!$Y$35:$Y$55,卡牌消耗!L418)&gt;0,INDEX(挂机升级突破!$AH$35:$AH$55,卡牌消耗!L418),"")</f>
        <v/>
      </c>
    </row>
    <row r="419" spans="9:21" ht="16.5" x14ac:dyDescent="0.2">
      <c r="I419" s="36">
        <v>383</v>
      </c>
      <c r="J419" s="16">
        <f t="shared" si="26"/>
        <v>1102019</v>
      </c>
      <c r="K419" s="16">
        <f t="shared" si="27"/>
        <v>3</v>
      </c>
      <c r="L419" s="16">
        <f t="shared" si="29"/>
        <v>5</v>
      </c>
      <c r="M419" s="16" t="str">
        <f t="shared" si="28"/>
        <v>红</v>
      </c>
      <c r="N419" s="16" t="str">
        <f t="shared" si="30"/>
        <v>金币</v>
      </c>
      <c r="O419" s="16">
        <f>IF(L419&gt;1,INDEX(挂机升级突破!$AI$35:$AI$55,卡牌消耗!L419),"")</f>
        <v>10500</v>
      </c>
      <c r="P419" s="16" t="str">
        <f>IF(L419&gt;1,INDEX(价值概述!$A$4:$A$8,INDEX(挂机升级突破!$W$35:$W$55,卡牌消耗!L419)),"")</f>
        <v>蓝色基础材料</v>
      </c>
      <c r="Q419" s="16">
        <f>IF(L419&gt;1,INDEX(挂机升级突破!$Z$35:$AD$55,卡牌消耗!L419,INDEX(挂机升级突破!$W$35:$W$55,卡牌消耗!L419)),"")</f>
        <v>85</v>
      </c>
      <c r="R419" s="16" t="str">
        <f>IF(INDEX(挂机升级突破!$X$35:$X$55,卡牌消耗!L419)&gt;0,INDEX($G$2:$I$2,INDEX(挂机升级突破!$X$35:$X$55,卡牌消耗!L419))&amp;M419,"")</f>
        <v>初级红</v>
      </c>
      <c r="S419" s="16">
        <f>IF(R419="","",INDEX(挂机升级突破!$AE$35:$AG$55,卡牌消耗!L419,INDEX(挂机升级突破!$X$35:$X$55,卡牌消耗!L419)))</f>
        <v>160</v>
      </c>
      <c r="T419" s="16" t="str">
        <f>IF(INDEX(挂机升级突破!$Y$35:$Y$55,卡牌消耗!L419)&gt;0,"灵玉","")</f>
        <v/>
      </c>
      <c r="U419" s="16" t="str">
        <f>IF(INDEX(挂机升级突破!$Y$35:$Y$55,卡牌消耗!L419)&gt;0,INDEX(挂机升级突破!$AH$35:$AH$55,卡牌消耗!L419),"")</f>
        <v/>
      </c>
    </row>
    <row r="420" spans="9:21" ht="16.5" x14ac:dyDescent="0.2">
      <c r="I420" s="36">
        <v>384</v>
      </c>
      <c r="J420" s="16">
        <f t="shared" si="26"/>
        <v>1102019</v>
      </c>
      <c r="K420" s="16">
        <f t="shared" si="27"/>
        <v>3</v>
      </c>
      <c r="L420" s="16">
        <f t="shared" si="29"/>
        <v>6</v>
      </c>
      <c r="M420" s="16" t="str">
        <f t="shared" si="28"/>
        <v>红</v>
      </c>
      <c r="N420" s="16" t="str">
        <f t="shared" si="30"/>
        <v>金币</v>
      </c>
      <c r="O420" s="16">
        <f>IF(L420&gt;1,INDEX(挂机升级突破!$AI$35:$AI$55,卡牌消耗!L420),"")</f>
        <v>25000</v>
      </c>
      <c r="P420" s="16" t="str">
        <f>IF(L420&gt;1,INDEX(价值概述!$A$4:$A$8,INDEX(挂机升级突破!$W$35:$W$55,卡牌消耗!L420)),"")</f>
        <v>蓝色基础材料</v>
      </c>
      <c r="Q420" s="16">
        <f>IF(L420&gt;1,INDEX(挂机升级突破!$Z$35:$AD$55,卡牌消耗!L420,INDEX(挂机升级突破!$W$35:$W$55,卡牌消耗!L420)),"")</f>
        <v>145</v>
      </c>
      <c r="R420" s="16" t="str">
        <f>IF(INDEX(挂机升级突破!$X$35:$X$55,卡牌消耗!L420)&gt;0,INDEX($G$2:$I$2,INDEX(挂机升级突破!$X$35:$X$55,卡牌消耗!L420))&amp;M420,"")</f>
        <v>初级红</v>
      </c>
      <c r="S420" s="16">
        <f>IF(R420="","",INDEX(挂机升级突破!$AE$35:$AG$55,卡牌消耗!L420,INDEX(挂机升级突破!$X$35:$X$55,卡牌消耗!L420)))</f>
        <v>175</v>
      </c>
      <c r="T420" s="16" t="str">
        <f>IF(INDEX(挂机升级突破!$Y$35:$Y$55,卡牌消耗!L420)&gt;0,"灵玉","")</f>
        <v/>
      </c>
      <c r="U420" s="16" t="str">
        <f>IF(INDEX(挂机升级突破!$Y$35:$Y$55,卡牌消耗!L420)&gt;0,INDEX(挂机升级突破!$AH$35:$AH$55,卡牌消耗!L420),"")</f>
        <v/>
      </c>
    </row>
    <row r="421" spans="9:21" ht="16.5" x14ac:dyDescent="0.2">
      <c r="I421" s="36">
        <v>385</v>
      </c>
      <c r="J421" s="16">
        <f t="shared" ref="J421:J484" si="31">INDEX($A$13:$A$33,INT((I421-1)/21)+1)</f>
        <v>1102019</v>
      </c>
      <c r="K421" s="16">
        <f t="shared" ref="K421:K484" si="32">VLOOKUP(J421,$A$13:$D$33,3)</f>
        <v>3</v>
      </c>
      <c r="L421" s="16">
        <f t="shared" si="29"/>
        <v>7</v>
      </c>
      <c r="M421" s="16" t="str">
        <f t="shared" ref="M421:M477" si="33">INDEX($J$2:$L$2,INDEX($E$13:$E$33,INT((I421-1)/21)+1))</f>
        <v>红</v>
      </c>
      <c r="N421" s="16" t="str">
        <f t="shared" si="30"/>
        <v>金币</v>
      </c>
      <c r="O421" s="16">
        <f>IF(L421&gt;1,INDEX(挂机升级突破!$AI$35:$AI$55,卡牌消耗!L421),"")</f>
        <v>28000</v>
      </c>
      <c r="P421" s="16" t="str">
        <f>IF(L421&gt;1,INDEX(价值概述!$A$4:$A$8,INDEX(挂机升级突破!$W$35:$W$55,卡牌消耗!L421)),"")</f>
        <v>蓝色基础材料</v>
      </c>
      <c r="Q421" s="16">
        <f>IF(L421&gt;1,INDEX(挂机升级突破!$Z$35:$AD$55,卡牌消耗!L421,INDEX(挂机升级突破!$W$35:$W$55,卡牌消耗!L421)),"")</f>
        <v>185</v>
      </c>
      <c r="R421" s="16" t="str">
        <f>IF(INDEX(挂机升级突破!$X$35:$X$55,卡牌消耗!L421)&gt;0,INDEX($G$2:$I$2,INDEX(挂机升级突破!$X$35:$X$55,卡牌消耗!L421))&amp;M421,"")</f>
        <v>初级红</v>
      </c>
      <c r="S421" s="16">
        <f>IF(R421="","",INDEX(挂机升级突破!$AE$35:$AG$55,卡牌消耗!L421,INDEX(挂机升级突破!$X$35:$X$55,卡牌消耗!L421)))</f>
        <v>190</v>
      </c>
      <c r="T421" s="16" t="str">
        <f>IF(INDEX(挂机升级突破!$Y$35:$Y$55,卡牌消耗!L421)&gt;0,"灵玉","")</f>
        <v/>
      </c>
      <c r="U421" s="16" t="str">
        <f>IF(INDEX(挂机升级突破!$Y$35:$Y$55,卡牌消耗!L421)&gt;0,INDEX(挂机升级突破!$AH$35:$AH$55,卡牌消耗!L421),"")</f>
        <v/>
      </c>
    </row>
    <row r="422" spans="9:21" ht="16.5" x14ac:dyDescent="0.2">
      <c r="I422" s="36">
        <v>386</v>
      </c>
      <c r="J422" s="16">
        <f t="shared" si="31"/>
        <v>1102019</v>
      </c>
      <c r="K422" s="16">
        <f t="shared" si="32"/>
        <v>3</v>
      </c>
      <c r="L422" s="16">
        <f t="shared" ref="L422:L477" si="34">MOD((I422-1),21)+1</f>
        <v>8</v>
      </c>
      <c r="M422" s="16" t="str">
        <f t="shared" si="33"/>
        <v>红</v>
      </c>
      <c r="N422" s="16" t="str">
        <f t="shared" ref="N422:N477" si="35">IF(L422&gt;1,"金币","")</f>
        <v>金币</v>
      </c>
      <c r="O422" s="16">
        <f>IF(L422&gt;1,INDEX(挂机升级突破!$AI$35:$AI$55,卡牌消耗!L422),"")</f>
        <v>31000</v>
      </c>
      <c r="P422" s="16" t="str">
        <f>IF(L422&gt;1,INDEX(价值概述!$A$4:$A$8,INDEX(挂机升级突破!$W$35:$W$55,卡牌消耗!L422)),"")</f>
        <v>蓝色基础材料</v>
      </c>
      <c r="Q422" s="16">
        <f>IF(L422&gt;1,INDEX(挂机升级突破!$Z$35:$AD$55,卡牌消耗!L422,INDEX(挂机升级突破!$W$35:$W$55,卡牌消耗!L422)),"")</f>
        <v>220</v>
      </c>
      <c r="R422" s="16" t="str">
        <f>IF(INDEX(挂机升级突破!$X$35:$X$55,卡牌消耗!L422)&gt;0,INDEX($G$2:$I$2,INDEX(挂机升级突破!$X$35:$X$55,卡牌消耗!L422))&amp;M422,"")</f>
        <v>初级红</v>
      </c>
      <c r="S422" s="16">
        <f>IF(R422="","",INDEX(挂机升级突破!$AE$35:$AG$55,卡牌消耗!L422,INDEX(挂机升级突破!$X$35:$X$55,卡牌消耗!L422)))</f>
        <v>200</v>
      </c>
      <c r="T422" s="16" t="str">
        <f>IF(INDEX(挂机升级突破!$Y$35:$Y$55,卡牌消耗!L422)&gt;0,"灵玉","")</f>
        <v/>
      </c>
      <c r="U422" s="16" t="str">
        <f>IF(INDEX(挂机升级突破!$Y$35:$Y$55,卡牌消耗!L422)&gt;0,INDEX(挂机升级突破!$AH$35:$AH$55,卡牌消耗!L422),"")</f>
        <v/>
      </c>
    </row>
    <row r="423" spans="9:21" ht="16.5" x14ac:dyDescent="0.2">
      <c r="I423" s="36">
        <v>387</v>
      </c>
      <c r="J423" s="16">
        <f t="shared" si="31"/>
        <v>1102019</v>
      </c>
      <c r="K423" s="16">
        <f t="shared" si="32"/>
        <v>3</v>
      </c>
      <c r="L423" s="16">
        <f t="shared" si="34"/>
        <v>9</v>
      </c>
      <c r="M423" s="16" t="str">
        <f t="shared" si="33"/>
        <v>红</v>
      </c>
      <c r="N423" s="16" t="str">
        <f t="shared" si="35"/>
        <v>金币</v>
      </c>
      <c r="O423" s="16">
        <f>IF(L423&gt;1,INDEX(挂机升级突破!$AI$35:$AI$55,卡牌消耗!L423),"")</f>
        <v>24000</v>
      </c>
      <c r="P423" s="16" t="str">
        <f>IF(L423&gt;1,INDEX(价值概述!$A$4:$A$8,INDEX(挂机升级突破!$W$35:$W$55,卡牌消耗!L423)),"")</f>
        <v>紫色基础材料</v>
      </c>
      <c r="Q423" s="16">
        <f>IF(L423&gt;1,INDEX(挂机升级突破!$Z$35:$AD$55,卡牌消耗!L423,INDEX(挂机升级突破!$W$35:$W$55,卡牌消耗!L423)),"")</f>
        <v>95</v>
      </c>
      <c r="R423" s="16" t="str">
        <f>IF(INDEX(挂机升级突破!$X$35:$X$55,卡牌消耗!L423)&gt;0,INDEX($G$2:$I$2,INDEX(挂机升级突破!$X$35:$X$55,卡牌消耗!L423))&amp;M423,"")</f>
        <v>中级红</v>
      </c>
      <c r="S423" s="16">
        <f>IF(R423="","",INDEX(挂机升级突破!$AE$35:$AG$55,卡牌消耗!L423,INDEX(挂机升级突破!$X$35:$X$55,卡牌消耗!L423)))</f>
        <v>80</v>
      </c>
      <c r="T423" s="16" t="str">
        <f>IF(INDEX(挂机升级突破!$Y$35:$Y$55,卡牌消耗!L423)&gt;0,"灵玉","")</f>
        <v/>
      </c>
      <c r="U423" s="16" t="str">
        <f>IF(INDEX(挂机升级突破!$Y$35:$Y$55,卡牌消耗!L423)&gt;0,INDEX(挂机升级突破!$AH$35:$AH$55,卡牌消耗!L423),"")</f>
        <v/>
      </c>
    </row>
    <row r="424" spans="9:21" ht="16.5" x14ac:dyDescent="0.2">
      <c r="I424" s="36">
        <v>388</v>
      </c>
      <c r="J424" s="16">
        <f t="shared" si="31"/>
        <v>1102019</v>
      </c>
      <c r="K424" s="16">
        <f t="shared" si="32"/>
        <v>3</v>
      </c>
      <c r="L424" s="16">
        <f t="shared" si="34"/>
        <v>10</v>
      </c>
      <c r="M424" s="16" t="str">
        <f t="shared" si="33"/>
        <v>红</v>
      </c>
      <c r="N424" s="16" t="str">
        <f t="shared" si="35"/>
        <v>金币</v>
      </c>
      <c r="O424" s="16">
        <f>IF(L424&gt;1,INDEX(挂机升级突破!$AI$35:$AI$55,卡牌消耗!L424),"")</f>
        <v>26500</v>
      </c>
      <c r="P424" s="16" t="str">
        <f>IF(L424&gt;1,INDEX(价值概述!$A$4:$A$8,INDEX(挂机升级突破!$W$35:$W$55,卡牌消耗!L424)),"")</f>
        <v>紫色基础材料</v>
      </c>
      <c r="Q424" s="16">
        <f>IF(L424&gt;1,INDEX(挂机升级突破!$Z$35:$AD$55,卡牌消耗!L424,INDEX(挂机升级突破!$W$35:$W$55,卡牌消耗!L424)),"")</f>
        <v>175</v>
      </c>
      <c r="R424" s="16" t="str">
        <f>IF(INDEX(挂机升级突破!$X$35:$X$55,卡牌消耗!L424)&gt;0,INDEX($G$2:$I$2,INDEX(挂机升级突破!$X$35:$X$55,卡牌消耗!L424))&amp;M424,"")</f>
        <v>中级红</v>
      </c>
      <c r="S424" s="16">
        <f>IF(R424="","",INDEX(挂机升级突破!$AE$35:$AG$55,卡牌消耗!L424,INDEX(挂机升级突破!$X$35:$X$55,卡牌消耗!L424)))</f>
        <v>120</v>
      </c>
      <c r="T424" s="16" t="str">
        <f>IF(INDEX(挂机升级突破!$Y$35:$Y$55,卡牌消耗!L424)&gt;0,"灵玉","")</f>
        <v/>
      </c>
      <c r="U424" s="16" t="str">
        <f>IF(INDEX(挂机升级突破!$Y$35:$Y$55,卡牌消耗!L424)&gt;0,INDEX(挂机升级突破!$AH$35:$AH$55,卡牌消耗!L424),"")</f>
        <v/>
      </c>
    </row>
    <row r="425" spans="9:21" ht="16.5" x14ac:dyDescent="0.2">
      <c r="I425" s="36">
        <v>389</v>
      </c>
      <c r="J425" s="16">
        <f t="shared" si="31"/>
        <v>1102019</v>
      </c>
      <c r="K425" s="16">
        <f t="shared" si="32"/>
        <v>3</v>
      </c>
      <c r="L425" s="16">
        <f t="shared" si="34"/>
        <v>11</v>
      </c>
      <c r="M425" s="16" t="str">
        <f t="shared" si="33"/>
        <v>红</v>
      </c>
      <c r="N425" s="16" t="str">
        <f t="shared" si="35"/>
        <v>金币</v>
      </c>
      <c r="O425" s="16">
        <f>IF(L425&gt;1,INDEX(挂机升级突破!$AI$35:$AI$55,卡牌消耗!L425),"")</f>
        <v>28500</v>
      </c>
      <c r="P425" s="16" t="str">
        <f>IF(L425&gt;1,INDEX(价值概述!$A$4:$A$8,INDEX(挂机升级突破!$W$35:$W$55,卡牌消耗!L425)),"")</f>
        <v>紫色基础材料</v>
      </c>
      <c r="Q425" s="16">
        <f>IF(L425&gt;1,INDEX(挂机升级突破!$Z$35:$AD$55,卡牌消耗!L425,INDEX(挂机升级突破!$W$35:$W$55,卡牌消耗!L425)),"")</f>
        <v>245</v>
      </c>
      <c r="R425" s="16" t="str">
        <f>IF(INDEX(挂机升级突破!$X$35:$X$55,卡牌消耗!L425)&gt;0,INDEX($G$2:$I$2,INDEX(挂机升级突破!$X$35:$X$55,卡牌消耗!L425))&amp;M425,"")</f>
        <v>中级红</v>
      </c>
      <c r="S425" s="16">
        <f>IF(R425="","",INDEX(挂机升级突破!$AE$35:$AG$55,卡牌消耗!L425,INDEX(挂机升级突破!$X$35:$X$55,卡牌消耗!L425)))</f>
        <v>170</v>
      </c>
      <c r="T425" s="16" t="str">
        <f>IF(INDEX(挂机升级突破!$Y$35:$Y$55,卡牌消耗!L425)&gt;0,"灵玉","")</f>
        <v/>
      </c>
      <c r="U425" s="16" t="str">
        <f>IF(INDEX(挂机升级突破!$Y$35:$Y$55,卡牌消耗!L425)&gt;0,INDEX(挂机升级突破!$AH$35:$AH$55,卡牌消耗!L425),"")</f>
        <v/>
      </c>
    </row>
    <row r="426" spans="9:21" ht="16.5" x14ac:dyDescent="0.2">
      <c r="I426" s="36">
        <v>390</v>
      </c>
      <c r="J426" s="16">
        <f t="shared" si="31"/>
        <v>1102019</v>
      </c>
      <c r="K426" s="16">
        <f t="shared" si="32"/>
        <v>3</v>
      </c>
      <c r="L426" s="16">
        <f t="shared" si="34"/>
        <v>12</v>
      </c>
      <c r="M426" s="16" t="str">
        <f t="shared" si="33"/>
        <v>红</v>
      </c>
      <c r="N426" s="16" t="str">
        <f t="shared" si="35"/>
        <v>金币</v>
      </c>
      <c r="O426" s="16">
        <f>IF(L426&gt;1,INDEX(挂机升级突破!$AI$35:$AI$55,卡牌消耗!L426),"")</f>
        <v>30500</v>
      </c>
      <c r="P426" s="16" t="str">
        <f>IF(L426&gt;1,INDEX(价值概述!$A$4:$A$8,INDEX(挂机升级突破!$W$35:$W$55,卡牌消耗!L426)),"")</f>
        <v>紫色基础材料</v>
      </c>
      <c r="Q426" s="16">
        <f>IF(L426&gt;1,INDEX(挂机升级突破!$Z$35:$AD$55,卡牌消耗!L426,INDEX(挂机升级突破!$W$35:$W$55,卡牌消耗!L426)),"")</f>
        <v>305</v>
      </c>
      <c r="R426" s="16" t="str">
        <f>IF(INDEX(挂机升级突破!$X$35:$X$55,卡牌消耗!L426)&gt;0,INDEX($G$2:$I$2,INDEX(挂机升级突破!$X$35:$X$55,卡牌消耗!L426))&amp;M426,"")</f>
        <v>中级红</v>
      </c>
      <c r="S426" s="16">
        <f>IF(R426="","",INDEX(挂机升级突破!$AE$35:$AG$55,卡牌消耗!L426,INDEX(挂机升级突破!$X$35:$X$55,卡牌消耗!L426)))</f>
        <v>200</v>
      </c>
      <c r="T426" s="16" t="str">
        <f>IF(INDEX(挂机升级突破!$Y$35:$Y$55,卡牌消耗!L426)&gt;0,"灵玉","")</f>
        <v/>
      </c>
      <c r="U426" s="16" t="str">
        <f>IF(INDEX(挂机升级突破!$Y$35:$Y$55,卡牌消耗!L426)&gt;0,INDEX(挂机升级突破!$AH$35:$AH$55,卡牌消耗!L426),"")</f>
        <v/>
      </c>
    </row>
    <row r="427" spans="9:21" ht="16.5" x14ac:dyDescent="0.2">
      <c r="I427" s="36">
        <v>391</v>
      </c>
      <c r="J427" s="16">
        <f t="shared" si="31"/>
        <v>1102019</v>
      </c>
      <c r="K427" s="16">
        <f t="shared" si="32"/>
        <v>3</v>
      </c>
      <c r="L427" s="16">
        <f t="shared" si="34"/>
        <v>13</v>
      </c>
      <c r="M427" s="16" t="str">
        <f t="shared" si="33"/>
        <v>红</v>
      </c>
      <c r="N427" s="16" t="str">
        <f t="shared" si="35"/>
        <v>金币</v>
      </c>
      <c r="O427" s="16">
        <f>IF(L427&gt;1,INDEX(挂机升级突破!$AI$35:$AI$55,卡牌消耗!L427),"")</f>
        <v>38500</v>
      </c>
      <c r="P427" s="16" t="str">
        <f>IF(L427&gt;1,INDEX(价值概述!$A$4:$A$8,INDEX(挂机升级突破!$W$35:$W$55,卡牌消耗!L427)),"")</f>
        <v>橙色基础材料</v>
      </c>
      <c r="Q427" s="16">
        <f>IF(L427&gt;1,INDEX(挂机升级突破!$Z$35:$AD$55,卡牌消耗!L427,INDEX(挂机升级突破!$W$35:$W$55,卡牌消耗!L427)),"")</f>
        <v>115</v>
      </c>
      <c r="R427" s="16" t="str">
        <f>IF(INDEX(挂机升级突破!$X$35:$X$55,卡牌消耗!L427)&gt;0,INDEX($G$2:$I$2,INDEX(挂机升级突破!$X$35:$X$55,卡牌消耗!L427))&amp;M427,"")</f>
        <v>中级红</v>
      </c>
      <c r="S427" s="16">
        <f>IF(R427="","",INDEX(挂机升级突破!$AE$35:$AG$55,卡牌消耗!L427,INDEX(挂机升级突破!$X$35:$X$55,卡牌消耗!L427)))</f>
        <v>225</v>
      </c>
      <c r="T427" s="16" t="str">
        <f>IF(INDEX(挂机升级突破!$Y$35:$Y$55,卡牌消耗!L427)&gt;0,"灵玉","")</f>
        <v/>
      </c>
      <c r="U427" s="16" t="str">
        <f>IF(INDEX(挂机升级突破!$Y$35:$Y$55,卡牌消耗!L427)&gt;0,INDEX(挂机升级突破!$AH$35:$AH$55,卡牌消耗!L427),"")</f>
        <v/>
      </c>
    </row>
    <row r="428" spans="9:21" ht="16.5" x14ac:dyDescent="0.2">
      <c r="I428" s="36">
        <v>392</v>
      </c>
      <c r="J428" s="16">
        <f t="shared" si="31"/>
        <v>1102019</v>
      </c>
      <c r="K428" s="16">
        <f t="shared" si="32"/>
        <v>3</v>
      </c>
      <c r="L428" s="16">
        <f t="shared" si="34"/>
        <v>14</v>
      </c>
      <c r="M428" s="16" t="str">
        <f t="shared" si="33"/>
        <v>红</v>
      </c>
      <c r="N428" s="16" t="str">
        <f t="shared" si="35"/>
        <v>金币</v>
      </c>
      <c r="O428" s="16">
        <f>IF(L428&gt;1,INDEX(挂机升级突破!$AI$35:$AI$55,卡牌消耗!L428),"")</f>
        <v>51000</v>
      </c>
      <c r="P428" s="16" t="str">
        <f>IF(L428&gt;1,INDEX(价值概述!$A$4:$A$8,INDEX(挂机升级突破!$W$35:$W$55,卡牌消耗!L428)),"")</f>
        <v>橙色基础材料</v>
      </c>
      <c r="Q428" s="16">
        <f>IF(L428&gt;1,INDEX(挂机升级突破!$Z$35:$AD$55,卡牌消耗!L428,INDEX(挂机升级突破!$W$35:$W$55,卡牌消耗!L428)),"")</f>
        <v>235</v>
      </c>
      <c r="R428" s="16" t="str">
        <f>IF(INDEX(挂机升级突破!$X$35:$X$55,卡牌消耗!L428)&gt;0,INDEX($G$2:$I$2,INDEX(挂机升级突破!$X$35:$X$55,卡牌消耗!L428))&amp;M428,"")</f>
        <v>中级红</v>
      </c>
      <c r="S428" s="16">
        <f>IF(R428="","",INDEX(挂机升级突破!$AE$35:$AG$55,卡牌消耗!L428,INDEX(挂机升级突破!$X$35:$X$55,卡牌消耗!L428)))</f>
        <v>265</v>
      </c>
      <c r="T428" s="16" t="str">
        <f>IF(INDEX(挂机升级突破!$Y$35:$Y$55,卡牌消耗!L428)&gt;0,"灵玉","")</f>
        <v/>
      </c>
      <c r="U428" s="16" t="str">
        <f>IF(INDEX(挂机升级突破!$Y$35:$Y$55,卡牌消耗!L428)&gt;0,INDEX(挂机升级突破!$AH$35:$AH$55,卡牌消耗!L428),"")</f>
        <v/>
      </c>
    </row>
    <row r="429" spans="9:21" ht="16.5" x14ac:dyDescent="0.2">
      <c r="I429" s="36">
        <v>393</v>
      </c>
      <c r="J429" s="16">
        <f t="shared" si="31"/>
        <v>1102019</v>
      </c>
      <c r="K429" s="16">
        <f t="shared" si="32"/>
        <v>3</v>
      </c>
      <c r="L429" s="16">
        <f t="shared" si="34"/>
        <v>15</v>
      </c>
      <c r="M429" s="16" t="str">
        <f t="shared" si="33"/>
        <v>红</v>
      </c>
      <c r="N429" s="16" t="str">
        <f t="shared" si="35"/>
        <v>金币</v>
      </c>
      <c r="O429" s="16">
        <f>IF(L429&gt;1,INDEX(挂机升级突破!$AI$35:$AI$55,卡牌消耗!L429),"")</f>
        <v>60000</v>
      </c>
      <c r="P429" s="16" t="str">
        <f>IF(L429&gt;1,INDEX(价值概述!$A$4:$A$8,INDEX(挂机升级突破!$W$35:$W$55,卡牌消耗!L429)),"")</f>
        <v>橙色基础材料</v>
      </c>
      <c r="Q429" s="16">
        <f>IF(L429&gt;1,INDEX(挂机升级突破!$Z$35:$AD$55,卡牌消耗!L429,INDEX(挂机升级突破!$W$35:$W$55,卡牌消耗!L429)),"")</f>
        <v>355</v>
      </c>
      <c r="R429" s="16" t="str">
        <f>IF(INDEX(挂机升级突破!$X$35:$X$55,卡牌消耗!L429)&gt;0,INDEX($G$2:$I$2,INDEX(挂机升级突破!$X$35:$X$55,卡牌消耗!L429))&amp;M429,"")</f>
        <v>高级红</v>
      </c>
      <c r="S429" s="16">
        <f>IF(R429="","",INDEX(挂机升级突破!$AE$35:$AG$55,卡牌消耗!L429,INDEX(挂机升级突破!$X$35:$X$55,卡牌消耗!L429)))</f>
        <v>45</v>
      </c>
      <c r="T429" s="16" t="str">
        <f>IF(INDEX(挂机升级突破!$Y$35:$Y$55,卡牌消耗!L429)&gt;0,"灵玉","")</f>
        <v/>
      </c>
      <c r="U429" s="16" t="str">
        <f>IF(INDEX(挂机升级突破!$Y$35:$Y$55,卡牌消耗!L429)&gt;0,INDEX(挂机升级突破!$AH$35:$AH$55,卡牌消耗!L429),"")</f>
        <v/>
      </c>
    </row>
    <row r="430" spans="9:21" ht="16.5" x14ac:dyDescent="0.2">
      <c r="I430" s="36">
        <v>394</v>
      </c>
      <c r="J430" s="16">
        <f t="shared" si="31"/>
        <v>1102019</v>
      </c>
      <c r="K430" s="16">
        <f t="shared" si="32"/>
        <v>3</v>
      </c>
      <c r="L430" s="16">
        <f t="shared" si="34"/>
        <v>16</v>
      </c>
      <c r="M430" s="16" t="str">
        <f t="shared" si="33"/>
        <v>红</v>
      </c>
      <c r="N430" s="16" t="str">
        <f t="shared" si="35"/>
        <v>金币</v>
      </c>
      <c r="O430" s="16">
        <f>IF(L430&gt;1,INDEX(挂机升级突破!$AI$35:$AI$55,卡牌消耗!L430),"")</f>
        <v>69000</v>
      </c>
      <c r="P430" s="16" t="str">
        <f>IF(L430&gt;1,INDEX(价值概述!$A$4:$A$8,INDEX(挂机升级突破!$W$35:$W$55,卡牌消耗!L430)),"")</f>
        <v>橙色基础材料</v>
      </c>
      <c r="Q430" s="16">
        <f>IF(L430&gt;1,INDEX(挂机升级突破!$Z$35:$AD$55,卡牌消耗!L430,INDEX(挂机升级突破!$W$35:$W$55,卡牌消耗!L430)),"")</f>
        <v>475</v>
      </c>
      <c r="R430" s="16" t="str">
        <f>IF(INDEX(挂机升级突破!$X$35:$X$55,卡牌消耗!L430)&gt;0,INDEX($G$2:$I$2,INDEX(挂机升级突破!$X$35:$X$55,卡牌消耗!L430))&amp;M430,"")</f>
        <v>高级红</v>
      </c>
      <c r="S430" s="16">
        <f>IF(R430="","",INDEX(挂机升级突破!$AE$35:$AG$55,卡牌消耗!L430,INDEX(挂机升级突破!$X$35:$X$55,卡牌消耗!L430)))</f>
        <v>70</v>
      </c>
      <c r="T430" s="16" t="str">
        <f>IF(INDEX(挂机升级突破!$Y$35:$Y$55,卡牌消耗!L430)&gt;0,"灵玉","")</f>
        <v/>
      </c>
      <c r="U430" s="16" t="str">
        <f>IF(INDEX(挂机升级突破!$Y$35:$Y$55,卡牌消耗!L430)&gt;0,INDEX(挂机升级突破!$AH$35:$AH$55,卡牌消耗!L430),"")</f>
        <v/>
      </c>
    </row>
    <row r="431" spans="9:21" ht="16.5" x14ac:dyDescent="0.2">
      <c r="I431" s="36">
        <v>395</v>
      </c>
      <c r="J431" s="16">
        <f t="shared" si="31"/>
        <v>1102019</v>
      </c>
      <c r="K431" s="16">
        <f t="shared" si="32"/>
        <v>3</v>
      </c>
      <c r="L431" s="16">
        <f t="shared" si="34"/>
        <v>17</v>
      </c>
      <c r="M431" s="16" t="str">
        <f t="shared" si="33"/>
        <v>红</v>
      </c>
      <c r="N431" s="16" t="str">
        <f t="shared" si="35"/>
        <v>金币</v>
      </c>
      <c r="O431" s="16">
        <f>IF(L431&gt;1,INDEX(挂机升级突破!$AI$35:$AI$55,卡牌消耗!L431),"")</f>
        <v>76500</v>
      </c>
      <c r="P431" s="16" t="str">
        <f>IF(L431&gt;1,INDEX(价值概述!$A$4:$A$8,INDEX(挂机升级突破!$W$35:$W$55,卡牌消耗!L431)),"")</f>
        <v>红色基础材料</v>
      </c>
      <c r="Q431" s="16">
        <f>IF(L431&gt;1,INDEX(挂机升级突破!$Z$35:$AD$55,卡牌消耗!L431,INDEX(挂机升级突破!$W$35:$W$55,卡牌消耗!L431)),"")</f>
        <v>45</v>
      </c>
      <c r="R431" s="16" t="str">
        <f>IF(INDEX(挂机升级突破!$X$35:$X$55,卡牌消耗!L431)&gt;0,INDEX($G$2:$I$2,INDEX(挂机升级突破!$X$35:$X$55,卡牌消耗!L431))&amp;M431,"")</f>
        <v>高级红</v>
      </c>
      <c r="S431" s="16">
        <f>IF(R431="","",INDEX(挂机升级突破!$AE$35:$AG$55,卡牌消耗!L431,INDEX(挂机升级突破!$X$35:$X$55,卡牌消耗!L431)))</f>
        <v>100</v>
      </c>
      <c r="T431" s="16" t="str">
        <f>IF(INDEX(挂机升级突破!$Y$35:$Y$55,卡牌消耗!L431)&gt;0,"灵玉","")</f>
        <v>灵玉</v>
      </c>
      <c r="U431" s="16">
        <f>IF(INDEX(挂机升级突破!$Y$35:$Y$55,卡牌消耗!L431)&gt;0,INDEX(挂机升级突破!$AH$35:$AH$55,卡牌消耗!L431),"")</f>
        <v>25</v>
      </c>
    </row>
    <row r="432" spans="9:21" ht="16.5" x14ac:dyDescent="0.2">
      <c r="I432" s="36">
        <v>396</v>
      </c>
      <c r="J432" s="16">
        <f t="shared" si="31"/>
        <v>1102019</v>
      </c>
      <c r="K432" s="16">
        <f t="shared" si="32"/>
        <v>3</v>
      </c>
      <c r="L432" s="16">
        <f t="shared" si="34"/>
        <v>18</v>
      </c>
      <c r="M432" s="16" t="str">
        <f t="shared" si="33"/>
        <v>红</v>
      </c>
      <c r="N432" s="16" t="str">
        <f t="shared" si="35"/>
        <v>金币</v>
      </c>
      <c r="O432" s="16">
        <f>IF(L432&gt;1,INDEX(挂机升级突破!$AI$35:$AI$55,卡牌消耗!L432),"")</f>
        <v>107000</v>
      </c>
      <c r="P432" s="16" t="str">
        <f>IF(L432&gt;1,INDEX(价值概述!$A$4:$A$8,INDEX(挂机升级突破!$W$35:$W$55,卡牌消耗!L432)),"")</f>
        <v>红色基础材料</v>
      </c>
      <c r="Q432" s="16">
        <f>IF(L432&gt;1,INDEX(挂机升级突破!$Z$35:$AD$55,卡牌消耗!L432,INDEX(挂机升级突破!$W$35:$W$55,卡牌消耗!L432)),"")</f>
        <v>65</v>
      </c>
      <c r="R432" s="16" t="str">
        <f>IF(INDEX(挂机升级突破!$X$35:$X$55,卡牌消耗!L432)&gt;0,INDEX($G$2:$I$2,INDEX(挂机升级突破!$X$35:$X$55,卡牌消耗!L432))&amp;M432,"")</f>
        <v>高级红</v>
      </c>
      <c r="S432" s="16">
        <f>IF(R432="","",INDEX(挂机升级突破!$AE$35:$AG$55,卡牌消耗!L432,INDEX(挂机升级突破!$X$35:$X$55,卡牌消耗!L432)))</f>
        <v>125</v>
      </c>
      <c r="T432" s="16" t="str">
        <f>IF(INDEX(挂机升级突破!$Y$35:$Y$55,卡牌消耗!L432)&gt;0,"灵玉","")</f>
        <v>灵玉</v>
      </c>
      <c r="U432" s="16">
        <f>IF(INDEX(挂机升级突破!$Y$35:$Y$55,卡牌消耗!L432)&gt;0,INDEX(挂机升级突破!$AH$35:$AH$55,卡牌消耗!L432),"")</f>
        <v>35</v>
      </c>
    </row>
    <row r="433" spans="9:21" ht="16.5" x14ac:dyDescent="0.2">
      <c r="I433" s="36">
        <v>397</v>
      </c>
      <c r="J433" s="16">
        <f t="shared" si="31"/>
        <v>1102019</v>
      </c>
      <c r="K433" s="16">
        <f t="shared" si="32"/>
        <v>3</v>
      </c>
      <c r="L433" s="16">
        <f t="shared" si="34"/>
        <v>19</v>
      </c>
      <c r="M433" s="16" t="str">
        <f t="shared" si="33"/>
        <v>红</v>
      </c>
      <c r="N433" s="16" t="str">
        <f t="shared" si="35"/>
        <v>金币</v>
      </c>
      <c r="O433" s="16">
        <f>IF(L433&gt;1,INDEX(挂机升级突破!$AI$35:$AI$55,卡牌消耗!L433),"")</f>
        <v>142500</v>
      </c>
      <c r="P433" s="16" t="str">
        <f>IF(L433&gt;1,INDEX(价值概述!$A$4:$A$8,INDEX(挂机升级突破!$W$35:$W$55,卡牌消耗!L433)),"")</f>
        <v>红色基础材料</v>
      </c>
      <c r="Q433" s="16">
        <f>IF(L433&gt;1,INDEX(挂机升级突破!$Z$35:$AD$55,卡牌消耗!L433,INDEX(挂机升级突破!$W$35:$W$55,卡牌消耗!L433)),"")</f>
        <v>90</v>
      </c>
      <c r="R433" s="16" t="str">
        <f>IF(INDEX(挂机升级突破!$X$35:$X$55,卡牌消耗!L433)&gt;0,INDEX($G$2:$I$2,INDEX(挂机升级突破!$X$35:$X$55,卡牌消耗!L433))&amp;M433,"")</f>
        <v>高级红</v>
      </c>
      <c r="S433" s="16">
        <f>IF(R433="","",INDEX(挂机升级突破!$AE$35:$AG$55,卡牌消耗!L433,INDEX(挂机升级突破!$X$35:$X$55,卡牌消耗!L433)))</f>
        <v>155</v>
      </c>
      <c r="T433" s="16" t="str">
        <f>IF(INDEX(挂机升级突破!$Y$35:$Y$55,卡牌消耗!L433)&gt;0,"灵玉","")</f>
        <v>灵玉</v>
      </c>
      <c r="U433" s="16">
        <f>IF(INDEX(挂机升级突破!$Y$35:$Y$55,卡牌消耗!L433)&gt;0,INDEX(挂机升级突破!$AH$35:$AH$55,卡牌消耗!L433),"")</f>
        <v>50</v>
      </c>
    </row>
    <row r="434" spans="9:21" ht="16.5" x14ac:dyDescent="0.2">
      <c r="I434" s="36">
        <v>398</v>
      </c>
      <c r="J434" s="16">
        <f t="shared" si="31"/>
        <v>1102019</v>
      </c>
      <c r="K434" s="16">
        <f t="shared" si="32"/>
        <v>3</v>
      </c>
      <c r="L434" s="16">
        <f t="shared" si="34"/>
        <v>20</v>
      </c>
      <c r="M434" s="16" t="str">
        <f t="shared" si="33"/>
        <v>红</v>
      </c>
      <c r="N434" s="16" t="str">
        <f t="shared" si="35"/>
        <v>金币</v>
      </c>
      <c r="O434" s="16">
        <f>IF(L434&gt;1,INDEX(挂机升级突破!$AI$35:$AI$55,卡牌消耗!L434),"")</f>
        <v>178500</v>
      </c>
      <c r="P434" s="16" t="str">
        <f>IF(L434&gt;1,INDEX(价值概述!$A$4:$A$8,INDEX(挂机升级突破!$W$35:$W$55,卡牌消耗!L434)),"")</f>
        <v>红色基础材料</v>
      </c>
      <c r="Q434" s="16">
        <f>IF(L434&gt;1,INDEX(挂机升级突破!$Z$35:$AD$55,卡牌消耗!L434,INDEX(挂机升级突破!$W$35:$W$55,卡牌消耗!L434)),"")</f>
        <v>110</v>
      </c>
      <c r="R434" s="16" t="str">
        <f>IF(INDEX(挂机升级突破!$X$35:$X$55,卡牌消耗!L434)&gt;0,INDEX($G$2:$I$2,INDEX(挂机升级突破!$X$35:$X$55,卡牌消耗!L434))&amp;M434,"")</f>
        <v>高级红</v>
      </c>
      <c r="S434" s="16">
        <f>IF(R434="","",INDEX(挂机升级突破!$AE$35:$AG$55,卡牌消耗!L434,INDEX(挂机升级突破!$X$35:$X$55,卡牌消耗!L434)))</f>
        <v>180</v>
      </c>
      <c r="T434" s="16" t="str">
        <f>IF(INDEX(挂机升级突破!$Y$35:$Y$55,卡牌消耗!L434)&gt;0,"灵玉","")</f>
        <v>灵玉</v>
      </c>
      <c r="U434" s="16">
        <f>IF(INDEX(挂机升级突破!$Y$35:$Y$55,卡牌消耗!L434)&gt;0,INDEX(挂机升级突破!$AH$35:$AH$55,卡牌消耗!L434),"")</f>
        <v>65</v>
      </c>
    </row>
    <row r="435" spans="9:21" ht="16.5" x14ac:dyDescent="0.2">
      <c r="I435" s="36">
        <v>399</v>
      </c>
      <c r="J435" s="16">
        <f t="shared" si="31"/>
        <v>1102019</v>
      </c>
      <c r="K435" s="16">
        <f t="shared" si="32"/>
        <v>3</v>
      </c>
      <c r="L435" s="16">
        <f t="shared" si="34"/>
        <v>21</v>
      </c>
      <c r="M435" s="16" t="str">
        <f t="shared" si="33"/>
        <v>红</v>
      </c>
      <c r="N435" s="16" t="str">
        <f t="shared" si="35"/>
        <v>金币</v>
      </c>
      <c r="O435" s="16">
        <f>IF(L435&gt;1,INDEX(挂机升级突破!$AI$35:$AI$55,卡牌消耗!L435),"")</f>
        <v>214000</v>
      </c>
      <c r="P435" s="16" t="str">
        <f>IF(L435&gt;1,INDEX(价值概述!$A$4:$A$8,INDEX(挂机升级突破!$W$35:$W$55,卡牌消耗!L435)),"")</f>
        <v>红色基础材料</v>
      </c>
      <c r="Q435" s="16">
        <f>IF(L435&gt;1,INDEX(挂机升级突破!$Z$35:$AD$55,卡牌消耗!L435,INDEX(挂机升级突破!$W$35:$W$55,卡牌消耗!L435)),"")</f>
        <v>135</v>
      </c>
      <c r="R435" s="16" t="str">
        <f>IF(INDEX(挂机升级突破!$X$35:$X$55,卡牌消耗!L435)&gt;0,INDEX($G$2:$I$2,INDEX(挂机升级突破!$X$35:$X$55,卡牌消耗!L435))&amp;M435,"")</f>
        <v>高级红</v>
      </c>
      <c r="S435" s="16">
        <f>IF(R435="","",INDEX(挂机升级突破!$AE$35:$AG$55,卡牌消耗!L435,INDEX(挂机升级突破!$X$35:$X$55,卡牌消耗!L435)))</f>
        <v>225</v>
      </c>
      <c r="T435" s="16" t="str">
        <f>IF(INDEX(挂机升级突破!$Y$35:$Y$55,卡牌消耗!L435)&gt;0,"灵玉","")</f>
        <v>灵玉</v>
      </c>
      <c r="U435" s="16">
        <f>IF(INDEX(挂机升级突破!$Y$35:$Y$55,卡牌消耗!L435)&gt;0,INDEX(挂机升级突破!$AH$35:$AH$55,卡牌消耗!L435),"")</f>
        <v>75</v>
      </c>
    </row>
    <row r="436" spans="9:21" ht="16.5" x14ac:dyDescent="0.2">
      <c r="I436" s="36">
        <v>400</v>
      </c>
      <c r="J436" s="16">
        <f t="shared" si="31"/>
        <v>1102020</v>
      </c>
      <c r="K436" s="16">
        <f t="shared" si="32"/>
        <v>3</v>
      </c>
      <c r="L436" s="16">
        <f t="shared" si="34"/>
        <v>1</v>
      </c>
      <c r="M436" s="16" t="str">
        <f t="shared" si="33"/>
        <v>黄</v>
      </c>
      <c r="N436" s="16" t="str">
        <f t="shared" si="35"/>
        <v/>
      </c>
      <c r="O436" s="16" t="str">
        <f>IF(L436&gt;1,INDEX(挂机升级突破!$AI$35:$AI$55,卡牌消耗!L436),"")</f>
        <v/>
      </c>
      <c r="P436" s="16" t="str">
        <f>IF(L436&gt;1,INDEX(价值概述!$A$4:$A$8,INDEX(挂机升级突破!$W$35:$W$55,卡牌消耗!L436)),"")</f>
        <v/>
      </c>
      <c r="Q436" s="16" t="str">
        <f>IF(L436&gt;1,INDEX(挂机升级突破!$Z$35:$AD$55,卡牌消耗!L436,INDEX(挂机升级突破!$W$35:$W$55,卡牌消耗!L436)),"")</f>
        <v/>
      </c>
      <c r="R436" s="16" t="str">
        <f>IF(INDEX(挂机升级突破!$X$35:$X$55,卡牌消耗!L436)&gt;0,INDEX($G$2:$I$2,INDEX(挂机升级突破!$X$35:$X$55,卡牌消耗!L436))&amp;M436,"")</f>
        <v/>
      </c>
      <c r="S436" s="16" t="str">
        <f>IF(R436="","",INDEX(挂机升级突破!$AE$35:$AG$55,卡牌消耗!L436,INDEX(挂机升级突破!$X$35:$X$55,卡牌消耗!L436)))</f>
        <v/>
      </c>
      <c r="T436" s="16" t="str">
        <f>IF(INDEX(挂机升级突破!$Y$35:$Y$55,卡牌消耗!L436)&gt;0,"灵玉","")</f>
        <v/>
      </c>
      <c r="U436" s="16" t="str">
        <f>IF(INDEX(挂机升级突破!$Y$35:$Y$55,卡牌消耗!L436)&gt;0,INDEX(挂机升级突破!$AH$35:$AH$55,卡牌消耗!L436),"")</f>
        <v/>
      </c>
    </row>
    <row r="437" spans="9:21" ht="16.5" x14ac:dyDescent="0.2">
      <c r="I437" s="36">
        <v>401</v>
      </c>
      <c r="J437" s="16">
        <f t="shared" si="31"/>
        <v>1102020</v>
      </c>
      <c r="K437" s="16">
        <f t="shared" si="32"/>
        <v>3</v>
      </c>
      <c r="L437" s="16">
        <f t="shared" si="34"/>
        <v>2</v>
      </c>
      <c r="M437" s="16" t="str">
        <f t="shared" si="33"/>
        <v>黄</v>
      </c>
      <c r="N437" s="16" t="str">
        <f t="shared" si="35"/>
        <v>金币</v>
      </c>
      <c r="O437" s="16">
        <f>IF(L437&gt;1,INDEX(挂机升级突破!$AI$35:$AI$55,卡牌消耗!L437),"")</f>
        <v>2500</v>
      </c>
      <c r="P437" s="16" t="str">
        <f>IF(L437&gt;1,INDEX(价值概述!$A$4:$A$8,INDEX(挂机升级突破!$W$35:$W$55,卡牌消耗!L437)),"")</f>
        <v>绿色基础材料</v>
      </c>
      <c r="Q437" s="16">
        <f>IF(L437&gt;1,INDEX(挂机升级突破!$Z$35:$AD$55,卡牌消耗!L437,INDEX(挂机升级突破!$W$35:$W$55,卡牌消耗!L437)),"")</f>
        <v>40</v>
      </c>
      <c r="R437" s="16" t="str">
        <f>IF(INDEX(挂机升级突破!$X$35:$X$55,卡牌消耗!L437)&gt;0,INDEX($G$2:$I$2,INDEX(挂机升级突破!$X$35:$X$55,卡牌消耗!L437))&amp;M437,"")</f>
        <v/>
      </c>
      <c r="S437" s="16" t="str">
        <f>IF(R437="","",INDEX(挂机升级突破!$AE$35:$AG$55,卡牌消耗!L437,INDEX(挂机升级突破!$X$35:$X$55,卡牌消耗!L437)))</f>
        <v/>
      </c>
      <c r="T437" s="16" t="str">
        <f>IF(INDEX(挂机升级突破!$Y$35:$Y$55,卡牌消耗!L437)&gt;0,"灵玉","")</f>
        <v/>
      </c>
      <c r="U437" s="16" t="str">
        <f>IF(INDEX(挂机升级突破!$Y$35:$Y$55,卡牌消耗!L437)&gt;0,INDEX(挂机升级突破!$AH$35:$AH$55,卡牌消耗!L437),"")</f>
        <v/>
      </c>
    </row>
    <row r="438" spans="9:21" ht="16.5" x14ac:dyDescent="0.2">
      <c r="I438" s="36">
        <v>402</v>
      </c>
      <c r="J438" s="16">
        <f t="shared" si="31"/>
        <v>1102020</v>
      </c>
      <c r="K438" s="16">
        <f t="shared" si="32"/>
        <v>3</v>
      </c>
      <c r="L438" s="16">
        <f t="shared" si="34"/>
        <v>3</v>
      </c>
      <c r="M438" s="16" t="str">
        <f t="shared" si="33"/>
        <v>黄</v>
      </c>
      <c r="N438" s="16" t="str">
        <f t="shared" si="35"/>
        <v>金币</v>
      </c>
      <c r="O438" s="16">
        <f>IF(L438&gt;1,INDEX(挂机升级突破!$AI$35:$AI$55,卡牌消耗!L438),"")</f>
        <v>8500</v>
      </c>
      <c r="P438" s="16" t="str">
        <f>IF(L438&gt;1,INDEX(价值概述!$A$4:$A$8,INDEX(挂机升级突破!$W$35:$W$55,卡牌消耗!L438)),"")</f>
        <v>绿色基础材料</v>
      </c>
      <c r="Q438" s="16">
        <f>IF(L438&gt;1,INDEX(挂机升级突破!$Z$35:$AD$55,卡牌消耗!L438,INDEX(挂机升级突破!$W$35:$W$55,卡牌消耗!L438)),"")</f>
        <v>120</v>
      </c>
      <c r="R438" s="16" t="str">
        <f>IF(INDEX(挂机升级突破!$X$35:$X$55,卡牌消耗!L438)&gt;0,INDEX($G$2:$I$2,INDEX(挂机升级突破!$X$35:$X$55,卡牌消耗!L438))&amp;M438,"")</f>
        <v/>
      </c>
      <c r="S438" s="16" t="str">
        <f>IF(R438="","",INDEX(挂机升级突破!$AE$35:$AG$55,卡牌消耗!L438,INDEX(挂机升级突破!$X$35:$X$55,卡牌消耗!L438)))</f>
        <v/>
      </c>
      <c r="T438" s="16" t="str">
        <f>IF(INDEX(挂机升级突破!$Y$35:$Y$55,卡牌消耗!L438)&gt;0,"灵玉","")</f>
        <v/>
      </c>
      <c r="U438" s="16" t="str">
        <f>IF(INDEX(挂机升级突破!$Y$35:$Y$55,卡牌消耗!L438)&gt;0,INDEX(挂机升级突破!$AH$35:$AH$55,卡牌消耗!L438),"")</f>
        <v/>
      </c>
    </row>
    <row r="439" spans="9:21" ht="16.5" x14ac:dyDescent="0.2">
      <c r="I439" s="36">
        <v>403</v>
      </c>
      <c r="J439" s="16">
        <f t="shared" si="31"/>
        <v>1102020</v>
      </c>
      <c r="K439" s="16">
        <f t="shared" si="32"/>
        <v>3</v>
      </c>
      <c r="L439" s="16">
        <f t="shared" si="34"/>
        <v>4</v>
      </c>
      <c r="M439" s="16" t="str">
        <f t="shared" si="33"/>
        <v>黄</v>
      </c>
      <c r="N439" s="16" t="str">
        <f t="shared" si="35"/>
        <v>金币</v>
      </c>
      <c r="O439" s="16">
        <f>IF(L439&gt;1,INDEX(挂机升级突破!$AI$35:$AI$55,卡牌消耗!L439),"")</f>
        <v>17000</v>
      </c>
      <c r="P439" s="16" t="str">
        <f>IF(L439&gt;1,INDEX(价值概述!$A$4:$A$8,INDEX(挂机升级突破!$W$35:$W$55,卡牌消耗!L439)),"")</f>
        <v>绿色基础材料</v>
      </c>
      <c r="Q439" s="16">
        <f>IF(L439&gt;1,INDEX(挂机升级突破!$Z$35:$AD$55,卡牌消耗!L439,INDEX(挂机升级突破!$W$35:$W$55,卡牌消耗!L439)),"")</f>
        <v>240</v>
      </c>
      <c r="R439" s="16" t="str">
        <f>IF(INDEX(挂机升级突破!$X$35:$X$55,卡牌消耗!L439)&gt;0,INDEX($G$2:$I$2,INDEX(挂机升级突破!$X$35:$X$55,卡牌消耗!L439))&amp;M439,"")</f>
        <v>初级黄</v>
      </c>
      <c r="S439" s="16">
        <f>IF(R439="","",INDEX(挂机升级突破!$AE$35:$AG$55,卡牌消耗!L439,INDEX(挂机升级突破!$X$35:$X$55,卡牌消耗!L439)))</f>
        <v>130</v>
      </c>
      <c r="T439" s="16" t="str">
        <f>IF(INDEX(挂机升级突破!$Y$35:$Y$55,卡牌消耗!L439)&gt;0,"灵玉","")</f>
        <v/>
      </c>
      <c r="U439" s="16" t="str">
        <f>IF(INDEX(挂机升级突破!$Y$35:$Y$55,卡牌消耗!L439)&gt;0,INDEX(挂机升级突破!$AH$35:$AH$55,卡牌消耗!L439),"")</f>
        <v/>
      </c>
    </row>
    <row r="440" spans="9:21" ht="16.5" x14ac:dyDescent="0.2">
      <c r="I440" s="36">
        <v>404</v>
      </c>
      <c r="J440" s="16">
        <f t="shared" si="31"/>
        <v>1102020</v>
      </c>
      <c r="K440" s="16">
        <f t="shared" si="32"/>
        <v>3</v>
      </c>
      <c r="L440" s="16">
        <f t="shared" si="34"/>
        <v>5</v>
      </c>
      <c r="M440" s="16" t="str">
        <f t="shared" si="33"/>
        <v>黄</v>
      </c>
      <c r="N440" s="16" t="str">
        <f t="shared" si="35"/>
        <v>金币</v>
      </c>
      <c r="O440" s="16">
        <f>IF(L440&gt;1,INDEX(挂机升级突破!$AI$35:$AI$55,卡牌消耗!L440),"")</f>
        <v>10500</v>
      </c>
      <c r="P440" s="16" t="str">
        <f>IF(L440&gt;1,INDEX(价值概述!$A$4:$A$8,INDEX(挂机升级突破!$W$35:$W$55,卡牌消耗!L440)),"")</f>
        <v>蓝色基础材料</v>
      </c>
      <c r="Q440" s="16">
        <f>IF(L440&gt;1,INDEX(挂机升级突破!$Z$35:$AD$55,卡牌消耗!L440,INDEX(挂机升级突破!$W$35:$W$55,卡牌消耗!L440)),"")</f>
        <v>85</v>
      </c>
      <c r="R440" s="16" t="str">
        <f>IF(INDEX(挂机升级突破!$X$35:$X$55,卡牌消耗!L440)&gt;0,INDEX($G$2:$I$2,INDEX(挂机升级突破!$X$35:$X$55,卡牌消耗!L440))&amp;M440,"")</f>
        <v>初级黄</v>
      </c>
      <c r="S440" s="16">
        <f>IF(R440="","",INDEX(挂机升级突破!$AE$35:$AG$55,卡牌消耗!L440,INDEX(挂机升级突破!$X$35:$X$55,卡牌消耗!L440)))</f>
        <v>160</v>
      </c>
      <c r="T440" s="16" t="str">
        <f>IF(INDEX(挂机升级突破!$Y$35:$Y$55,卡牌消耗!L440)&gt;0,"灵玉","")</f>
        <v/>
      </c>
      <c r="U440" s="16" t="str">
        <f>IF(INDEX(挂机升级突破!$Y$35:$Y$55,卡牌消耗!L440)&gt;0,INDEX(挂机升级突破!$AH$35:$AH$55,卡牌消耗!L440),"")</f>
        <v/>
      </c>
    </row>
    <row r="441" spans="9:21" ht="16.5" x14ac:dyDescent="0.2">
      <c r="I441" s="36">
        <v>405</v>
      </c>
      <c r="J441" s="16">
        <f t="shared" si="31"/>
        <v>1102020</v>
      </c>
      <c r="K441" s="16">
        <f t="shared" si="32"/>
        <v>3</v>
      </c>
      <c r="L441" s="16">
        <f t="shared" si="34"/>
        <v>6</v>
      </c>
      <c r="M441" s="16" t="str">
        <f t="shared" si="33"/>
        <v>黄</v>
      </c>
      <c r="N441" s="16" t="str">
        <f t="shared" si="35"/>
        <v>金币</v>
      </c>
      <c r="O441" s="16">
        <f>IF(L441&gt;1,INDEX(挂机升级突破!$AI$35:$AI$55,卡牌消耗!L441),"")</f>
        <v>25000</v>
      </c>
      <c r="P441" s="16" t="str">
        <f>IF(L441&gt;1,INDEX(价值概述!$A$4:$A$8,INDEX(挂机升级突破!$W$35:$W$55,卡牌消耗!L441)),"")</f>
        <v>蓝色基础材料</v>
      </c>
      <c r="Q441" s="16">
        <f>IF(L441&gt;1,INDEX(挂机升级突破!$Z$35:$AD$55,卡牌消耗!L441,INDEX(挂机升级突破!$W$35:$W$55,卡牌消耗!L441)),"")</f>
        <v>145</v>
      </c>
      <c r="R441" s="16" t="str">
        <f>IF(INDEX(挂机升级突破!$X$35:$X$55,卡牌消耗!L441)&gt;0,INDEX($G$2:$I$2,INDEX(挂机升级突破!$X$35:$X$55,卡牌消耗!L441))&amp;M441,"")</f>
        <v>初级黄</v>
      </c>
      <c r="S441" s="16">
        <f>IF(R441="","",INDEX(挂机升级突破!$AE$35:$AG$55,卡牌消耗!L441,INDEX(挂机升级突破!$X$35:$X$55,卡牌消耗!L441)))</f>
        <v>175</v>
      </c>
      <c r="T441" s="16" t="str">
        <f>IF(INDEX(挂机升级突破!$Y$35:$Y$55,卡牌消耗!L441)&gt;0,"灵玉","")</f>
        <v/>
      </c>
      <c r="U441" s="16" t="str">
        <f>IF(INDEX(挂机升级突破!$Y$35:$Y$55,卡牌消耗!L441)&gt;0,INDEX(挂机升级突破!$AH$35:$AH$55,卡牌消耗!L441),"")</f>
        <v/>
      </c>
    </row>
    <row r="442" spans="9:21" ht="16.5" x14ac:dyDescent="0.2">
      <c r="I442" s="36">
        <v>406</v>
      </c>
      <c r="J442" s="16">
        <f t="shared" si="31"/>
        <v>1102020</v>
      </c>
      <c r="K442" s="16">
        <f t="shared" si="32"/>
        <v>3</v>
      </c>
      <c r="L442" s="16">
        <f t="shared" si="34"/>
        <v>7</v>
      </c>
      <c r="M442" s="16" t="str">
        <f t="shared" si="33"/>
        <v>黄</v>
      </c>
      <c r="N442" s="16" t="str">
        <f t="shared" si="35"/>
        <v>金币</v>
      </c>
      <c r="O442" s="16">
        <f>IF(L442&gt;1,INDEX(挂机升级突破!$AI$35:$AI$55,卡牌消耗!L442),"")</f>
        <v>28000</v>
      </c>
      <c r="P442" s="16" t="str">
        <f>IF(L442&gt;1,INDEX(价值概述!$A$4:$A$8,INDEX(挂机升级突破!$W$35:$W$55,卡牌消耗!L442)),"")</f>
        <v>蓝色基础材料</v>
      </c>
      <c r="Q442" s="16">
        <f>IF(L442&gt;1,INDEX(挂机升级突破!$Z$35:$AD$55,卡牌消耗!L442,INDEX(挂机升级突破!$W$35:$W$55,卡牌消耗!L442)),"")</f>
        <v>185</v>
      </c>
      <c r="R442" s="16" t="str">
        <f>IF(INDEX(挂机升级突破!$X$35:$X$55,卡牌消耗!L442)&gt;0,INDEX($G$2:$I$2,INDEX(挂机升级突破!$X$35:$X$55,卡牌消耗!L442))&amp;M442,"")</f>
        <v>初级黄</v>
      </c>
      <c r="S442" s="16">
        <f>IF(R442="","",INDEX(挂机升级突破!$AE$35:$AG$55,卡牌消耗!L442,INDEX(挂机升级突破!$X$35:$X$55,卡牌消耗!L442)))</f>
        <v>190</v>
      </c>
      <c r="T442" s="16" t="str">
        <f>IF(INDEX(挂机升级突破!$Y$35:$Y$55,卡牌消耗!L442)&gt;0,"灵玉","")</f>
        <v/>
      </c>
      <c r="U442" s="16" t="str">
        <f>IF(INDEX(挂机升级突破!$Y$35:$Y$55,卡牌消耗!L442)&gt;0,INDEX(挂机升级突破!$AH$35:$AH$55,卡牌消耗!L442),"")</f>
        <v/>
      </c>
    </row>
    <row r="443" spans="9:21" ht="16.5" x14ac:dyDescent="0.2">
      <c r="I443" s="36">
        <v>407</v>
      </c>
      <c r="J443" s="16">
        <f t="shared" si="31"/>
        <v>1102020</v>
      </c>
      <c r="K443" s="16">
        <f t="shared" si="32"/>
        <v>3</v>
      </c>
      <c r="L443" s="16">
        <f t="shared" si="34"/>
        <v>8</v>
      </c>
      <c r="M443" s="16" t="str">
        <f t="shared" si="33"/>
        <v>黄</v>
      </c>
      <c r="N443" s="16" t="str">
        <f t="shared" si="35"/>
        <v>金币</v>
      </c>
      <c r="O443" s="16">
        <f>IF(L443&gt;1,INDEX(挂机升级突破!$AI$35:$AI$55,卡牌消耗!L443),"")</f>
        <v>31000</v>
      </c>
      <c r="P443" s="16" t="str">
        <f>IF(L443&gt;1,INDEX(价值概述!$A$4:$A$8,INDEX(挂机升级突破!$W$35:$W$55,卡牌消耗!L443)),"")</f>
        <v>蓝色基础材料</v>
      </c>
      <c r="Q443" s="16">
        <f>IF(L443&gt;1,INDEX(挂机升级突破!$Z$35:$AD$55,卡牌消耗!L443,INDEX(挂机升级突破!$W$35:$W$55,卡牌消耗!L443)),"")</f>
        <v>220</v>
      </c>
      <c r="R443" s="16" t="str">
        <f>IF(INDEX(挂机升级突破!$X$35:$X$55,卡牌消耗!L443)&gt;0,INDEX($G$2:$I$2,INDEX(挂机升级突破!$X$35:$X$55,卡牌消耗!L443))&amp;M443,"")</f>
        <v>初级黄</v>
      </c>
      <c r="S443" s="16">
        <f>IF(R443="","",INDEX(挂机升级突破!$AE$35:$AG$55,卡牌消耗!L443,INDEX(挂机升级突破!$X$35:$X$55,卡牌消耗!L443)))</f>
        <v>200</v>
      </c>
      <c r="T443" s="16" t="str">
        <f>IF(INDEX(挂机升级突破!$Y$35:$Y$55,卡牌消耗!L443)&gt;0,"灵玉","")</f>
        <v/>
      </c>
      <c r="U443" s="16" t="str">
        <f>IF(INDEX(挂机升级突破!$Y$35:$Y$55,卡牌消耗!L443)&gt;0,INDEX(挂机升级突破!$AH$35:$AH$55,卡牌消耗!L443),"")</f>
        <v/>
      </c>
    </row>
    <row r="444" spans="9:21" ht="16.5" x14ac:dyDescent="0.2">
      <c r="I444" s="36">
        <v>408</v>
      </c>
      <c r="J444" s="16">
        <f t="shared" si="31"/>
        <v>1102020</v>
      </c>
      <c r="K444" s="16">
        <f t="shared" si="32"/>
        <v>3</v>
      </c>
      <c r="L444" s="16">
        <f t="shared" si="34"/>
        <v>9</v>
      </c>
      <c r="M444" s="16" t="str">
        <f t="shared" si="33"/>
        <v>黄</v>
      </c>
      <c r="N444" s="16" t="str">
        <f t="shared" si="35"/>
        <v>金币</v>
      </c>
      <c r="O444" s="16">
        <f>IF(L444&gt;1,INDEX(挂机升级突破!$AI$35:$AI$55,卡牌消耗!L444),"")</f>
        <v>24000</v>
      </c>
      <c r="P444" s="16" t="str">
        <f>IF(L444&gt;1,INDEX(价值概述!$A$4:$A$8,INDEX(挂机升级突破!$W$35:$W$55,卡牌消耗!L444)),"")</f>
        <v>紫色基础材料</v>
      </c>
      <c r="Q444" s="16">
        <f>IF(L444&gt;1,INDEX(挂机升级突破!$Z$35:$AD$55,卡牌消耗!L444,INDEX(挂机升级突破!$W$35:$W$55,卡牌消耗!L444)),"")</f>
        <v>95</v>
      </c>
      <c r="R444" s="16" t="str">
        <f>IF(INDEX(挂机升级突破!$X$35:$X$55,卡牌消耗!L444)&gt;0,INDEX($G$2:$I$2,INDEX(挂机升级突破!$X$35:$X$55,卡牌消耗!L444))&amp;M444,"")</f>
        <v>中级黄</v>
      </c>
      <c r="S444" s="16">
        <f>IF(R444="","",INDEX(挂机升级突破!$AE$35:$AG$55,卡牌消耗!L444,INDEX(挂机升级突破!$X$35:$X$55,卡牌消耗!L444)))</f>
        <v>80</v>
      </c>
      <c r="T444" s="16" t="str">
        <f>IF(INDEX(挂机升级突破!$Y$35:$Y$55,卡牌消耗!L444)&gt;0,"灵玉","")</f>
        <v/>
      </c>
      <c r="U444" s="16" t="str">
        <f>IF(INDEX(挂机升级突破!$Y$35:$Y$55,卡牌消耗!L444)&gt;0,INDEX(挂机升级突破!$AH$35:$AH$55,卡牌消耗!L444),"")</f>
        <v/>
      </c>
    </row>
    <row r="445" spans="9:21" ht="16.5" x14ac:dyDescent="0.2">
      <c r="I445" s="36">
        <v>409</v>
      </c>
      <c r="J445" s="16">
        <f t="shared" si="31"/>
        <v>1102020</v>
      </c>
      <c r="K445" s="16">
        <f t="shared" si="32"/>
        <v>3</v>
      </c>
      <c r="L445" s="16">
        <f t="shared" si="34"/>
        <v>10</v>
      </c>
      <c r="M445" s="16" t="str">
        <f t="shared" si="33"/>
        <v>黄</v>
      </c>
      <c r="N445" s="16" t="str">
        <f t="shared" si="35"/>
        <v>金币</v>
      </c>
      <c r="O445" s="16">
        <f>IF(L445&gt;1,INDEX(挂机升级突破!$AI$35:$AI$55,卡牌消耗!L445),"")</f>
        <v>26500</v>
      </c>
      <c r="P445" s="16" t="str">
        <f>IF(L445&gt;1,INDEX(价值概述!$A$4:$A$8,INDEX(挂机升级突破!$W$35:$W$55,卡牌消耗!L445)),"")</f>
        <v>紫色基础材料</v>
      </c>
      <c r="Q445" s="16">
        <f>IF(L445&gt;1,INDEX(挂机升级突破!$Z$35:$AD$55,卡牌消耗!L445,INDEX(挂机升级突破!$W$35:$W$55,卡牌消耗!L445)),"")</f>
        <v>175</v>
      </c>
      <c r="R445" s="16" t="str">
        <f>IF(INDEX(挂机升级突破!$X$35:$X$55,卡牌消耗!L445)&gt;0,INDEX($G$2:$I$2,INDEX(挂机升级突破!$X$35:$X$55,卡牌消耗!L445))&amp;M445,"")</f>
        <v>中级黄</v>
      </c>
      <c r="S445" s="16">
        <f>IF(R445="","",INDEX(挂机升级突破!$AE$35:$AG$55,卡牌消耗!L445,INDEX(挂机升级突破!$X$35:$X$55,卡牌消耗!L445)))</f>
        <v>120</v>
      </c>
      <c r="T445" s="16" t="str">
        <f>IF(INDEX(挂机升级突破!$Y$35:$Y$55,卡牌消耗!L445)&gt;0,"灵玉","")</f>
        <v/>
      </c>
      <c r="U445" s="16" t="str">
        <f>IF(INDEX(挂机升级突破!$Y$35:$Y$55,卡牌消耗!L445)&gt;0,INDEX(挂机升级突破!$AH$35:$AH$55,卡牌消耗!L445),"")</f>
        <v/>
      </c>
    </row>
    <row r="446" spans="9:21" ht="16.5" x14ac:dyDescent="0.2">
      <c r="I446" s="36">
        <v>410</v>
      </c>
      <c r="J446" s="16">
        <f t="shared" si="31"/>
        <v>1102020</v>
      </c>
      <c r="K446" s="16">
        <f t="shared" si="32"/>
        <v>3</v>
      </c>
      <c r="L446" s="16">
        <f t="shared" si="34"/>
        <v>11</v>
      </c>
      <c r="M446" s="16" t="str">
        <f t="shared" si="33"/>
        <v>黄</v>
      </c>
      <c r="N446" s="16" t="str">
        <f t="shared" si="35"/>
        <v>金币</v>
      </c>
      <c r="O446" s="16">
        <f>IF(L446&gt;1,INDEX(挂机升级突破!$AI$35:$AI$55,卡牌消耗!L446),"")</f>
        <v>28500</v>
      </c>
      <c r="P446" s="16" t="str">
        <f>IF(L446&gt;1,INDEX(价值概述!$A$4:$A$8,INDEX(挂机升级突破!$W$35:$W$55,卡牌消耗!L446)),"")</f>
        <v>紫色基础材料</v>
      </c>
      <c r="Q446" s="16">
        <f>IF(L446&gt;1,INDEX(挂机升级突破!$Z$35:$AD$55,卡牌消耗!L446,INDEX(挂机升级突破!$W$35:$W$55,卡牌消耗!L446)),"")</f>
        <v>245</v>
      </c>
      <c r="R446" s="16" t="str">
        <f>IF(INDEX(挂机升级突破!$X$35:$X$55,卡牌消耗!L446)&gt;0,INDEX($G$2:$I$2,INDEX(挂机升级突破!$X$35:$X$55,卡牌消耗!L446))&amp;M446,"")</f>
        <v>中级黄</v>
      </c>
      <c r="S446" s="16">
        <f>IF(R446="","",INDEX(挂机升级突破!$AE$35:$AG$55,卡牌消耗!L446,INDEX(挂机升级突破!$X$35:$X$55,卡牌消耗!L446)))</f>
        <v>170</v>
      </c>
      <c r="T446" s="16" t="str">
        <f>IF(INDEX(挂机升级突破!$Y$35:$Y$55,卡牌消耗!L446)&gt;0,"灵玉","")</f>
        <v/>
      </c>
      <c r="U446" s="16" t="str">
        <f>IF(INDEX(挂机升级突破!$Y$35:$Y$55,卡牌消耗!L446)&gt;0,INDEX(挂机升级突破!$AH$35:$AH$55,卡牌消耗!L446),"")</f>
        <v/>
      </c>
    </row>
    <row r="447" spans="9:21" ht="16.5" x14ac:dyDescent="0.2">
      <c r="I447" s="36">
        <v>411</v>
      </c>
      <c r="J447" s="16">
        <f t="shared" si="31"/>
        <v>1102020</v>
      </c>
      <c r="K447" s="16">
        <f t="shared" si="32"/>
        <v>3</v>
      </c>
      <c r="L447" s="16">
        <f t="shared" si="34"/>
        <v>12</v>
      </c>
      <c r="M447" s="16" t="str">
        <f t="shared" si="33"/>
        <v>黄</v>
      </c>
      <c r="N447" s="16" t="str">
        <f t="shared" si="35"/>
        <v>金币</v>
      </c>
      <c r="O447" s="16">
        <f>IF(L447&gt;1,INDEX(挂机升级突破!$AI$35:$AI$55,卡牌消耗!L447),"")</f>
        <v>30500</v>
      </c>
      <c r="P447" s="16" t="str">
        <f>IF(L447&gt;1,INDEX(价值概述!$A$4:$A$8,INDEX(挂机升级突破!$W$35:$W$55,卡牌消耗!L447)),"")</f>
        <v>紫色基础材料</v>
      </c>
      <c r="Q447" s="16">
        <f>IF(L447&gt;1,INDEX(挂机升级突破!$Z$35:$AD$55,卡牌消耗!L447,INDEX(挂机升级突破!$W$35:$W$55,卡牌消耗!L447)),"")</f>
        <v>305</v>
      </c>
      <c r="R447" s="16" t="str">
        <f>IF(INDEX(挂机升级突破!$X$35:$X$55,卡牌消耗!L447)&gt;0,INDEX($G$2:$I$2,INDEX(挂机升级突破!$X$35:$X$55,卡牌消耗!L447))&amp;M447,"")</f>
        <v>中级黄</v>
      </c>
      <c r="S447" s="16">
        <f>IF(R447="","",INDEX(挂机升级突破!$AE$35:$AG$55,卡牌消耗!L447,INDEX(挂机升级突破!$X$35:$X$55,卡牌消耗!L447)))</f>
        <v>200</v>
      </c>
      <c r="T447" s="16" t="str">
        <f>IF(INDEX(挂机升级突破!$Y$35:$Y$55,卡牌消耗!L447)&gt;0,"灵玉","")</f>
        <v/>
      </c>
      <c r="U447" s="16" t="str">
        <f>IF(INDEX(挂机升级突破!$Y$35:$Y$55,卡牌消耗!L447)&gt;0,INDEX(挂机升级突破!$AH$35:$AH$55,卡牌消耗!L447),"")</f>
        <v/>
      </c>
    </row>
    <row r="448" spans="9:21" ht="16.5" x14ac:dyDescent="0.2">
      <c r="I448" s="36">
        <v>412</v>
      </c>
      <c r="J448" s="16">
        <f t="shared" si="31"/>
        <v>1102020</v>
      </c>
      <c r="K448" s="16">
        <f t="shared" si="32"/>
        <v>3</v>
      </c>
      <c r="L448" s="16">
        <f t="shared" si="34"/>
        <v>13</v>
      </c>
      <c r="M448" s="16" t="str">
        <f t="shared" si="33"/>
        <v>黄</v>
      </c>
      <c r="N448" s="16" t="str">
        <f t="shared" si="35"/>
        <v>金币</v>
      </c>
      <c r="O448" s="16">
        <f>IF(L448&gt;1,INDEX(挂机升级突破!$AI$35:$AI$55,卡牌消耗!L448),"")</f>
        <v>38500</v>
      </c>
      <c r="P448" s="16" t="str">
        <f>IF(L448&gt;1,INDEX(价值概述!$A$4:$A$8,INDEX(挂机升级突破!$W$35:$W$55,卡牌消耗!L448)),"")</f>
        <v>橙色基础材料</v>
      </c>
      <c r="Q448" s="16">
        <f>IF(L448&gt;1,INDEX(挂机升级突破!$Z$35:$AD$55,卡牌消耗!L448,INDEX(挂机升级突破!$W$35:$W$55,卡牌消耗!L448)),"")</f>
        <v>115</v>
      </c>
      <c r="R448" s="16" t="str">
        <f>IF(INDEX(挂机升级突破!$X$35:$X$55,卡牌消耗!L448)&gt;0,INDEX($G$2:$I$2,INDEX(挂机升级突破!$X$35:$X$55,卡牌消耗!L448))&amp;M448,"")</f>
        <v>中级黄</v>
      </c>
      <c r="S448" s="16">
        <f>IF(R448="","",INDEX(挂机升级突破!$AE$35:$AG$55,卡牌消耗!L448,INDEX(挂机升级突破!$X$35:$X$55,卡牌消耗!L448)))</f>
        <v>225</v>
      </c>
      <c r="T448" s="16" t="str">
        <f>IF(INDEX(挂机升级突破!$Y$35:$Y$55,卡牌消耗!L448)&gt;0,"灵玉","")</f>
        <v/>
      </c>
      <c r="U448" s="16" t="str">
        <f>IF(INDEX(挂机升级突破!$Y$35:$Y$55,卡牌消耗!L448)&gt;0,INDEX(挂机升级突破!$AH$35:$AH$55,卡牌消耗!L448),"")</f>
        <v/>
      </c>
    </row>
    <row r="449" spans="9:21" ht="16.5" x14ac:dyDescent="0.2">
      <c r="I449" s="36">
        <v>413</v>
      </c>
      <c r="J449" s="16">
        <f t="shared" si="31"/>
        <v>1102020</v>
      </c>
      <c r="K449" s="16">
        <f t="shared" si="32"/>
        <v>3</v>
      </c>
      <c r="L449" s="16">
        <f t="shared" si="34"/>
        <v>14</v>
      </c>
      <c r="M449" s="16" t="str">
        <f t="shared" si="33"/>
        <v>黄</v>
      </c>
      <c r="N449" s="16" t="str">
        <f t="shared" si="35"/>
        <v>金币</v>
      </c>
      <c r="O449" s="16">
        <f>IF(L449&gt;1,INDEX(挂机升级突破!$AI$35:$AI$55,卡牌消耗!L449),"")</f>
        <v>51000</v>
      </c>
      <c r="P449" s="16" t="str">
        <f>IF(L449&gt;1,INDEX(价值概述!$A$4:$A$8,INDEX(挂机升级突破!$W$35:$W$55,卡牌消耗!L449)),"")</f>
        <v>橙色基础材料</v>
      </c>
      <c r="Q449" s="16">
        <f>IF(L449&gt;1,INDEX(挂机升级突破!$Z$35:$AD$55,卡牌消耗!L449,INDEX(挂机升级突破!$W$35:$W$55,卡牌消耗!L449)),"")</f>
        <v>235</v>
      </c>
      <c r="R449" s="16" t="str">
        <f>IF(INDEX(挂机升级突破!$X$35:$X$55,卡牌消耗!L449)&gt;0,INDEX($G$2:$I$2,INDEX(挂机升级突破!$X$35:$X$55,卡牌消耗!L449))&amp;M449,"")</f>
        <v>中级黄</v>
      </c>
      <c r="S449" s="16">
        <f>IF(R449="","",INDEX(挂机升级突破!$AE$35:$AG$55,卡牌消耗!L449,INDEX(挂机升级突破!$X$35:$X$55,卡牌消耗!L449)))</f>
        <v>265</v>
      </c>
      <c r="T449" s="16" t="str">
        <f>IF(INDEX(挂机升级突破!$Y$35:$Y$55,卡牌消耗!L449)&gt;0,"灵玉","")</f>
        <v/>
      </c>
      <c r="U449" s="16" t="str">
        <f>IF(INDEX(挂机升级突破!$Y$35:$Y$55,卡牌消耗!L449)&gt;0,INDEX(挂机升级突破!$AH$35:$AH$55,卡牌消耗!L449),"")</f>
        <v/>
      </c>
    </row>
    <row r="450" spans="9:21" ht="16.5" x14ac:dyDescent="0.2">
      <c r="I450" s="36">
        <v>414</v>
      </c>
      <c r="J450" s="16">
        <f t="shared" si="31"/>
        <v>1102020</v>
      </c>
      <c r="K450" s="16">
        <f t="shared" si="32"/>
        <v>3</v>
      </c>
      <c r="L450" s="16">
        <f t="shared" si="34"/>
        <v>15</v>
      </c>
      <c r="M450" s="16" t="str">
        <f t="shared" si="33"/>
        <v>黄</v>
      </c>
      <c r="N450" s="16" t="str">
        <f t="shared" si="35"/>
        <v>金币</v>
      </c>
      <c r="O450" s="16">
        <f>IF(L450&gt;1,INDEX(挂机升级突破!$AI$35:$AI$55,卡牌消耗!L450),"")</f>
        <v>60000</v>
      </c>
      <c r="P450" s="16" t="str">
        <f>IF(L450&gt;1,INDEX(价值概述!$A$4:$A$8,INDEX(挂机升级突破!$W$35:$W$55,卡牌消耗!L450)),"")</f>
        <v>橙色基础材料</v>
      </c>
      <c r="Q450" s="16">
        <f>IF(L450&gt;1,INDEX(挂机升级突破!$Z$35:$AD$55,卡牌消耗!L450,INDEX(挂机升级突破!$W$35:$W$55,卡牌消耗!L450)),"")</f>
        <v>355</v>
      </c>
      <c r="R450" s="16" t="str">
        <f>IF(INDEX(挂机升级突破!$X$35:$X$55,卡牌消耗!L450)&gt;0,INDEX($G$2:$I$2,INDEX(挂机升级突破!$X$35:$X$55,卡牌消耗!L450))&amp;M450,"")</f>
        <v>高级黄</v>
      </c>
      <c r="S450" s="16">
        <f>IF(R450="","",INDEX(挂机升级突破!$AE$35:$AG$55,卡牌消耗!L450,INDEX(挂机升级突破!$X$35:$X$55,卡牌消耗!L450)))</f>
        <v>45</v>
      </c>
      <c r="T450" s="16" t="str">
        <f>IF(INDEX(挂机升级突破!$Y$35:$Y$55,卡牌消耗!L450)&gt;0,"灵玉","")</f>
        <v/>
      </c>
      <c r="U450" s="16" t="str">
        <f>IF(INDEX(挂机升级突破!$Y$35:$Y$55,卡牌消耗!L450)&gt;0,INDEX(挂机升级突破!$AH$35:$AH$55,卡牌消耗!L450),"")</f>
        <v/>
      </c>
    </row>
    <row r="451" spans="9:21" ht="16.5" x14ac:dyDescent="0.2">
      <c r="I451" s="36">
        <v>415</v>
      </c>
      <c r="J451" s="16">
        <f t="shared" si="31"/>
        <v>1102020</v>
      </c>
      <c r="K451" s="16">
        <f t="shared" si="32"/>
        <v>3</v>
      </c>
      <c r="L451" s="16">
        <f t="shared" si="34"/>
        <v>16</v>
      </c>
      <c r="M451" s="16" t="str">
        <f t="shared" si="33"/>
        <v>黄</v>
      </c>
      <c r="N451" s="16" t="str">
        <f t="shared" si="35"/>
        <v>金币</v>
      </c>
      <c r="O451" s="16">
        <f>IF(L451&gt;1,INDEX(挂机升级突破!$AI$35:$AI$55,卡牌消耗!L451),"")</f>
        <v>69000</v>
      </c>
      <c r="P451" s="16" t="str">
        <f>IF(L451&gt;1,INDEX(价值概述!$A$4:$A$8,INDEX(挂机升级突破!$W$35:$W$55,卡牌消耗!L451)),"")</f>
        <v>橙色基础材料</v>
      </c>
      <c r="Q451" s="16">
        <f>IF(L451&gt;1,INDEX(挂机升级突破!$Z$35:$AD$55,卡牌消耗!L451,INDEX(挂机升级突破!$W$35:$W$55,卡牌消耗!L451)),"")</f>
        <v>475</v>
      </c>
      <c r="R451" s="16" t="str">
        <f>IF(INDEX(挂机升级突破!$X$35:$X$55,卡牌消耗!L451)&gt;0,INDEX($G$2:$I$2,INDEX(挂机升级突破!$X$35:$X$55,卡牌消耗!L451))&amp;M451,"")</f>
        <v>高级黄</v>
      </c>
      <c r="S451" s="16">
        <f>IF(R451="","",INDEX(挂机升级突破!$AE$35:$AG$55,卡牌消耗!L451,INDEX(挂机升级突破!$X$35:$X$55,卡牌消耗!L451)))</f>
        <v>70</v>
      </c>
      <c r="T451" s="16" t="str">
        <f>IF(INDEX(挂机升级突破!$Y$35:$Y$55,卡牌消耗!L451)&gt;0,"灵玉","")</f>
        <v/>
      </c>
      <c r="U451" s="16" t="str">
        <f>IF(INDEX(挂机升级突破!$Y$35:$Y$55,卡牌消耗!L451)&gt;0,INDEX(挂机升级突破!$AH$35:$AH$55,卡牌消耗!L451),"")</f>
        <v/>
      </c>
    </row>
    <row r="452" spans="9:21" ht="16.5" x14ac:dyDescent="0.2">
      <c r="I452" s="36">
        <v>416</v>
      </c>
      <c r="J452" s="16">
        <f t="shared" si="31"/>
        <v>1102020</v>
      </c>
      <c r="K452" s="16">
        <f t="shared" si="32"/>
        <v>3</v>
      </c>
      <c r="L452" s="16">
        <f t="shared" si="34"/>
        <v>17</v>
      </c>
      <c r="M452" s="16" t="str">
        <f t="shared" si="33"/>
        <v>黄</v>
      </c>
      <c r="N452" s="16" t="str">
        <f t="shared" si="35"/>
        <v>金币</v>
      </c>
      <c r="O452" s="16">
        <f>IF(L452&gt;1,INDEX(挂机升级突破!$AI$35:$AI$55,卡牌消耗!L452),"")</f>
        <v>76500</v>
      </c>
      <c r="P452" s="16" t="str">
        <f>IF(L452&gt;1,INDEX(价值概述!$A$4:$A$8,INDEX(挂机升级突破!$W$35:$W$55,卡牌消耗!L452)),"")</f>
        <v>红色基础材料</v>
      </c>
      <c r="Q452" s="16">
        <f>IF(L452&gt;1,INDEX(挂机升级突破!$Z$35:$AD$55,卡牌消耗!L452,INDEX(挂机升级突破!$W$35:$W$55,卡牌消耗!L452)),"")</f>
        <v>45</v>
      </c>
      <c r="R452" s="16" t="str">
        <f>IF(INDEX(挂机升级突破!$X$35:$X$55,卡牌消耗!L452)&gt;0,INDEX($G$2:$I$2,INDEX(挂机升级突破!$X$35:$X$55,卡牌消耗!L452))&amp;M452,"")</f>
        <v>高级黄</v>
      </c>
      <c r="S452" s="16">
        <f>IF(R452="","",INDEX(挂机升级突破!$AE$35:$AG$55,卡牌消耗!L452,INDEX(挂机升级突破!$X$35:$X$55,卡牌消耗!L452)))</f>
        <v>100</v>
      </c>
      <c r="T452" s="16" t="str">
        <f>IF(INDEX(挂机升级突破!$Y$35:$Y$55,卡牌消耗!L452)&gt;0,"灵玉","")</f>
        <v>灵玉</v>
      </c>
      <c r="U452" s="16">
        <f>IF(INDEX(挂机升级突破!$Y$35:$Y$55,卡牌消耗!L452)&gt;0,INDEX(挂机升级突破!$AH$35:$AH$55,卡牌消耗!L452),"")</f>
        <v>25</v>
      </c>
    </row>
    <row r="453" spans="9:21" ht="16.5" x14ac:dyDescent="0.2">
      <c r="I453" s="36">
        <v>417</v>
      </c>
      <c r="J453" s="16">
        <f t="shared" si="31"/>
        <v>1102020</v>
      </c>
      <c r="K453" s="16">
        <f t="shared" si="32"/>
        <v>3</v>
      </c>
      <c r="L453" s="16">
        <f t="shared" si="34"/>
        <v>18</v>
      </c>
      <c r="M453" s="16" t="str">
        <f t="shared" si="33"/>
        <v>黄</v>
      </c>
      <c r="N453" s="16" t="str">
        <f t="shared" si="35"/>
        <v>金币</v>
      </c>
      <c r="O453" s="16">
        <f>IF(L453&gt;1,INDEX(挂机升级突破!$AI$35:$AI$55,卡牌消耗!L453),"")</f>
        <v>107000</v>
      </c>
      <c r="P453" s="16" t="str">
        <f>IF(L453&gt;1,INDEX(价值概述!$A$4:$A$8,INDEX(挂机升级突破!$W$35:$W$55,卡牌消耗!L453)),"")</f>
        <v>红色基础材料</v>
      </c>
      <c r="Q453" s="16">
        <f>IF(L453&gt;1,INDEX(挂机升级突破!$Z$35:$AD$55,卡牌消耗!L453,INDEX(挂机升级突破!$W$35:$W$55,卡牌消耗!L453)),"")</f>
        <v>65</v>
      </c>
      <c r="R453" s="16" t="str">
        <f>IF(INDEX(挂机升级突破!$X$35:$X$55,卡牌消耗!L453)&gt;0,INDEX($G$2:$I$2,INDEX(挂机升级突破!$X$35:$X$55,卡牌消耗!L453))&amp;M453,"")</f>
        <v>高级黄</v>
      </c>
      <c r="S453" s="16">
        <f>IF(R453="","",INDEX(挂机升级突破!$AE$35:$AG$55,卡牌消耗!L453,INDEX(挂机升级突破!$X$35:$X$55,卡牌消耗!L453)))</f>
        <v>125</v>
      </c>
      <c r="T453" s="16" t="str">
        <f>IF(INDEX(挂机升级突破!$Y$35:$Y$55,卡牌消耗!L453)&gt;0,"灵玉","")</f>
        <v>灵玉</v>
      </c>
      <c r="U453" s="16">
        <f>IF(INDEX(挂机升级突破!$Y$35:$Y$55,卡牌消耗!L453)&gt;0,INDEX(挂机升级突破!$AH$35:$AH$55,卡牌消耗!L453),"")</f>
        <v>35</v>
      </c>
    </row>
    <row r="454" spans="9:21" ht="16.5" x14ac:dyDescent="0.2">
      <c r="I454" s="36">
        <v>418</v>
      </c>
      <c r="J454" s="16">
        <f t="shared" si="31"/>
        <v>1102020</v>
      </c>
      <c r="K454" s="16">
        <f t="shared" si="32"/>
        <v>3</v>
      </c>
      <c r="L454" s="16">
        <f t="shared" si="34"/>
        <v>19</v>
      </c>
      <c r="M454" s="16" t="str">
        <f t="shared" si="33"/>
        <v>黄</v>
      </c>
      <c r="N454" s="16" t="str">
        <f t="shared" si="35"/>
        <v>金币</v>
      </c>
      <c r="O454" s="16">
        <f>IF(L454&gt;1,INDEX(挂机升级突破!$AI$35:$AI$55,卡牌消耗!L454),"")</f>
        <v>142500</v>
      </c>
      <c r="P454" s="16" t="str">
        <f>IF(L454&gt;1,INDEX(价值概述!$A$4:$A$8,INDEX(挂机升级突破!$W$35:$W$55,卡牌消耗!L454)),"")</f>
        <v>红色基础材料</v>
      </c>
      <c r="Q454" s="16">
        <f>IF(L454&gt;1,INDEX(挂机升级突破!$Z$35:$AD$55,卡牌消耗!L454,INDEX(挂机升级突破!$W$35:$W$55,卡牌消耗!L454)),"")</f>
        <v>90</v>
      </c>
      <c r="R454" s="16" t="str">
        <f>IF(INDEX(挂机升级突破!$X$35:$X$55,卡牌消耗!L454)&gt;0,INDEX($G$2:$I$2,INDEX(挂机升级突破!$X$35:$X$55,卡牌消耗!L454))&amp;M454,"")</f>
        <v>高级黄</v>
      </c>
      <c r="S454" s="16">
        <f>IF(R454="","",INDEX(挂机升级突破!$AE$35:$AG$55,卡牌消耗!L454,INDEX(挂机升级突破!$X$35:$X$55,卡牌消耗!L454)))</f>
        <v>155</v>
      </c>
      <c r="T454" s="16" t="str">
        <f>IF(INDEX(挂机升级突破!$Y$35:$Y$55,卡牌消耗!L454)&gt;0,"灵玉","")</f>
        <v>灵玉</v>
      </c>
      <c r="U454" s="16">
        <f>IF(INDEX(挂机升级突破!$Y$35:$Y$55,卡牌消耗!L454)&gt;0,INDEX(挂机升级突破!$AH$35:$AH$55,卡牌消耗!L454),"")</f>
        <v>50</v>
      </c>
    </row>
    <row r="455" spans="9:21" ht="16.5" x14ac:dyDescent="0.2">
      <c r="I455" s="36">
        <v>419</v>
      </c>
      <c r="J455" s="16">
        <f t="shared" si="31"/>
        <v>1102020</v>
      </c>
      <c r="K455" s="16">
        <f t="shared" si="32"/>
        <v>3</v>
      </c>
      <c r="L455" s="16">
        <f t="shared" si="34"/>
        <v>20</v>
      </c>
      <c r="M455" s="16" t="str">
        <f t="shared" si="33"/>
        <v>黄</v>
      </c>
      <c r="N455" s="16" t="str">
        <f t="shared" si="35"/>
        <v>金币</v>
      </c>
      <c r="O455" s="16">
        <f>IF(L455&gt;1,INDEX(挂机升级突破!$AI$35:$AI$55,卡牌消耗!L455),"")</f>
        <v>178500</v>
      </c>
      <c r="P455" s="16" t="str">
        <f>IF(L455&gt;1,INDEX(价值概述!$A$4:$A$8,INDEX(挂机升级突破!$W$35:$W$55,卡牌消耗!L455)),"")</f>
        <v>红色基础材料</v>
      </c>
      <c r="Q455" s="16">
        <f>IF(L455&gt;1,INDEX(挂机升级突破!$Z$35:$AD$55,卡牌消耗!L455,INDEX(挂机升级突破!$W$35:$W$55,卡牌消耗!L455)),"")</f>
        <v>110</v>
      </c>
      <c r="R455" s="16" t="str">
        <f>IF(INDEX(挂机升级突破!$X$35:$X$55,卡牌消耗!L455)&gt;0,INDEX($G$2:$I$2,INDEX(挂机升级突破!$X$35:$X$55,卡牌消耗!L455))&amp;M455,"")</f>
        <v>高级黄</v>
      </c>
      <c r="S455" s="16">
        <f>IF(R455="","",INDEX(挂机升级突破!$AE$35:$AG$55,卡牌消耗!L455,INDEX(挂机升级突破!$X$35:$X$55,卡牌消耗!L455)))</f>
        <v>180</v>
      </c>
      <c r="T455" s="16" t="str">
        <f>IF(INDEX(挂机升级突破!$Y$35:$Y$55,卡牌消耗!L455)&gt;0,"灵玉","")</f>
        <v>灵玉</v>
      </c>
      <c r="U455" s="16">
        <f>IF(INDEX(挂机升级突破!$Y$35:$Y$55,卡牌消耗!L455)&gt;0,INDEX(挂机升级突破!$AH$35:$AH$55,卡牌消耗!L455),"")</f>
        <v>65</v>
      </c>
    </row>
    <row r="456" spans="9:21" ht="16.5" x14ac:dyDescent="0.2">
      <c r="I456" s="36">
        <v>420</v>
      </c>
      <c r="J456" s="16">
        <f t="shared" si="31"/>
        <v>1102020</v>
      </c>
      <c r="K456" s="16">
        <f t="shared" si="32"/>
        <v>3</v>
      </c>
      <c r="L456" s="16">
        <f t="shared" si="34"/>
        <v>21</v>
      </c>
      <c r="M456" s="16" t="str">
        <f t="shared" si="33"/>
        <v>黄</v>
      </c>
      <c r="N456" s="16" t="str">
        <f t="shared" si="35"/>
        <v>金币</v>
      </c>
      <c r="O456" s="16">
        <f>IF(L456&gt;1,INDEX(挂机升级突破!$AI$35:$AI$55,卡牌消耗!L456),"")</f>
        <v>214000</v>
      </c>
      <c r="P456" s="16" t="str">
        <f>IF(L456&gt;1,INDEX(价值概述!$A$4:$A$8,INDEX(挂机升级突破!$W$35:$W$55,卡牌消耗!L456)),"")</f>
        <v>红色基础材料</v>
      </c>
      <c r="Q456" s="16">
        <f>IF(L456&gt;1,INDEX(挂机升级突破!$Z$35:$AD$55,卡牌消耗!L456,INDEX(挂机升级突破!$W$35:$W$55,卡牌消耗!L456)),"")</f>
        <v>135</v>
      </c>
      <c r="R456" s="16" t="str">
        <f>IF(INDEX(挂机升级突破!$X$35:$X$55,卡牌消耗!L456)&gt;0,INDEX($G$2:$I$2,INDEX(挂机升级突破!$X$35:$X$55,卡牌消耗!L456))&amp;M456,"")</f>
        <v>高级黄</v>
      </c>
      <c r="S456" s="16">
        <f>IF(R456="","",INDEX(挂机升级突破!$AE$35:$AG$55,卡牌消耗!L456,INDEX(挂机升级突破!$X$35:$X$55,卡牌消耗!L456)))</f>
        <v>225</v>
      </c>
      <c r="T456" s="16" t="str">
        <f>IF(INDEX(挂机升级突破!$Y$35:$Y$55,卡牌消耗!L456)&gt;0,"灵玉","")</f>
        <v>灵玉</v>
      </c>
      <c r="U456" s="16">
        <f>IF(INDEX(挂机升级突破!$Y$35:$Y$55,卡牌消耗!L456)&gt;0,INDEX(挂机升级突破!$AH$35:$AH$55,卡牌消耗!L456),"")</f>
        <v>75</v>
      </c>
    </row>
    <row r="457" spans="9:21" ht="16.5" x14ac:dyDescent="0.2">
      <c r="I457" s="36">
        <v>421</v>
      </c>
      <c r="J457" s="16">
        <f t="shared" si="31"/>
        <v>1102021</v>
      </c>
      <c r="K457" s="16">
        <f t="shared" si="32"/>
        <v>2</v>
      </c>
      <c r="L457" s="16">
        <f t="shared" si="34"/>
        <v>1</v>
      </c>
      <c r="M457" s="16" t="str">
        <f t="shared" si="33"/>
        <v>黄</v>
      </c>
      <c r="N457" s="16" t="str">
        <f t="shared" si="35"/>
        <v/>
      </c>
      <c r="O457" s="16" t="str">
        <f>IF(L457&gt;1,INDEX(挂机升级突破!$AI$35:$AI$55,卡牌消耗!L457),"")</f>
        <v/>
      </c>
      <c r="P457" s="16" t="str">
        <f>IF(L457&gt;1,INDEX(价值概述!$A$4:$A$8,INDEX(挂机升级突破!$W$35:$W$55,卡牌消耗!L457)),"")</f>
        <v/>
      </c>
      <c r="Q457" s="16" t="str">
        <f>IF(L457&gt;1,INDEX(挂机升级突破!$Z$35:$AD$55,卡牌消耗!L457,INDEX(挂机升级突破!$W$35:$W$55,卡牌消耗!L457)),"")</f>
        <v/>
      </c>
      <c r="R457" s="16" t="str">
        <f>IF(INDEX(挂机升级突破!$X$35:$X$55,卡牌消耗!L457)&gt;0,INDEX($G$2:$I$2,INDEX(挂机升级突破!$X$35:$X$55,卡牌消耗!L457))&amp;M457,"")</f>
        <v/>
      </c>
      <c r="S457" s="16" t="str">
        <f>IF(R457="","",INDEX(挂机升级突破!$AE$35:$AG$55,卡牌消耗!L457,INDEX(挂机升级突破!$X$35:$X$55,卡牌消耗!L457)))</f>
        <v/>
      </c>
      <c r="T457" s="16" t="str">
        <f>IF(INDEX(挂机升级突破!$Y$35:$Y$55,卡牌消耗!L457)&gt;0,"灵玉","")</f>
        <v/>
      </c>
      <c r="U457" s="16" t="str">
        <f>IF(INDEX(挂机升级突破!$Y$35:$Y$55,卡牌消耗!L457)&gt;0,INDEX(挂机升级突破!$AH$35:$AH$55,卡牌消耗!L457),"")</f>
        <v/>
      </c>
    </row>
    <row r="458" spans="9:21" ht="16.5" x14ac:dyDescent="0.2">
      <c r="I458" s="36">
        <v>422</v>
      </c>
      <c r="J458" s="16">
        <f t="shared" si="31"/>
        <v>1102021</v>
      </c>
      <c r="K458" s="16">
        <f t="shared" si="32"/>
        <v>2</v>
      </c>
      <c r="L458" s="16">
        <f t="shared" si="34"/>
        <v>2</v>
      </c>
      <c r="M458" s="16" t="str">
        <f t="shared" si="33"/>
        <v>黄</v>
      </c>
      <c r="N458" s="16" t="str">
        <f t="shared" si="35"/>
        <v>金币</v>
      </c>
      <c r="O458" s="16">
        <f>IF(L458&gt;1,INDEX(挂机升级突破!$AI$35:$AI$55,卡牌消耗!L458),"")</f>
        <v>2500</v>
      </c>
      <c r="P458" s="16" t="str">
        <f>IF(L458&gt;1,INDEX(价值概述!$A$4:$A$8,INDEX(挂机升级突破!$W$35:$W$55,卡牌消耗!L458)),"")</f>
        <v>绿色基础材料</v>
      </c>
      <c r="Q458" s="16">
        <f>IF(L458&gt;1,INDEX(挂机升级突破!$Z$35:$AD$55,卡牌消耗!L458,INDEX(挂机升级突破!$W$35:$W$55,卡牌消耗!L458)),"")</f>
        <v>40</v>
      </c>
      <c r="R458" s="16" t="str">
        <f>IF(INDEX(挂机升级突破!$X$35:$X$55,卡牌消耗!L458)&gt;0,INDEX($G$2:$I$2,INDEX(挂机升级突破!$X$35:$X$55,卡牌消耗!L458))&amp;M458,"")</f>
        <v/>
      </c>
      <c r="S458" s="16" t="str">
        <f>IF(R458="","",INDEX(挂机升级突破!$AE$35:$AG$55,卡牌消耗!L458,INDEX(挂机升级突破!$X$35:$X$55,卡牌消耗!L458)))</f>
        <v/>
      </c>
      <c r="T458" s="16" t="str">
        <f>IF(INDEX(挂机升级突破!$Y$35:$Y$55,卡牌消耗!L458)&gt;0,"灵玉","")</f>
        <v/>
      </c>
      <c r="U458" s="16" t="str">
        <f>IF(INDEX(挂机升级突破!$Y$35:$Y$55,卡牌消耗!L458)&gt;0,INDEX(挂机升级突破!$AH$35:$AH$55,卡牌消耗!L458),"")</f>
        <v/>
      </c>
    </row>
    <row r="459" spans="9:21" ht="16.5" x14ac:dyDescent="0.2">
      <c r="I459" s="36">
        <v>423</v>
      </c>
      <c r="J459" s="16">
        <f t="shared" si="31"/>
        <v>1102021</v>
      </c>
      <c r="K459" s="16">
        <f t="shared" si="32"/>
        <v>2</v>
      </c>
      <c r="L459" s="16">
        <f t="shared" si="34"/>
        <v>3</v>
      </c>
      <c r="M459" s="16" t="str">
        <f t="shared" si="33"/>
        <v>黄</v>
      </c>
      <c r="N459" s="16" t="str">
        <f t="shared" si="35"/>
        <v>金币</v>
      </c>
      <c r="O459" s="16">
        <f>IF(L459&gt;1,INDEX(挂机升级突破!$AI$35:$AI$55,卡牌消耗!L459),"")</f>
        <v>8500</v>
      </c>
      <c r="P459" s="16" t="str">
        <f>IF(L459&gt;1,INDEX(价值概述!$A$4:$A$8,INDEX(挂机升级突破!$W$35:$W$55,卡牌消耗!L459)),"")</f>
        <v>绿色基础材料</v>
      </c>
      <c r="Q459" s="16">
        <f>IF(L459&gt;1,INDEX(挂机升级突破!$Z$35:$AD$55,卡牌消耗!L459,INDEX(挂机升级突破!$W$35:$W$55,卡牌消耗!L459)),"")</f>
        <v>120</v>
      </c>
      <c r="R459" s="16" t="str">
        <f>IF(INDEX(挂机升级突破!$X$35:$X$55,卡牌消耗!L459)&gt;0,INDEX($G$2:$I$2,INDEX(挂机升级突破!$X$35:$X$55,卡牌消耗!L459))&amp;M459,"")</f>
        <v/>
      </c>
      <c r="S459" s="16" t="str">
        <f>IF(R459="","",INDEX(挂机升级突破!$AE$35:$AG$55,卡牌消耗!L459,INDEX(挂机升级突破!$X$35:$X$55,卡牌消耗!L459)))</f>
        <v/>
      </c>
      <c r="T459" s="16" t="str">
        <f>IF(INDEX(挂机升级突破!$Y$35:$Y$55,卡牌消耗!L459)&gt;0,"灵玉","")</f>
        <v/>
      </c>
      <c r="U459" s="16" t="str">
        <f>IF(INDEX(挂机升级突破!$Y$35:$Y$55,卡牌消耗!L459)&gt;0,INDEX(挂机升级突破!$AH$35:$AH$55,卡牌消耗!L459),"")</f>
        <v/>
      </c>
    </row>
    <row r="460" spans="9:21" ht="16.5" x14ac:dyDescent="0.2">
      <c r="I460" s="36">
        <v>424</v>
      </c>
      <c r="J460" s="16">
        <f t="shared" si="31"/>
        <v>1102021</v>
      </c>
      <c r="K460" s="16">
        <f t="shared" si="32"/>
        <v>2</v>
      </c>
      <c r="L460" s="16">
        <f t="shared" si="34"/>
        <v>4</v>
      </c>
      <c r="M460" s="16" t="str">
        <f t="shared" si="33"/>
        <v>黄</v>
      </c>
      <c r="N460" s="16" t="str">
        <f t="shared" si="35"/>
        <v>金币</v>
      </c>
      <c r="O460" s="16">
        <f>IF(L460&gt;1,INDEX(挂机升级突破!$AI$35:$AI$55,卡牌消耗!L460),"")</f>
        <v>17000</v>
      </c>
      <c r="P460" s="16" t="str">
        <f>IF(L460&gt;1,INDEX(价值概述!$A$4:$A$8,INDEX(挂机升级突破!$W$35:$W$55,卡牌消耗!L460)),"")</f>
        <v>绿色基础材料</v>
      </c>
      <c r="Q460" s="16">
        <f>IF(L460&gt;1,INDEX(挂机升级突破!$Z$35:$AD$55,卡牌消耗!L460,INDEX(挂机升级突破!$W$35:$W$55,卡牌消耗!L460)),"")</f>
        <v>240</v>
      </c>
      <c r="R460" s="16" t="str">
        <f>IF(INDEX(挂机升级突破!$X$35:$X$55,卡牌消耗!L460)&gt;0,INDEX($G$2:$I$2,INDEX(挂机升级突破!$X$35:$X$55,卡牌消耗!L460))&amp;M460,"")</f>
        <v>初级黄</v>
      </c>
      <c r="S460" s="16">
        <f>IF(R460="","",INDEX(挂机升级突破!$AE$35:$AG$55,卡牌消耗!L460,INDEX(挂机升级突破!$X$35:$X$55,卡牌消耗!L460)))</f>
        <v>130</v>
      </c>
      <c r="T460" s="16" t="str">
        <f>IF(INDEX(挂机升级突破!$Y$35:$Y$55,卡牌消耗!L460)&gt;0,"灵玉","")</f>
        <v/>
      </c>
      <c r="U460" s="16" t="str">
        <f>IF(INDEX(挂机升级突破!$Y$35:$Y$55,卡牌消耗!L460)&gt;0,INDEX(挂机升级突破!$AH$35:$AH$55,卡牌消耗!L460),"")</f>
        <v/>
      </c>
    </row>
    <row r="461" spans="9:21" ht="16.5" x14ac:dyDescent="0.2">
      <c r="I461" s="36">
        <v>425</v>
      </c>
      <c r="J461" s="16">
        <f t="shared" si="31"/>
        <v>1102021</v>
      </c>
      <c r="K461" s="16">
        <f t="shared" si="32"/>
        <v>2</v>
      </c>
      <c r="L461" s="16">
        <f t="shared" si="34"/>
        <v>5</v>
      </c>
      <c r="M461" s="16" t="str">
        <f t="shared" si="33"/>
        <v>黄</v>
      </c>
      <c r="N461" s="16" t="str">
        <f t="shared" si="35"/>
        <v>金币</v>
      </c>
      <c r="O461" s="16">
        <f>IF(L461&gt;1,INDEX(挂机升级突破!$AI$35:$AI$55,卡牌消耗!L461),"")</f>
        <v>10500</v>
      </c>
      <c r="P461" s="16" t="str">
        <f>IF(L461&gt;1,INDEX(价值概述!$A$4:$A$8,INDEX(挂机升级突破!$W$35:$W$55,卡牌消耗!L461)),"")</f>
        <v>蓝色基础材料</v>
      </c>
      <c r="Q461" s="16">
        <f>IF(L461&gt;1,INDEX(挂机升级突破!$Z$35:$AD$55,卡牌消耗!L461,INDEX(挂机升级突破!$W$35:$W$55,卡牌消耗!L461)),"")</f>
        <v>85</v>
      </c>
      <c r="R461" s="16" t="str">
        <f>IF(INDEX(挂机升级突破!$X$35:$X$55,卡牌消耗!L461)&gt;0,INDEX($G$2:$I$2,INDEX(挂机升级突破!$X$35:$X$55,卡牌消耗!L461))&amp;M461,"")</f>
        <v>初级黄</v>
      </c>
      <c r="S461" s="16">
        <f>IF(R461="","",INDEX(挂机升级突破!$AE$35:$AG$55,卡牌消耗!L461,INDEX(挂机升级突破!$X$35:$X$55,卡牌消耗!L461)))</f>
        <v>160</v>
      </c>
      <c r="T461" s="16" t="str">
        <f>IF(INDEX(挂机升级突破!$Y$35:$Y$55,卡牌消耗!L461)&gt;0,"灵玉","")</f>
        <v/>
      </c>
      <c r="U461" s="16" t="str">
        <f>IF(INDEX(挂机升级突破!$Y$35:$Y$55,卡牌消耗!L461)&gt;0,INDEX(挂机升级突破!$AH$35:$AH$55,卡牌消耗!L461),"")</f>
        <v/>
      </c>
    </row>
    <row r="462" spans="9:21" ht="16.5" x14ac:dyDescent="0.2">
      <c r="I462" s="36">
        <v>426</v>
      </c>
      <c r="J462" s="16">
        <f t="shared" si="31"/>
        <v>1102021</v>
      </c>
      <c r="K462" s="16">
        <f t="shared" si="32"/>
        <v>2</v>
      </c>
      <c r="L462" s="16">
        <f t="shared" si="34"/>
        <v>6</v>
      </c>
      <c r="M462" s="16" t="str">
        <f t="shared" si="33"/>
        <v>黄</v>
      </c>
      <c r="N462" s="16" t="str">
        <f t="shared" si="35"/>
        <v>金币</v>
      </c>
      <c r="O462" s="16">
        <f>IF(L462&gt;1,INDEX(挂机升级突破!$AI$35:$AI$55,卡牌消耗!L462),"")</f>
        <v>25000</v>
      </c>
      <c r="P462" s="16" t="str">
        <f>IF(L462&gt;1,INDEX(价值概述!$A$4:$A$8,INDEX(挂机升级突破!$W$35:$W$55,卡牌消耗!L462)),"")</f>
        <v>蓝色基础材料</v>
      </c>
      <c r="Q462" s="16">
        <f>IF(L462&gt;1,INDEX(挂机升级突破!$Z$35:$AD$55,卡牌消耗!L462,INDEX(挂机升级突破!$W$35:$W$55,卡牌消耗!L462)),"")</f>
        <v>145</v>
      </c>
      <c r="R462" s="16" t="str">
        <f>IF(INDEX(挂机升级突破!$X$35:$X$55,卡牌消耗!L462)&gt;0,INDEX($G$2:$I$2,INDEX(挂机升级突破!$X$35:$X$55,卡牌消耗!L462))&amp;M462,"")</f>
        <v>初级黄</v>
      </c>
      <c r="S462" s="16">
        <f>IF(R462="","",INDEX(挂机升级突破!$AE$35:$AG$55,卡牌消耗!L462,INDEX(挂机升级突破!$X$35:$X$55,卡牌消耗!L462)))</f>
        <v>175</v>
      </c>
      <c r="T462" s="16" t="str">
        <f>IF(INDEX(挂机升级突破!$Y$35:$Y$55,卡牌消耗!L462)&gt;0,"灵玉","")</f>
        <v/>
      </c>
      <c r="U462" s="16" t="str">
        <f>IF(INDEX(挂机升级突破!$Y$35:$Y$55,卡牌消耗!L462)&gt;0,INDEX(挂机升级突破!$AH$35:$AH$55,卡牌消耗!L462),"")</f>
        <v/>
      </c>
    </row>
    <row r="463" spans="9:21" ht="16.5" x14ac:dyDescent="0.2">
      <c r="I463" s="36">
        <v>427</v>
      </c>
      <c r="J463" s="16">
        <f t="shared" si="31"/>
        <v>1102021</v>
      </c>
      <c r="K463" s="16">
        <f t="shared" si="32"/>
        <v>2</v>
      </c>
      <c r="L463" s="16">
        <f t="shared" si="34"/>
        <v>7</v>
      </c>
      <c r="M463" s="16" t="str">
        <f t="shared" si="33"/>
        <v>黄</v>
      </c>
      <c r="N463" s="16" t="str">
        <f t="shared" si="35"/>
        <v>金币</v>
      </c>
      <c r="O463" s="16">
        <f>IF(L463&gt;1,INDEX(挂机升级突破!$AI$35:$AI$55,卡牌消耗!L463),"")</f>
        <v>28000</v>
      </c>
      <c r="P463" s="16" t="str">
        <f>IF(L463&gt;1,INDEX(价值概述!$A$4:$A$8,INDEX(挂机升级突破!$W$35:$W$55,卡牌消耗!L463)),"")</f>
        <v>蓝色基础材料</v>
      </c>
      <c r="Q463" s="16">
        <f>IF(L463&gt;1,INDEX(挂机升级突破!$Z$35:$AD$55,卡牌消耗!L463,INDEX(挂机升级突破!$W$35:$W$55,卡牌消耗!L463)),"")</f>
        <v>185</v>
      </c>
      <c r="R463" s="16" t="str">
        <f>IF(INDEX(挂机升级突破!$X$35:$X$55,卡牌消耗!L463)&gt;0,INDEX($G$2:$I$2,INDEX(挂机升级突破!$X$35:$X$55,卡牌消耗!L463))&amp;M463,"")</f>
        <v>初级黄</v>
      </c>
      <c r="S463" s="16">
        <f>IF(R463="","",INDEX(挂机升级突破!$AE$35:$AG$55,卡牌消耗!L463,INDEX(挂机升级突破!$X$35:$X$55,卡牌消耗!L463)))</f>
        <v>190</v>
      </c>
      <c r="T463" s="16" t="str">
        <f>IF(INDEX(挂机升级突破!$Y$35:$Y$55,卡牌消耗!L463)&gt;0,"灵玉","")</f>
        <v/>
      </c>
      <c r="U463" s="16" t="str">
        <f>IF(INDEX(挂机升级突破!$Y$35:$Y$55,卡牌消耗!L463)&gt;0,INDEX(挂机升级突破!$AH$35:$AH$55,卡牌消耗!L463),"")</f>
        <v/>
      </c>
    </row>
    <row r="464" spans="9:21" ht="16.5" x14ac:dyDescent="0.2">
      <c r="I464" s="36">
        <v>428</v>
      </c>
      <c r="J464" s="16">
        <f t="shared" si="31"/>
        <v>1102021</v>
      </c>
      <c r="K464" s="16">
        <f t="shared" si="32"/>
        <v>2</v>
      </c>
      <c r="L464" s="16">
        <f t="shared" si="34"/>
        <v>8</v>
      </c>
      <c r="M464" s="16" t="str">
        <f t="shared" si="33"/>
        <v>黄</v>
      </c>
      <c r="N464" s="16" t="str">
        <f t="shared" si="35"/>
        <v>金币</v>
      </c>
      <c r="O464" s="16">
        <f>IF(L464&gt;1,INDEX(挂机升级突破!$AI$35:$AI$55,卡牌消耗!L464),"")</f>
        <v>31000</v>
      </c>
      <c r="P464" s="16" t="str">
        <f>IF(L464&gt;1,INDEX(价值概述!$A$4:$A$8,INDEX(挂机升级突破!$W$35:$W$55,卡牌消耗!L464)),"")</f>
        <v>蓝色基础材料</v>
      </c>
      <c r="Q464" s="16">
        <f>IF(L464&gt;1,INDEX(挂机升级突破!$Z$35:$AD$55,卡牌消耗!L464,INDEX(挂机升级突破!$W$35:$W$55,卡牌消耗!L464)),"")</f>
        <v>220</v>
      </c>
      <c r="R464" s="16" t="str">
        <f>IF(INDEX(挂机升级突破!$X$35:$X$55,卡牌消耗!L464)&gt;0,INDEX($G$2:$I$2,INDEX(挂机升级突破!$X$35:$X$55,卡牌消耗!L464))&amp;M464,"")</f>
        <v>初级黄</v>
      </c>
      <c r="S464" s="16">
        <f>IF(R464="","",INDEX(挂机升级突破!$AE$35:$AG$55,卡牌消耗!L464,INDEX(挂机升级突破!$X$35:$X$55,卡牌消耗!L464)))</f>
        <v>200</v>
      </c>
      <c r="T464" s="16" t="str">
        <f>IF(INDEX(挂机升级突破!$Y$35:$Y$55,卡牌消耗!L464)&gt;0,"灵玉","")</f>
        <v/>
      </c>
      <c r="U464" s="16" t="str">
        <f>IF(INDEX(挂机升级突破!$Y$35:$Y$55,卡牌消耗!L464)&gt;0,INDEX(挂机升级突破!$AH$35:$AH$55,卡牌消耗!L464),"")</f>
        <v/>
      </c>
    </row>
    <row r="465" spans="9:21" ht="16.5" x14ac:dyDescent="0.2">
      <c r="I465" s="36">
        <v>429</v>
      </c>
      <c r="J465" s="16">
        <f t="shared" si="31"/>
        <v>1102021</v>
      </c>
      <c r="K465" s="16">
        <f t="shared" si="32"/>
        <v>2</v>
      </c>
      <c r="L465" s="16">
        <f t="shared" si="34"/>
        <v>9</v>
      </c>
      <c r="M465" s="16" t="str">
        <f t="shared" si="33"/>
        <v>黄</v>
      </c>
      <c r="N465" s="16" t="str">
        <f t="shared" si="35"/>
        <v>金币</v>
      </c>
      <c r="O465" s="16">
        <f>IF(L465&gt;1,INDEX(挂机升级突破!$AI$35:$AI$55,卡牌消耗!L465),"")</f>
        <v>24000</v>
      </c>
      <c r="P465" s="16" t="str">
        <f>IF(L465&gt;1,INDEX(价值概述!$A$4:$A$8,INDEX(挂机升级突破!$W$35:$W$55,卡牌消耗!L465)),"")</f>
        <v>紫色基础材料</v>
      </c>
      <c r="Q465" s="16">
        <f>IF(L465&gt;1,INDEX(挂机升级突破!$Z$35:$AD$55,卡牌消耗!L465,INDEX(挂机升级突破!$W$35:$W$55,卡牌消耗!L465)),"")</f>
        <v>95</v>
      </c>
      <c r="R465" s="16" t="str">
        <f>IF(INDEX(挂机升级突破!$X$35:$X$55,卡牌消耗!L465)&gt;0,INDEX($G$2:$I$2,INDEX(挂机升级突破!$X$35:$X$55,卡牌消耗!L465))&amp;M465,"")</f>
        <v>中级黄</v>
      </c>
      <c r="S465" s="16">
        <f>IF(R465="","",INDEX(挂机升级突破!$AE$35:$AG$55,卡牌消耗!L465,INDEX(挂机升级突破!$X$35:$X$55,卡牌消耗!L465)))</f>
        <v>80</v>
      </c>
      <c r="T465" s="16" t="str">
        <f>IF(INDEX(挂机升级突破!$Y$35:$Y$55,卡牌消耗!L465)&gt;0,"灵玉","")</f>
        <v/>
      </c>
      <c r="U465" s="16" t="str">
        <f>IF(INDEX(挂机升级突破!$Y$35:$Y$55,卡牌消耗!L465)&gt;0,INDEX(挂机升级突破!$AH$35:$AH$55,卡牌消耗!L465),"")</f>
        <v/>
      </c>
    </row>
    <row r="466" spans="9:21" ht="16.5" x14ac:dyDescent="0.2">
      <c r="I466" s="36">
        <v>430</v>
      </c>
      <c r="J466" s="16">
        <f t="shared" si="31"/>
        <v>1102021</v>
      </c>
      <c r="K466" s="16">
        <f t="shared" si="32"/>
        <v>2</v>
      </c>
      <c r="L466" s="16">
        <f t="shared" si="34"/>
        <v>10</v>
      </c>
      <c r="M466" s="16" t="str">
        <f t="shared" si="33"/>
        <v>黄</v>
      </c>
      <c r="N466" s="16" t="str">
        <f t="shared" si="35"/>
        <v>金币</v>
      </c>
      <c r="O466" s="16">
        <f>IF(L466&gt;1,INDEX(挂机升级突破!$AI$35:$AI$55,卡牌消耗!L466),"")</f>
        <v>26500</v>
      </c>
      <c r="P466" s="16" t="str">
        <f>IF(L466&gt;1,INDEX(价值概述!$A$4:$A$8,INDEX(挂机升级突破!$W$35:$W$55,卡牌消耗!L466)),"")</f>
        <v>紫色基础材料</v>
      </c>
      <c r="Q466" s="16">
        <f>IF(L466&gt;1,INDEX(挂机升级突破!$Z$35:$AD$55,卡牌消耗!L466,INDEX(挂机升级突破!$W$35:$W$55,卡牌消耗!L466)),"")</f>
        <v>175</v>
      </c>
      <c r="R466" s="16" t="str">
        <f>IF(INDEX(挂机升级突破!$X$35:$X$55,卡牌消耗!L466)&gt;0,INDEX($G$2:$I$2,INDEX(挂机升级突破!$X$35:$X$55,卡牌消耗!L466))&amp;M466,"")</f>
        <v>中级黄</v>
      </c>
      <c r="S466" s="16">
        <f>IF(R466="","",INDEX(挂机升级突破!$AE$35:$AG$55,卡牌消耗!L466,INDEX(挂机升级突破!$X$35:$X$55,卡牌消耗!L466)))</f>
        <v>120</v>
      </c>
      <c r="T466" s="16" t="str">
        <f>IF(INDEX(挂机升级突破!$Y$35:$Y$55,卡牌消耗!L466)&gt;0,"灵玉","")</f>
        <v/>
      </c>
      <c r="U466" s="16" t="str">
        <f>IF(INDEX(挂机升级突破!$Y$35:$Y$55,卡牌消耗!L466)&gt;0,INDEX(挂机升级突破!$AH$35:$AH$55,卡牌消耗!L466),"")</f>
        <v/>
      </c>
    </row>
    <row r="467" spans="9:21" ht="16.5" x14ac:dyDescent="0.2">
      <c r="I467" s="36">
        <v>431</v>
      </c>
      <c r="J467" s="16">
        <f t="shared" si="31"/>
        <v>1102021</v>
      </c>
      <c r="K467" s="16">
        <f t="shared" si="32"/>
        <v>2</v>
      </c>
      <c r="L467" s="16">
        <f t="shared" si="34"/>
        <v>11</v>
      </c>
      <c r="M467" s="16" t="str">
        <f t="shared" si="33"/>
        <v>黄</v>
      </c>
      <c r="N467" s="16" t="str">
        <f t="shared" si="35"/>
        <v>金币</v>
      </c>
      <c r="O467" s="16">
        <f>IF(L467&gt;1,INDEX(挂机升级突破!$AI$35:$AI$55,卡牌消耗!L467),"")</f>
        <v>28500</v>
      </c>
      <c r="P467" s="16" t="str">
        <f>IF(L467&gt;1,INDEX(价值概述!$A$4:$A$8,INDEX(挂机升级突破!$W$35:$W$55,卡牌消耗!L467)),"")</f>
        <v>紫色基础材料</v>
      </c>
      <c r="Q467" s="16">
        <f>IF(L467&gt;1,INDEX(挂机升级突破!$Z$35:$AD$55,卡牌消耗!L467,INDEX(挂机升级突破!$W$35:$W$55,卡牌消耗!L467)),"")</f>
        <v>245</v>
      </c>
      <c r="R467" s="16" t="str">
        <f>IF(INDEX(挂机升级突破!$X$35:$X$55,卡牌消耗!L467)&gt;0,INDEX($G$2:$I$2,INDEX(挂机升级突破!$X$35:$X$55,卡牌消耗!L467))&amp;M467,"")</f>
        <v>中级黄</v>
      </c>
      <c r="S467" s="16">
        <f>IF(R467="","",INDEX(挂机升级突破!$AE$35:$AG$55,卡牌消耗!L467,INDEX(挂机升级突破!$X$35:$X$55,卡牌消耗!L467)))</f>
        <v>170</v>
      </c>
      <c r="T467" s="16" t="str">
        <f>IF(INDEX(挂机升级突破!$Y$35:$Y$55,卡牌消耗!L467)&gt;0,"灵玉","")</f>
        <v/>
      </c>
      <c r="U467" s="16" t="str">
        <f>IF(INDEX(挂机升级突破!$Y$35:$Y$55,卡牌消耗!L467)&gt;0,INDEX(挂机升级突破!$AH$35:$AH$55,卡牌消耗!L467),"")</f>
        <v/>
      </c>
    </row>
    <row r="468" spans="9:21" ht="16.5" x14ac:dyDescent="0.2">
      <c r="I468" s="36">
        <v>432</v>
      </c>
      <c r="J468" s="16">
        <f t="shared" si="31"/>
        <v>1102021</v>
      </c>
      <c r="K468" s="16">
        <f t="shared" si="32"/>
        <v>2</v>
      </c>
      <c r="L468" s="16">
        <f t="shared" si="34"/>
        <v>12</v>
      </c>
      <c r="M468" s="16" t="str">
        <f t="shared" si="33"/>
        <v>黄</v>
      </c>
      <c r="N468" s="16" t="str">
        <f t="shared" si="35"/>
        <v>金币</v>
      </c>
      <c r="O468" s="16">
        <f>IF(L468&gt;1,INDEX(挂机升级突破!$AI$35:$AI$55,卡牌消耗!L468),"")</f>
        <v>30500</v>
      </c>
      <c r="P468" s="16" t="str">
        <f>IF(L468&gt;1,INDEX(价值概述!$A$4:$A$8,INDEX(挂机升级突破!$W$35:$W$55,卡牌消耗!L468)),"")</f>
        <v>紫色基础材料</v>
      </c>
      <c r="Q468" s="16">
        <f>IF(L468&gt;1,INDEX(挂机升级突破!$Z$35:$AD$55,卡牌消耗!L468,INDEX(挂机升级突破!$W$35:$W$55,卡牌消耗!L468)),"")</f>
        <v>305</v>
      </c>
      <c r="R468" s="16" t="str">
        <f>IF(INDEX(挂机升级突破!$X$35:$X$55,卡牌消耗!L468)&gt;0,INDEX($G$2:$I$2,INDEX(挂机升级突破!$X$35:$X$55,卡牌消耗!L468))&amp;M468,"")</f>
        <v>中级黄</v>
      </c>
      <c r="S468" s="16">
        <f>IF(R468="","",INDEX(挂机升级突破!$AE$35:$AG$55,卡牌消耗!L468,INDEX(挂机升级突破!$X$35:$X$55,卡牌消耗!L468)))</f>
        <v>200</v>
      </c>
      <c r="T468" s="16" t="str">
        <f>IF(INDEX(挂机升级突破!$Y$35:$Y$55,卡牌消耗!L468)&gt;0,"灵玉","")</f>
        <v/>
      </c>
      <c r="U468" s="16" t="str">
        <f>IF(INDEX(挂机升级突破!$Y$35:$Y$55,卡牌消耗!L468)&gt;0,INDEX(挂机升级突破!$AH$35:$AH$55,卡牌消耗!L468),"")</f>
        <v/>
      </c>
    </row>
    <row r="469" spans="9:21" ht="16.5" x14ac:dyDescent="0.2">
      <c r="I469" s="36">
        <v>433</v>
      </c>
      <c r="J469" s="16">
        <f t="shared" si="31"/>
        <v>1102021</v>
      </c>
      <c r="K469" s="16">
        <f t="shared" si="32"/>
        <v>2</v>
      </c>
      <c r="L469" s="16">
        <f t="shared" si="34"/>
        <v>13</v>
      </c>
      <c r="M469" s="16" t="str">
        <f t="shared" si="33"/>
        <v>黄</v>
      </c>
      <c r="N469" s="16" t="str">
        <f t="shared" si="35"/>
        <v>金币</v>
      </c>
      <c r="O469" s="16">
        <f>IF(L469&gt;1,INDEX(挂机升级突破!$AI$35:$AI$55,卡牌消耗!L469),"")</f>
        <v>38500</v>
      </c>
      <c r="P469" s="16" t="str">
        <f>IF(L469&gt;1,INDEX(价值概述!$A$4:$A$8,INDEX(挂机升级突破!$W$35:$W$55,卡牌消耗!L469)),"")</f>
        <v>橙色基础材料</v>
      </c>
      <c r="Q469" s="16">
        <f>IF(L469&gt;1,INDEX(挂机升级突破!$Z$35:$AD$55,卡牌消耗!L469,INDEX(挂机升级突破!$W$35:$W$55,卡牌消耗!L469)),"")</f>
        <v>115</v>
      </c>
      <c r="R469" s="16" t="str">
        <f>IF(INDEX(挂机升级突破!$X$35:$X$55,卡牌消耗!L469)&gt;0,INDEX($G$2:$I$2,INDEX(挂机升级突破!$X$35:$X$55,卡牌消耗!L469))&amp;M469,"")</f>
        <v>中级黄</v>
      </c>
      <c r="S469" s="16">
        <f>IF(R469="","",INDEX(挂机升级突破!$AE$35:$AG$55,卡牌消耗!L469,INDEX(挂机升级突破!$X$35:$X$55,卡牌消耗!L469)))</f>
        <v>225</v>
      </c>
      <c r="T469" s="16" t="str">
        <f>IF(INDEX(挂机升级突破!$Y$35:$Y$55,卡牌消耗!L469)&gt;0,"灵玉","")</f>
        <v/>
      </c>
      <c r="U469" s="16" t="str">
        <f>IF(INDEX(挂机升级突破!$Y$35:$Y$55,卡牌消耗!L469)&gt;0,INDEX(挂机升级突破!$AH$35:$AH$55,卡牌消耗!L469),"")</f>
        <v/>
      </c>
    </row>
    <row r="470" spans="9:21" ht="16.5" x14ac:dyDescent="0.2">
      <c r="I470" s="36">
        <v>434</v>
      </c>
      <c r="J470" s="16">
        <f t="shared" si="31"/>
        <v>1102021</v>
      </c>
      <c r="K470" s="16">
        <f t="shared" si="32"/>
        <v>2</v>
      </c>
      <c r="L470" s="16">
        <f t="shared" si="34"/>
        <v>14</v>
      </c>
      <c r="M470" s="16" t="str">
        <f t="shared" si="33"/>
        <v>黄</v>
      </c>
      <c r="N470" s="16" t="str">
        <f t="shared" si="35"/>
        <v>金币</v>
      </c>
      <c r="O470" s="16">
        <f>IF(L470&gt;1,INDEX(挂机升级突破!$AI$35:$AI$55,卡牌消耗!L470),"")</f>
        <v>51000</v>
      </c>
      <c r="P470" s="16" t="str">
        <f>IF(L470&gt;1,INDEX(价值概述!$A$4:$A$8,INDEX(挂机升级突破!$W$35:$W$55,卡牌消耗!L470)),"")</f>
        <v>橙色基础材料</v>
      </c>
      <c r="Q470" s="16">
        <f>IF(L470&gt;1,INDEX(挂机升级突破!$Z$35:$AD$55,卡牌消耗!L470,INDEX(挂机升级突破!$W$35:$W$55,卡牌消耗!L470)),"")</f>
        <v>235</v>
      </c>
      <c r="R470" s="16" t="str">
        <f>IF(INDEX(挂机升级突破!$X$35:$X$55,卡牌消耗!L470)&gt;0,INDEX($G$2:$I$2,INDEX(挂机升级突破!$X$35:$X$55,卡牌消耗!L470))&amp;M470,"")</f>
        <v>中级黄</v>
      </c>
      <c r="S470" s="16">
        <f>IF(R470="","",INDEX(挂机升级突破!$AE$35:$AG$55,卡牌消耗!L470,INDEX(挂机升级突破!$X$35:$X$55,卡牌消耗!L470)))</f>
        <v>265</v>
      </c>
      <c r="T470" s="16" t="str">
        <f>IF(INDEX(挂机升级突破!$Y$35:$Y$55,卡牌消耗!L470)&gt;0,"灵玉","")</f>
        <v/>
      </c>
      <c r="U470" s="16" t="str">
        <f>IF(INDEX(挂机升级突破!$Y$35:$Y$55,卡牌消耗!L470)&gt;0,INDEX(挂机升级突破!$AH$35:$AH$55,卡牌消耗!L470),"")</f>
        <v/>
      </c>
    </row>
    <row r="471" spans="9:21" ht="16.5" x14ac:dyDescent="0.2">
      <c r="I471" s="36">
        <v>435</v>
      </c>
      <c r="J471" s="16">
        <f t="shared" si="31"/>
        <v>1102021</v>
      </c>
      <c r="K471" s="16">
        <f t="shared" si="32"/>
        <v>2</v>
      </c>
      <c r="L471" s="16">
        <f t="shared" si="34"/>
        <v>15</v>
      </c>
      <c r="M471" s="16" t="str">
        <f t="shared" si="33"/>
        <v>黄</v>
      </c>
      <c r="N471" s="16" t="str">
        <f t="shared" si="35"/>
        <v>金币</v>
      </c>
      <c r="O471" s="16">
        <f>IF(L471&gt;1,INDEX(挂机升级突破!$AI$35:$AI$55,卡牌消耗!L471),"")</f>
        <v>60000</v>
      </c>
      <c r="P471" s="16" t="str">
        <f>IF(L471&gt;1,INDEX(价值概述!$A$4:$A$8,INDEX(挂机升级突破!$W$35:$W$55,卡牌消耗!L471)),"")</f>
        <v>橙色基础材料</v>
      </c>
      <c r="Q471" s="16">
        <f>IF(L471&gt;1,INDEX(挂机升级突破!$Z$35:$AD$55,卡牌消耗!L471,INDEX(挂机升级突破!$W$35:$W$55,卡牌消耗!L471)),"")</f>
        <v>355</v>
      </c>
      <c r="R471" s="16" t="str">
        <f>IF(INDEX(挂机升级突破!$X$35:$X$55,卡牌消耗!L471)&gt;0,INDEX($G$2:$I$2,INDEX(挂机升级突破!$X$35:$X$55,卡牌消耗!L471))&amp;M471,"")</f>
        <v>高级黄</v>
      </c>
      <c r="S471" s="16">
        <f>IF(R471="","",INDEX(挂机升级突破!$AE$35:$AG$55,卡牌消耗!L471,INDEX(挂机升级突破!$X$35:$X$55,卡牌消耗!L471)))</f>
        <v>45</v>
      </c>
      <c r="T471" s="16" t="str">
        <f>IF(INDEX(挂机升级突破!$Y$35:$Y$55,卡牌消耗!L471)&gt;0,"灵玉","")</f>
        <v/>
      </c>
      <c r="U471" s="16" t="str">
        <f>IF(INDEX(挂机升级突破!$Y$35:$Y$55,卡牌消耗!L471)&gt;0,INDEX(挂机升级突破!$AH$35:$AH$55,卡牌消耗!L471),"")</f>
        <v/>
      </c>
    </row>
    <row r="472" spans="9:21" ht="16.5" x14ac:dyDescent="0.2">
      <c r="I472" s="36">
        <v>436</v>
      </c>
      <c r="J472" s="16">
        <f t="shared" si="31"/>
        <v>1102021</v>
      </c>
      <c r="K472" s="16">
        <f t="shared" si="32"/>
        <v>2</v>
      </c>
      <c r="L472" s="16">
        <f t="shared" si="34"/>
        <v>16</v>
      </c>
      <c r="M472" s="16" t="str">
        <f t="shared" si="33"/>
        <v>黄</v>
      </c>
      <c r="N472" s="16" t="str">
        <f t="shared" si="35"/>
        <v>金币</v>
      </c>
      <c r="O472" s="16">
        <f>IF(L472&gt;1,INDEX(挂机升级突破!$AI$35:$AI$55,卡牌消耗!L472),"")</f>
        <v>69000</v>
      </c>
      <c r="P472" s="16" t="str">
        <f>IF(L472&gt;1,INDEX(价值概述!$A$4:$A$8,INDEX(挂机升级突破!$W$35:$W$55,卡牌消耗!L472)),"")</f>
        <v>橙色基础材料</v>
      </c>
      <c r="Q472" s="16">
        <f>IF(L472&gt;1,INDEX(挂机升级突破!$Z$35:$AD$55,卡牌消耗!L472,INDEX(挂机升级突破!$W$35:$W$55,卡牌消耗!L472)),"")</f>
        <v>475</v>
      </c>
      <c r="R472" s="16" t="str">
        <f>IF(INDEX(挂机升级突破!$X$35:$X$55,卡牌消耗!L472)&gt;0,INDEX($G$2:$I$2,INDEX(挂机升级突破!$X$35:$X$55,卡牌消耗!L472))&amp;M472,"")</f>
        <v>高级黄</v>
      </c>
      <c r="S472" s="16">
        <f>IF(R472="","",INDEX(挂机升级突破!$AE$35:$AG$55,卡牌消耗!L472,INDEX(挂机升级突破!$X$35:$X$55,卡牌消耗!L472)))</f>
        <v>70</v>
      </c>
      <c r="T472" s="16" t="str">
        <f>IF(INDEX(挂机升级突破!$Y$35:$Y$55,卡牌消耗!L472)&gt;0,"灵玉","")</f>
        <v/>
      </c>
      <c r="U472" s="16" t="str">
        <f>IF(INDEX(挂机升级突破!$Y$35:$Y$55,卡牌消耗!L472)&gt;0,INDEX(挂机升级突破!$AH$35:$AH$55,卡牌消耗!L472),"")</f>
        <v/>
      </c>
    </row>
    <row r="473" spans="9:21" ht="16.5" x14ac:dyDescent="0.2">
      <c r="I473" s="36">
        <v>437</v>
      </c>
      <c r="J473" s="16">
        <f t="shared" si="31"/>
        <v>1102021</v>
      </c>
      <c r="K473" s="16">
        <f t="shared" si="32"/>
        <v>2</v>
      </c>
      <c r="L473" s="16">
        <f t="shared" si="34"/>
        <v>17</v>
      </c>
      <c r="M473" s="16" t="str">
        <f t="shared" si="33"/>
        <v>黄</v>
      </c>
      <c r="N473" s="16" t="str">
        <f t="shared" si="35"/>
        <v>金币</v>
      </c>
      <c r="O473" s="16">
        <f>IF(L473&gt;1,INDEX(挂机升级突破!$AI$35:$AI$55,卡牌消耗!L473),"")</f>
        <v>76500</v>
      </c>
      <c r="P473" s="16" t="str">
        <f>IF(L473&gt;1,INDEX(价值概述!$A$4:$A$8,INDEX(挂机升级突破!$W$35:$W$55,卡牌消耗!L473)),"")</f>
        <v>红色基础材料</v>
      </c>
      <c r="Q473" s="16">
        <f>IF(L473&gt;1,INDEX(挂机升级突破!$Z$35:$AD$55,卡牌消耗!L473,INDEX(挂机升级突破!$W$35:$W$55,卡牌消耗!L473)),"")</f>
        <v>45</v>
      </c>
      <c r="R473" s="16" t="str">
        <f>IF(INDEX(挂机升级突破!$X$35:$X$55,卡牌消耗!L473)&gt;0,INDEX($G$2:$I$2,INDEX(挂机升级突破!$X$35:$X$55,卡牌消耗!L473))&amp;M473,"")</f>
        <v>高级黄</v>
      </c>
      <c r="S473" s="16">
        <f>IF(R473="","",INDEX(挂机升级突破!$AE$35:$AG$55,卡牌消耗!L473,INDEX(挂机升级突破!$X$35:$X$55,卡牌消耗!L473)))</f>
        <v>100</v>
      </c>
      <c r="T473" s="16" t="str">
        <f>IF(INDEX(挂机升级突破!$Y$35:$Y$55,卡牌消耗!L473)&gt;0,"灵玉","")</f>
        <v>灵玉</v>
      </c>
      <c r="U473" s="16">
        <f>IF(INDEX(挂机升级突破!$Y$35:$Y$55,卡牌消耗!L473)&gt;0,INDEX(挂机升级突破!$AH$35:$AH$55,卡牌消耗!L473),"")</f>
        <v>25</v>
      </c>
    </row>
    <row r="474" spans="9:21" ht="16.5" x14ac:dyDescent="0.2">
      <c r="I474" s="36">
        <v>438</v>
      </c>
      <c r="J474" s="16">
        <f t="shared" si="31"/>
        <v>1102021</v>
      </c>
      <c r="K474" s="16">
        <f t="shared" si="32"/>
        <v>2</v>
      </c>
      <c r="L474" s="16">
        <f t="shared" si="34"/>
        <v>18</v>
      </c>
      <c r="M474" s="16" t="str">
        <f t="shared" si="33"/>
        <v>黄</v>
      </c>
      <c r="N474" s="16" t="str">
        <f t="shared" si="35"/>
        <v>金币</v>
      </c>
      <c r="O474" s="16">
        <f>IF(L474&gt;1,INDEX(挂机升级突破!$AI$35:$AI$55,卡牌消耗!L474),"")</f>
        <v>107000</v>
      </c>
      <c r="P474" s="16" t="str">
        <f>IF(L474&gt;1,INDEX(价值概述!$A$4:$A$8,INDEX(挂机升级突破!$W$35:$W$55,卡牌消耗!L474)),"")</f>
        <v>红色基础材料</v>
      </c>
      <c r="Q474" s="16">
        <f>IF(L474&gt;1,INDEX(挂机升级突破!$Z$35:$AD$55,卡牌消耗!L474,INDEX(挂机升级突破!$W$35:$W$55,卡牌消耗!L474)),"")</f>
        <v>65</v>
      </c>
      <c r="R474" s="16" t="str">
        <f>IF(INDEX(挂机升级突破!$X$35:$X$55,卡牌消耗!L474)&gt;0,INDEX($G$2:$I$2,INDEX(挂机升级突破!$X$35:$X$55,卡牌消耗!L474))&amp;M474,"")</f>
        <v>高级黄</v>
      </c>
      <c r="S474" s="16">
        <f>IF(R474="","",INDEX(挂机升级突破!$AE$35:$AG$55,卡牌消耗!L474,INDEX(挂机升级突破!$X$35:$X$55,卡牌消耗!L474)))</f>
        <v>125</v>
      </c>
      <c r="T474" s="16" t="str">
        <f>IF(INDEX(挂机升级突破!$Y$35:$Y$55,卡牌消耗!L474)&gt;0,"灵玉","")</f>
        <v>灵玉</v>
      </c>
      <c r="U474" s="16">
        <f>IF(INDEX(挂机升级突破!$Y$35:$Y$55,卡牌消耗!L474)&gt;0,INDEX(挂机升级突破!$AH$35:$AH$55,卡牌消耗!L474),"")</f>
        <v>35</v>
      </c>
    </row>
    <row r="475" spans="9:21" ht="16.5" x14ac:dyDescent="0.2">
      <c r="I475" s="36">
        <v>439</v>
      </c>
      <c r="J475" s="16">
        <f t="shared" si="31"/>
        <v>1102021</v>
      </c>
      <c r="K475" s="16">
        <f t="shared" si="32"/>
        <v>2</v>
      </c>
      <c r="L475" s="16">
        <f t="shared" si="34"/>
        <v>19</v>
      </c>
      <c r="M475" s="16" t="str">
        <f t="shared" si="33"/>
        <v>黄</v>
      </c>
      <c r="N475" s="16" t="str">
        <f t="shared" si="35"/>
        <v>金币</v>
      </c>
      <c r="O475" s="16">
        <f>IF(L475&gt;1,INDEX(挂机升级突破!$AI$35:$AI$55,卡牌消耗!L475),"")</f>
        <v>142500</v>
      </c>
      <c r="P475" s="16" t="str">
        <f>IF(L475&gt;1,INDEX(价值概述!$A$4:$A$8,INDEX(挂机升级突破!$W$35:$W$55,卡牌消耗!L475)),"")</f>
        <v>红色基础材料</v>
      </c>
      <c r="Q475" s="16">
        <f>IF(L475&gt;1,INDEX(挂机升级突破!$Z$35:$AD$55,卡牌消耗!L475,INDEX(挂机升级突破!$W$35:$W$55,卡牌消耗!L475)),"")</f>
        <v>90</v>
      </c>
      <c r="R475" s="16" t="str">
        <f>IF(INDEX(挂机升级突破!$X$35:$X$55,卡牌消耗!L475)&gt;0,INDEX($G$2:$I$2,INDEX(挂机升级突破!$X$35:$X$55,卡牌消耗!L475))&amp;M475,"")</f>
        <v>高级黄</v>
      </c>
      <c r="S475" s="16">
        <f>IF(R475="","",INDEX(挂机升级突破!$AE$35:$AG$55,卡牌消耗!L475,INDEX(挂机升级突破!$X$35:$X$55,卡牌消耗!L475)))</f>
        <v>155</v>
      </c>
      <c r="T475" s="16" t="str">
        <f>IF(INDEX(挂机升级突破!$Y$35:$Y$55,卡牌消耗!L475)&gt;0,"灵玉","")</f>
        <v>灵玉</v>
      </c>
      <c r="U475" s="16">
        <f>IF(INDEX(挂机升级突破!$Y$35:$Y$55,卡牌消耗!L475)&gt;0,INDEX(挂机升级突破!$AH$35:$AH$55,卡牌消耗!L475),"")</f>
        <v>50</v>
      </c>
    </row>
    <row r="476" spans="9:21" ht="16.5" x14ac:dyDescent="0.2">
      <c r="I476" s="36">
        <v>440</v>
      </c>
      <c r="J476" s="16">
        <f t="shared" si="31"/>
        <v>1102021</v>
      </c>
      <c r="K476" s="16">
        <f t="shared" si="32"/>
        <v>2</v>
      </c>
      <c r="L476" s="16">
        <f t="shared" si="34"/>
        <v>20</v>
      </c>
      <c r="M476" s="16" t="str">
        <f t="shared" si="33"/>
        <v>黄</v>
      </c>
      <c r="N476" s="16" t="str">
        <f t="shared" si="35"/>
        <v>金币</v>
      </c>
      <c r="O476" s="16">
        <f>IF(L476&gt;1,INDEX(挂机升级突破!$AI$35:$AI$55,卡牌消耗!L476),"")</f>
        <v>178500</v>
      </c>
      <c r="P476" s="16" t="str">
        <f>IF(L476&gt;1,INDEX(价值概述!$A$4:$A$8,INDEX(挂机升级突破!$W$35:$W$55,卡牌消耗!L476)),"")</f>
        <v>红色基础材料</v>
      </c>
      <c r="Q476" s="16">
        <f>IF(L476&gt;1,INDEX(挂机升级突破!$Z$35:$AD$55,卡牌消耗!L476,INDEX(挂机升级突破!$W$35:$W$55,卡牌消耗!L476)),"")</f>
        <v>110</v>
      </c>
      <c r="R476" s="16" t="str">
        <f>IF(INDEX(挂机升级突破!$X$35:$X$55,卡牌消耗!L476)&gt;0,INDEX($G$2:$I$2,INDEX(挂机升级突破!$X$35:$X$55,卡牌消耗!L476))&amp;M476,"")</f>
        <v>高级黄</v>
      </c>
      <c r="S476" s="16">
        <f>IF(R476="","",INDEX(挂机升级突破!$AE$35:$AG$55,卡牌消耗!L476,INDEX(挂机升级突破!$X$35:$X$55,卡牌消耗!L476)))</f>
        <v>180</v>
      </c>
      <c r="T476" s="16" t="str">
        <f>IF(INDEX(挂机升级突破!$Y$35:$Y$55,卡牌消耗!L476)&gt;0,"灵玉","")</f>
        <v>灵玉</v>
      </c>
      <c r="U476" s="16">
        <f>IF(INDEX(挂机升级突破!$Y$35:$Y$55,卡牌消耗!L476)&gt;0,INDEX(挂机升级突破!$AH$35:$AH$55,卡牌消耗!L476),"")</f>
        <v>65</v>
      </c>
    </row>
    <row r="477" spans="9:21" ht="16.5" x14ac:dyDescent="0.2">
      <c r="I477" s="36">
        <v>441</v>
      </c>
      <c r="J477" s="16">
        <f t="shared" si="31"/>
        <v>1102021</v>
      </c>
      <c r="K477" s="16">
        <f t="shared" si="32"/>
        <v>2</v>
      </c>
      <c r="L477" s="16">
        <f t="shared" si="34"/>
        <v>21</v>
      </c>
      <c r="M477" s="16" t="str">
        <f t="shared" si="33"/>
        <v>黄</v>
      </c>
      <c r="N477" s="16" t="str">
        <f t="shared" si="35"/>
        <v>金币</v>
      </c>
      <c r="O477" s="16">
        <f>IF(L477&gt;1,INDEX(挂机升级突破!$AI$35:$AI$55,卡牌消耗!L477),"")</f>
        <v>214000</v>
      </c>
      <c r="P477" s="16" t="str">
        <f>IF(L477&gt;1,INDEX(价值概述!$A$4:$A$8,INDEX(挂机升级突破!$W$35:$W$55,卡牌消耗!L477)),"")</f>
        <v>红色基础材料</v>
      </c>
      <c r="Q477" s="16">
        <f>IF(L477&gt;1,INDEX(挂机升级突破!$Z$35:$AD$55,卡牌消耗!L477,INDEX(挂机升级突破!$W$35:$W$55,卡牌消耗!L477)),"")</f>
        <v>135</v>
      </c>
      <c r="R477" s="16" t="str">
        <f>IF(INDEX(挂机升级突破!$X$35:$X$55,卡牌消耗!L477)&gt;0,INDEX($G$2:$I$2,INDEX(挂机升级突破!$X$35:$X$55,卡牌消耗!L477))&amp;M477,"")</f>
        <v>高级黄</v>
      </c>
      <c r="S477" s="16">
        <f>IF(R477="","",INDEX(挂机升级突破!$AE$35:$AG$55,卡牌消耗!L477,INDEX(挂机升级突破!$X$35:$X$55,卡牌消耗!L477)))</f>
        <v>225</v>
      </c>
      <c r="T477" s="16" t="str">
        <f>IF(INDEX(挂机升级突破!$Y$35:$Y$55,卡牌消耗!L477)&gt;0,"灵玉","")</f>
        <v>灵玉</v>
      </c>
      <c r="U477" s="16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workbookViewId="0">
      <selection activeCell="L12" sqref="L12"/>
    </sheetView>
  </sheetViews>
  <sheetFormatPr defaultRowHeight="14.25" x14ac:dyDescent="0.2"/>
  <cols>
    <col min="2" max="2" width="9.875" customWidth="1"/>
    <col min="3" max="3" width="9.75" customWidth="1"/>
    <col min="4" max="4" width="10.125" customWidth="1"/>
  </cols>
  <sheetData>
    <row r="3" spans="1:8" x14ac:dyDescent="0.2">
      <c r="A3" s="78" t="s">
        <v>390</v>
      </c>
      <c r="B3" s="78"/>
      <c r="C3" s="78"/>
      <c r="D3" s="78"/>
      <c r="E3" s="78"/>
      <c r="F3" s="78"/>
      <c r="G3" s="78"/>
      <c r="H3" s="78"/>
    </row>
    <row r="4" spans="1:8" ht="17.25" x14ac:dyDescent="0.2">
      <c r="A4" s="12" t="s">
        <v>394</v>
      </c>
      <c r="B4" s="12" t="s">
        <v>393</v>
      </c>
      <c r="C4" s="12" t="s">
        <v>377</v>
      </c>
      <c r="D4" s="12" t="s">
        <v>378</v>
      </c>
      <c r="E4" s="12" t="s">
        <v>391</v>
      </c>
      <c r="F4" s="12" t="s">
        <v>377</v>
      </c>
      <c r="G4" s="12" t="s">
        <v>378</v>
      </c>
      <c r="H4" s="12" t="s">
        <v>379</v>
      </c>
    </row>
    <row r="5" spans="1:8" ht="16.5" x14ac:dyDescent="0.2">
      <c r="A5" s="41">
        <v>4</v>
      </c>
      <c r="B5" s="16">
        <f>节奏总表!Q7</f>
        <v>0.6</v>
      </c>
      <c r="C5" s="16">
        <v>20</v>
      </c>
      <c r="D5" s="16"/>
      <c r="E5" s="16"/>
      <c r="F5" s="16"/>
      <c r="G5" s="16"/>
      <c r="H5" s="16"/>
    </row>
    <row r="6" spans="1:8" ht="16.5" x14ac:dyDescent="0.2">
      <c r="A6" s="41">
        <v>5</v>
      </c>
      <c r="B6" s="16">
        <f>节奏总表!Q8</f>
        <v>1</v>
      </c>
      <c r="C6" s="16">
        <v>30</v>
      </c>
      <c r="D6" s="16"/>
      <c r="E6" s="16"/>
      <c r="F6" s="16"/>
      <c r="G6" s="16"/>
      <c r="H6" s="16"/>
    </row>
    <row r="7" spans="1:8" ht="16.5" x14ac:dyDescent="0.2">
      <c r="A7" s="41">
        <v>6</v>
      </c>
      <c r="B7" s="16">
        <f>节奏总表!Q9</f>
        <v>1.5</v>
      </c>
      <c r="C7" s="16">
        <v>50</v>
      </c>
      <c r="D7" s="16"/>
      <c r="E7" s="16"/>
      <c r="F7" s="16"/>
      <c r="G7" s="16"/>
      <c r="H7" s="16"/>
    </row>
    <row r="8" spans="1:8" ht="16.5" x14ac:dyDescent="0.2">
      <c r="A8" s="41">
        <v>7</v>
      </c>
      <c r="B8" s="16">
        <f>节奏总表!Q10</f>
        <v>2</v>
      </c>
      <c r="C8" s="16">
        <v>100</v>
      </c>
      <c r="D8" s="16"/>
      <c r="E8" s="16"/>
      <c r="F8" s="16"/>
      <c r="G8" s="16"/>
      <c r="H8" s="16"/>
    </row>
    <row r="9" spans="1:8" ht="16.5" x14ac:dyDescent="0.2">
      <c r="A9" s="41">
        <v>8</v>
      </c>
      <c r="B9" s="16">
        <f>节奏总表!Q11</f>
        <v>2.5</v>
      </c>
      <c r="C9" s="16"/>
      <c r="D9" s="16">
        <v>20</v>
      </c>
      <c r="E9" s="16"/>
      <c r="F9" s="16"/>
      <c r="G9" s="16"/>
      <c r="H9" s="16"/>
    </row>
    <row r="10" spans="1:8" ht="16.5" x14ac:dyDescent="0.2">
      <c r="A10" s="41">
        <v>9</v>
      </c>
      <c r="B10" s="16">
        <f>节奏总表!Q12</f>
        <v>3.75</v>
      </c>
      <c r="C10" s="16"/>
      <c r="D10" s="16">
        <v>30</v>
      </c>
      <c r="E10" s="16"/>
      <c r="F10" s="16"/>
      <c r="G10" s="16"/>
      <c r="H10" s="16"/>
    </row>
    <row r="11" spans="1:8" ht="16.5" x14ac:dyDescent="0.2">
      <c r="A11" s="41">
        <v>10</v>
      </c>
      <c r="B11" s="16">
        <f>节奏总表!Q13</f>
        <v>6.25</v>
      </c>
      <c r="C11" s="16"/>
      <c r="D11" s="16">
        <v>50</v>
      </c>
      <c r="E11" s="16"/>
      <c r="F11" s="16"/>
      <c r="G11" s="16"/>
      <c r="H11" s="16"/>
    </row>
    <row r="12" spans="1:8" ht="16.5" x14ac:dyDescent="0.2">
      <c r="A12" s="41">
        <v>11</v>
      </c>
      <c r="B12" s="16">
        <f>节奏总表!Q14</f>
        <v>10</v>
      </c>
      <c r="C12" s="16"/>
      <c r="D12" s="16">
        <v>100</v>
      </c>
      <c r="E12" s="16"/>
      <c r="F12" s="16"/>
      <c r="G12" s="16"/>
      <c r="H12" s="16"/>
    </row>
    <row r="13" spans="1:8" ht="16.5" x14ac:dyDescent="0.2">
      <c r="A13" s="41">
        <v>12</v>
      </c>
      <c r="B13" s="16">
        <f>节奏总表!Q15</f>
        <v>13.75</v>
      </c>
      <c r="C13" s="16"/>
      <c r="D13" s="16"/>
      <c r="E13" s="16">
        <v>20</v>
      </c>
      <c r="F13" s="16"/>
      <c r="G13" s="16"/>
      <c r="H13" s="16"/>
    </row>
    <row r="14" spans="1:8" ht="16.5" x14ac:dyDescent="0.2">
      <c r="A14" s="41">
        <v>13</v>
      </c>
      <c r="B14" s="16">
        <f>节奏总表!Q16</f>
        <v>17.5</v>
      </c>
      <c r="C14" s="16"/>
      <c r="D14" s="16"/>
      <c r="E14" s="16">
        <v>30</v>
      </c>
      <c r="F14" s="16"/>
      <c r="G14" s="16"/>
      <c r="H14" s="16"/>
    </row>
    <row r="15" spans="1:8" ht="16.5" x14ac:dyDescent="0.2">
      <c r="A15" s="41">
        <v>14</v>
      </c>
      <c r="B15" s="16">
        <f>节奏总表!Q17</f>
        <v>25</v>
      </c>
      <c r="C15" s="16"/>
      <c r="D15" s="16"/>
      <c r="E15" s="16">
        <v>50</v>
      </c>
      <c r="F15" s="16"/>
      <c r="G15" s="16"/>
      <c r="H15" s="16"/>
    </row>
    <row r="16" spans="1:8" ht="16.5" x14ac:dyDescent="0.2">
      <c r="A16" s="41">
        <v>15</v>
      </c>
      <c r="B16" s="16">
        <f>节奏总表!Q18</f>
        <v>37.5</v>
      </c>
      <c r="C16" s="16"/>
      <c r="D16" s="16"/>
      <c r="E16" s="16">
        <v>100</v>
      </c>
      <c r="F16" s="16"/>
      <c r="G16" s="16"/>
      <c r="H16" s="16"/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55"/>
  <sheetViews>
    <sheetView topLeftCell="A37" workbookViewId="0">
      <selection activeCell="D52" sqref="D52:D54"/>
    </sheetView>
  </sheetViews>
  <sheetFormatPr defaultRowHeight="14.25" x14ac:dyDescent="0.2"/>
  <cols>
    <col min="1" max="1" width="16" customWidth="1"/>
  </cols>
  <sheetData>
    <row r="2" spans="1:3" ht="17.25" x14ac:dyDescent="0.2">
      <c r="A2" s="12" t="s">
        <v>16</v>
      </c>
      <c r="B2" s="12" t="s">
        <v>20</v>
      </c>
      <c r="C2" s="12" t="s">
        <v>21</v>
      </c>
    </row>
    <row r="3" spans="1:3" ht="16.5" x14ac:dyDescent="0.2">
      <c r="A3" s="13" t="s">
        <v>22</v>
      </c>
      <c r="B3" s="13">
        <v>1000</v>
      </c>
      <c r="C3" s="13"/>
    </row>
    <row r="4" spans="1:3" ht="16.5" x14ac:dyDescent="0.2">
      <c r="A4" s="36" t="s">
        <v>369</v>
      </c>
      <c r="B4" s="36"/>
      <c r="C4" s="36"/>
    </row>
    <row r="5" spans="1:3" ht="16.5" x14ac:dyDescent="0.2">
      <c r="A5" s="36" t="s">
        <v>370</v>
      </c>
      <c r="B5" s="36"/>
      <c r="C5" s="36"/>
    </row>
    <row r="6" spans="1:3" ht="16.5" x14ac:dyDescent="0.2">
      <c r="A6" s="36" t="s">
        <v>371</v>
      </c>
      <c r="B6" s="36"/>
      <c r="C6" s="36"/>
    </row>
    <row r="7" spans="1:3" ht="16.5" x14ac:dyDescent="0.2">
      <c r="A7" s="36" t="s">
        <v>372</v>
      </c>
      <c r="B7" s="36"/>
      <c r="C7" s="36"/>
    </row>
    <row r="8" spans="1:3" ht="16.5" x14ac:dyDescent="0.2">
      <c r="A8" s="36" t="s">
        <v>368</v>
      </c>
      <c r="B8" s="36"/>
      <c r="C8" s="36"/>
    </row>
    <row r="9" spans="1:3" ht="16.5" x14ac:dyDescent="0.2">
      <c r="A9" s="13" t="s">
        <v>17</v>
      </c>
      <c r="B9" s="13">
        <v>500</v>
      </c>
      <c r="C9" s="13"/>
    </row>
    <row r="10" spans="1:3" ht="16.5" x14ac:dyDescent="0.2">
      <c r="A10" s="13" t="s">
        <v>18</v>
      </c>
      <c r="B10" s="13">
        <v>1200</v>
      </c>
      <c r="C10" s="13"/>
    </row>
    <row r="11" spans="1:3" ht="16.5" x14ac:dyDescent="0.2">
      <c r="A11" s="13" t="s">
        <v>19</v>
      </c>
      <c r="B11" s="13">
        <v>3500</v>
      </c>
      <c r="C11" s="13"/>
    </row>
    <row r="12" spans="1:3" ht="16.5" x14ac:dyDescent="0.2">
      <c r="A12" s="13" t="s">
        <v>23</v>
      </c>
      <c r="B12" s="13"/>
      <c r="C12" s="13">
        <v>10</v>
      </c>
    </row>
    <row r="13" spans="1:3" ht="16.5" x14ac:dyDescent="0.2">
      <c r="A13" s="13" t="s">
        <v>24</v>
      </c>
      <c r="B13" s="13"/>
      <c r="C13" s="13">
        <v>1</v>
      </c>
    </row>
    <row r="14" spans="1:3" ht="16.5" x14ac:dyDescent="0.2">
      <c r="A14" s="13" t="s">
        <v>411</v>
      </c>
      <c r="B14" s="13"/>
      <c r="C14" s="13">
        <v>15</v>
      </c>
    </row>
    <row r="15" spans="1:3" ht="16.5" x14ac:dyDescent="0.2">
      <c r="A15" s="41" t="s">
        <v>412</v>
      </c>
      <c r="B15" s="13"/>
      <c r="C15" s="41">
        <v>15</v>
      </c>
    </row>
    <row r="16" spans="1:3" ht="16.5" x14ac:dyDescent="0.2">
      <c r="A16" s="41" t="s">
        <v>413</v>
      </c>
      <c r="B16" s="13"/>
      <c r="C16" s="13">
        <v>20</v>
      </c>
    </row>
    <row r="17" spans="1:3" ht="16.5" x14ac:dyDescent="0.2">
      <c r="A17" s="41" t="s">
        <v>414</v>
      </c>
      <c r="B17" s="41"/>
      <c r="C17" s="41">
        <v>20</v>
      </c>
    </row>
    <row r="18" spans="1:3" ht="16.5" x14ac:dyDescent="0.2">
      <c r="A18" s="41" t="s">
        <v>415</v>
      </c>
      <c r="B18" s="41"/>
      <c r="C18" s="41">
        <v>35</v>
      </c>
    </row>
    <row r="19" spans="1:3" ht="16.5" x14ac:dyDescent="0.2">
      <c r="A19" s="41" t="s">
        <v>416</v>
      </c>
      <c r="B19" s="41"/>
      <c r="C19" s="41">
        <v>35</v>
      </c>
    </row>
    <row r="20" spans="1:3" ht="16.5" x14ac:dyDescent="0.2">
      <c r="A20" s="41" t="s">
        <v>417</v>
      </c>
      <c r="B20" s="41"/>
      <c r="C20" s="41">
        <v>35</v>
      </c>
    </row>
    <row r="21" spans="1:3" ht="16.5" x14ac:dyDescent="0.2">
      <c r="A21" s="41" t="s">
        <v>418</v>
      </c>
      <c r="B21" s="41"/>
      <c r="C21" s="41">
        <v>35</v>
      </c>
    </row>
    <row r="22" spans="1:3" ht="16.5" x14ac:dyDescent="0.2">
      <c r="A22" s="41" t="s">
        <v>419</v>
      </c>
      <c r="B22" s="41"/>
      <c r="C22" s="41">
        <v>50</v>
      </c>
    </row>
    <row r="23" spans="1:3" ht="16.5" x14ac:dyDescent="0.2">
      <c r="A23" s="41" t="s">
        <v>420</v>
      </c>
      <c r="B23" s="41"/>
      <c r="C23" s="41">
        <v>50</v>
      </c>
    </row>
    <row r="24" spans="1:3" ht="16.5" x14ac:dyDescent="0.2">
      <c r="A24" s="41" t="s">
        <v>421</v>
      </c>
      <c r="B24" s="41"/>
      <c r="C24" s="41">
        <v>50</v>
      </c>
    </row>
    <row r="25" spans="1:3" ht="16.5" x14ac:dyDescent="0.2">
      <c r="A25" s="41" t="s">
        <v>422</v>
      </c>
      <c r="B25" s="41"/>
      <c r="C25" s="41">
        <v>50</v>
      </c>
    </row>
    <row r="26" spans="1:3" ht="16.5" x14ac:dyDescent="0.2">
      <c r="A26" s="41" t="s">
        <v>423</v>
      </c>
      <c r="B26" s="41"/>
      <c r="C26" s="41">
        <v>75</v>
      </c>
    </row>
    <row r="27" spans="1:3" ht="16.5" x14ac:dyDescent="0.2">
      <c r="A27" s="41" t="s">
        <v>424</v>
      </c>
      <c r="B27" s="41"/>
      <c r="C27" s="41">
        <v>75</v>
      </c>
    </row>
    <row r="28" spans="1:3" ht="16.5" x14ac:dyDescent="0.2">
      <c r="A28" s="41" t="s">
        <v>425</v>
      </c>
      <c r="B28" s="41"/>
      <c r="C28" s="41">
        <v>75</v>
      </c>
    </row>
    <row r="29" spans="1:3" ht="16.5" x14ac:dyDescent="0.2">
      <c r="A29" s="41" t="s">
        <v>426</v>
      </c>
      <c r="B29" s="41"/>
      <c r="C29" s="41">
        <v>75</v>
      </c>
    </row>
    <row r="30" spans="1:3" ht="16.5" x14ac:dyDescent="0.2">
      <c r="A30" s="41" t="s">
        <v>427</v>
      </c>
      <c r="B30" s="41"/>
      <c r="C30" s="41">
        <v>200</v>
      </c>
    </row>
    <row r="31" spans="1:3" ht="16.5" x14ac:dyDescent="0.2">
      <c r="A31" s="41" t="s">
        <v>428</v>
      </c>
      <c r="B31" s="41"/>
      <c r="C31" s="41">
        <v>200</v>
      </c>
    </row>
    <row r="32" spans="1:3" ht="16.5" x14ac:dyDescent="0.2">
      <c r="A32" s="41" t="s">
        <v>429</v>
      </c>
      <c r="B32" s="41"/>
      <c r="C32" s="41">
        <v>75</v>
      </c>
    </row>
    <row r="33" spans="1:3" ht="16.5" x14ac:dyDescent="0.2">
      <c r="A33" s="41" t="s">
        <v>430</v>
      </c>
      <c r="B33" s="41"/>
      <c r="C33" s="41">
        <v>75</v>
      </c>
    </row>
    <row r="34" spans="1:3" ht="16.5" x14ac:dyDescent="0.2">
      <c r="A34" s="41" t="s">
        <v>431</v>
      </c>
      <c r="B34" s="41"/>
      <c r="C34" s="41">
        <v>75</v>
      </c>
    </row>
    <row r="35" spans="1:3" ht="16.5" x14ac:dyDescent="0.2">
      <c r="A35" s="41" t="s">
        <v>432</v>
      </c>
      <c r="B35" s="41"/>
      <c r="C35" s="41">
        <v>75</v>
      </c>
    </row>
    <row r="36" spans="1:3" ht="16.5" x14ac:dyDescent="0.2">
      <c r="A36" s="41" t="s">
        <v>433</v>
      </c>
      <c r="B36" s="41"/>
      <c r="C36" s="41">
        <v>200</v>
      </c>
    </row>
    <row r="37" spans="1:3" ht="16.5" x14ac:dyDescent="0.2">
      <c r="A37" s="41" t="s">
        <v>434</v>
      </c>
      <c r="B37" s="41"/>
      <c r="C37" s="41">
        <v>200</v>
      </c>
    </row>
    <row r="38" spans="1:3" ht="16.5" x14ac:dyDescent="0.2">
      <c r="A38" s="41" t="s">
        <v>435</v>
      </c>
      <c r="B38" s="41"/>
      <c r="C38" s="41">
        <v>75</v>
      </c>
    </row>
    <row r="39" spans="1:3" ht="16.5" x14ac:dyDescent="0.2">
      <c r="A39" s="41" t="s">
        <v>436</v>
      </c>
      <c r="B39" s="41"/>
      <c r="C39" s="41">
        <v>75</v>
      </c>
    </row>
    <row r="40" spans="1:3" ht="16.5" x14ac:dyDescent="0.2">
      <c r="A40" s="41" t="s">
        <v>437</v>
      </c>
      <c r="B40" s="41"/>
      <c r="C40" s="41">
        <v>75</v>
      </c>
    </row>
    <row r="41" spans="1:3" ht="16.5" x14ac:dyDescent="0.2">
      <c r="A41" s="41" t="s">
        <v>438</v>
      </c>
      <c r="B41" s="41"/>
      <c r="C41" s="41">
        <v>75</v>
      </c>
    </row>
    <row r="42" spans="1:3" ht="16.5" x14ac:dyDescent="0.2">
      <c r="A42" s="41" t="s">
        <v>439</v>
      </c>
      <c r="B42" s="41"/>
      <c r="C42" s="41">
        <v>200</v>
      </c>
    </row>
    <row r="43" spans="1:3" ht="16.5" x14ac:dyDescent="0.2">
      <c r="A43" s="41" t="s">
        <v>440</v>
      </c>
      <c r="B43" s="41"/>
      <c r="C43" s="41">
        <v>200</v>
      </c>
    </row>
    <row r="44" spans="1:3" ht="16.5" x14ac:dyDescent="0.2">
      <c r="A44" s="18" t="s">
        <v>27</v>
      </c>
      <c r="B44" s="18"/>
      <c r="C44" s="18">
        <v>7</v>
      </c>
    </row>
    <row r="45" spans="1:3" ht="16.5" x14ac:dyDescent="0.2">
      <c r="A45" s="18" t="s">
        <v>28</v>
      </c>
      <c r="B45" s="18"/>
      <c r="C45" s="18">
        <v>35</v>
      </c>
    </row>
    <row r="46" spans="1:3" ht="16.5" x14ac:dyDescent="0.2">
      <c r="A46" s="18" t="s">
        <v>29</v>
      </c>
      <c r="B46" s="18"/>
      <c r="C46" s="18">
        <v>100</v>
      </c>
    </row>
    <row r="47" spans="1:3" ht="16.5" x14ac:dyDescent="0.2">
      <c r="A47" s="13" t="s">
        <v>30</v>
      </c>
      <c r="B47" s="13"/>
      <c r="C47" s="13">
        <v>10</v>
      </c>
    </row>
    <row r="48" spans="1:3" ht="16.5" x14ac:dyDescent="0.2">
      <c r="A48" s="13" t="s">
        <v>31</v>
      </c>
      <c r="B48" s="13"/>
      <c r="C48" s="13">
        <v>50</v>
      </c>
    </row>
    <row r="49" spans="1:3" ht="16.5" x14ac:dyDescent="0.2">
      <c r="A49" s="13" t="s">
        <v>32</v>
      </c>
      <c r="B49" s="13"/>
      <c r="C49" s="13">
        <v>200</v>
      </c>
    </row>
    <row r="50" spans="1:3" ht="16.5" x14ac:dyDescent="0.2">
      <c r="A50" s="13" t="s">
        <v>25</v>
      </c>
      <c r="B50" s="13"/>
      <c r="C50" s="13">
        <v>350</v>
      </c>
    </row>
    <row r="51" spans="1:3" ht="16.5" x14ac:dyDescent="0.2">
      <c r="A51" s="13" t="s">
        <v>26</v>
      </c>
      <c r="B51" s="13"/>
      <c r="C51" s="13">
        <v>75</v>
      </c>
    </row>
    <row r="52" spans="1:3" ht="16.5" x14ac:dyDescent="0.2">
      <c r="A52" s="13" t="s">
        <v>441</v>
      </c>
      <c r="B52" s="13">
        <v>5000</v>
      </c>
      <c r="C52" s="13">
        <v>5</v>
      </c>
    </row>
    <row r="53" spans="1:3" ht="16.5" x14ac:dyDescent="0.2">
      <c r="A53" s="13" t="s">
        <v>442</v>
      </c>
      <c r="B53" s="13">
        <v>10000</v>
      </c>
      <c r="C53" s="13">
        <v>10</v>
      </c>
    </row>
    <row r="54" spans="1:3" ht="16.5" x14ac:dyDescent="0.2">
      <c r="A54" s="13" t="s">
        <v>443</v>
      </c>
      <c r="B54" s="13">
        <v>35000</v>
      </c>
      <c r="C54" s="13">
        <v>35</v>
      </c>
    </row>
    <row r="55" spans="1:3" ht="16.5" x14ac:dyDescent="0.2">
      <c r="A55" s="27" t="s">
        <v>225</v>
      </c>
      <c r="B55" s="27"/>
      <c r="C55" s="27">
        <v>1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21"/>
  <sheetViews>
    <sheetView workbookViewId="0">
      <selection activeCell="E23" sqref="E23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375" customWidth="1"/>
    <col min="12" max="12" width="10.75" customWidth="1"/>
    <col min="13" max="13" width="7.75" customWidth="1"/>
    <col min="14" max="14" width="9" customWidth="1"/>
    <col min="15" max="15" width="8.25" customWidth="1"/>
    <col min="16" max="16" width="45.625" customWidth="1"/>
  </cols>
  <sheetData>
    <row r="3" spans="1:17" ht="17.25" x14ac:dyDescent="0.2">
      <c r="A3" s="12" t="s">
        <v>154</v>
      </c>
      <c r="B3" s="12" t="s">
        <v>155</v>
      </c>
      <c r="C3" s="12" t="s">
        <v>158</v>
      </c>
      <c r="D3" s="12" t="s">
        <v>159</v>
      </c>
      <c r="F3" s="31" t="s">
        <v>156</v>
      </c>
      <c r="G3" s="27">
        <v>100</v>
      </c>
      <c r="I3" s="12" t="s">
        <v>180</v>
      </c>
      <c r="J3" s="12" t="s">
        <v>147</v>
      </c>
      <c r="K3" s="12" t="s">
        <v>149</v>
      </c>
      <c r="L3" s="12" t="s">
        <v>166</v>
      </c>
      <c r="M3" s="12" t="s">
        <v>167</v>
      </c>
      <c r="N3" s="12" t="s">
        <v>168</v>
      </c>
      <c r="O3" s="12" t="s">
        <v>169</v>
      </c>
      <c r="P3" s="12" t="s">
        <v>161</v>
      </c>
      <c r="Q3" s="12" t="s">
        <v>210</v>
      </c>
    </row>
    <row r="4" spans="1:17" ht="17.25" x14ac:dyDescent="0.2">
      <c r="A4" s="27">
        <v>24</v>
      </c>
      <c r="B4" s="27">
        <v>30</v>
      </c>
      <c r="C4" s="27">
        <v>40</v>
      </c>
      <c r="D4" s="27">
        <v>50</v>
      </c>
      <c r="F4" s="31" t="s">
        <v>157</v>
      </c>
      <c r="G4" s="27">
        <v>110</v>
      </c>
      <c r="I4" s="27">
        <v>1</v>
      </c>
      <c r="J4" s="27" t="s">
        <v>148</v>
      </c>
      <c r="K4" s="27">
        <v>2</v>
      </c>
      <c r="L4" s="27">
        <v>1</v>
      </c>
      <c r="M4" s="16">
        <f>ROUND((SUM($K$4:$K4)-SUM($L$4:$L4))/B$4,2)</f>
        <v>0.03</v>
      </c>
      <c r="N4" s="16">
        <f>ROUND((SUM($K$4:$K4)-SUM($L$4:$L4))/C$4,2)</f>
        <v>0.03</v>
      </c>
      <c r="O4" s="16">
        <f>ROUND((SUM($K$4:$K4)-SUM($L$4:$L4))/D$4,2)</f>
        <v>0.02</v>
      </c>
      <c r="P4" s="27" t="s">
        <v>162</v>
      </c>
      <c r="Q4" s="16">
        <f>N4</f>
        <v>0.03</v>
      </c>
    </row>
    <row r="5" spans="1:17" ht="16.5" x14ac:dyDescent="0.2">
      <c r="I5" s="27">
        <v>2</v>
      </c>
      <c r="J5" s="27" t="s">
        <v>150</v>
      </c>
      <c r="K5" s="27">
        <v>4</v>
      </c>
      <c r="L5" s="27">
        <v>1</v>
      </c>
      <c r="M5" s="16">
        <f>ROUND((SUM($K$4:$K5)-SUM($L$4:$L5))/B$4,2)</f>
        <v>0.13</v>
      </c>
      <c r="N5" s="16">
        <f>ROUND((SUM($K$4:$K5)-SUM($L$4:$L5))/C$4,2)</f>
        <v>0.1</v>
      </c>
      <c r="O5" s="16">
        <f>ROUND((SUM($K$4:$K5)-SUM($L$4:$L5))/D$4,2)</f>
        <v>0.08</v>
      </c>
      <c r="P5" s="27" t="s">
        <v>163</v>
      </c>
      <c r="Q5" s="16">
        <f>N5-N4</f>
        <v>7.0000000000000007E-2</v>
      </c>
    </row>
    <row r="6" spans="1:17" ht="17.25" x14ac:dyDescent="0.2">
      <c r="A6" s="12" t="s">
        <v>160</v>
      </c>
      <c r="I6" s="27">
        <v>3</v>
      </c>
      <c r="J6" s="27" t="s">
        <v>151</v>
      </c>
      <c r="K6" s="27">
        <v>12</v>
      </c>
      <c r="L6" s="27"/>
      <c r="M6" s="16">
        <f>ROUND((SUM($K$4:$K6)-SUM($L$4:$L6))/B$4,2)</f>
        <v>0.53</v>
      </c>
      <c r="N6" s="16">
        <f>ROUND((SUM($K$4:$K6)-SUM($L$4:$L6))/C$4,2)</f>
        <v>0.4</v>
      </c>
      <c r="O6" s="16">
        <f>ROUND((SUM($K$4:$K6)-SUM($L$4:$L6))/D$4,2)</f>
        <v>0.32</v>
      </c>
      <c r="P6" s="27" t="s">
        <v>164</v>
      </c>
      <c r="Q6" s="16">
        <f t="shared" ref="Q6:Q18" si="0">N6-N5</f>
        <v>0.30000000000000004</v>
      </c>
    </row>
    <row r="7" spans="1:17" ht="18" customHeight="1" x14ac:dyDescent="0.2">
      <c r="A7" s="27">
        <v>20</v>
      </c>
      <c r="I7" s="27">
        <v>4</v>
      </c>
      <c r="J7" s="27" t="s">
        <v>152</v>
      </c>
      <c r="K7" s="27">
        <v>24</v>
      </c>
      <c r="L7" s="27"/>
      <c r="M7" s="16">
        <f>ROUND((SUM($K$4:$K7)-SUM($L$4:$L7))/B$4,2)</f>
        <v>1.33</v>
      </c>
      <c r="N7" s="16">
        <f>ROUND((SUM($K$4:$K7)-SUM($L$4:$L7))/C$4,2)</f>
        <v>1</v>
      </c>
      <c r="O7" s="16">
        <f>ROUND((SUM($K$4:$K7)-SUM($L$4:$L7))/D$4,2)</f>
        <v>0.8</v>
      </c>
      <c r="P7" s="27" t="s">
        <v>165</v>
      </c>
      <c r="Q7" s="16">
        <f t="shared" si="0"/>
        <v>0.6</v>
      </c>
    </row>
    <row r="8" spans="1:17" ht="16.5" x14ac:dyDescent="0.2">
      <c r="A8" s="27">
        <v>30</v>
      </c>
      <c r="I8" s="27">
        <v>5</v>
      </c>
      <c r="J8" s="27" t="s">
        <v>153</v>
      </c>
      <c r="K8" s="27">
        <v>40</v>
      </c>
      <c r="L8" s="27"/>
      <c r="M8" s="16">
        <f>ROUND((SUM($K$4:$K8)-SUM($L$4:$L8))/B$4,2)</f>
        <v>2.67</v>
      </c>
      <c r="N8" s="16">
        <f>ROUND((SUM($K$4:$K8)-SUM($L$4:$L8))/C$4,2)</f>
        <v>2</v>
      </c>
      <c r="O8" s="16">
        <f>ROUND((SUM($K$4:$K8)-SUM($L$4:$L8))/D$4,2)</f>
        <v>1.6</v>
      </c>
      <c r="P8" s="27"/>
      <c r="Q8" s="16">
        <f t="shared" si="0"/>
        <v>1</v>
      </c>
    </row>
    <row r="9" spans="1:17" ht="16.5" x14ac:dyDescent="0.2">
      <c r="A9" s="27">
        <v>30</v>
      </c>
      <c r="I9" s="27">
        <v>6</v>
      </c>
      <c r="J9" s="27" t="s">
        <v>170</v>
      </c>
      <c r="K9" s="27">
        <v>60</v>
      </c>
      <c r="L9" s="27"/>
      <c r="M9" s="16">
        <f>ROUND((SUM($K$4:$K9)-SUM($L$4:$L9))/B$4,2)</f>
        <v>4.67</v>
      </c>
      <c r="N9" s="16">
        <f>ROUND((SUM($K$4:$K9)-SUM($L$4:$L9))/C$4,2)</f>
        <v>3.5</v>
      </c>
      <c r="O9" s="16">
        <f>ROUND((SUM($K$4:$K9)-SUM($L$4:$L9))/D$4,2)</f>
        <v>2.8</v>
      </c>
      <c r="P9" s="27"/>
      <c r="Q9" s="16">
        <f t="shared" si="0"/>
        <v>1.5</v>
      </c>
    </row>
    <row r="10" spans="1:17" ht="16.5" x14ac:dyDescent="0.2">
      <c r="A10" s="27">
        <v>40</v>
      </c>
      <c r="I10" s="27">
        <v>7</v>
      </c>
      <c r="J10" s="27" t="s">
        <v>171</v>
      </c>
      <c r="K10" s="27">
        <v>80</v>
      </c>
      <c r="L10" s="27"/>
      <c r="M10" s="16">
        <f>ROUND((SUM($K$4:$K10)-SUM($L$4:$L10))/B$4,2)</f>
        <v>7.33</v>
      </c>
      <c r="N10" s="16">
        <f>ROUND((SUM($K$4:$K10)-SUM($L$4:$L10))/C$4,2)</f>
        <v>5.5</v>
      </c>
      <c r="O10" s="16">
        <f>ROUND((SUM($K$4:$K10)-SUM($L$4:$L10))/D$4,2)</f>
        <v>4.4000000000000004</v>
      </c>
      <c r="P10" s="27"/>
      <c r="Q10" s="16">
        <f t="shared" si="0"/>
        <v>2</v>
      </c>
    </row>
    <row r="11" spans="1:17" ht="16.5" x14ac:dyDescent="0.2">
      <c r="A11" s="27">
        <v>40</v>
      </c>
      <c r="I11" s="27">
        <v>8</v>
      </c>
      <c r="J11" s="27" t="s">
        <v>172</v>
      </c>
      <c r="K11" s="27">
        <v>100</v>
      </c>
      <c r="L11" s="27"/>
      <c r="M11" s="16">
        <f>ROUND((SUM($K$4:$K11)-SUM($L$4:$L11))/B$4,2)</f>
        <v>10.67</v>
      </c>
      <c r="N11" s="16">
        <f>ROUND((SUM($K$4:$K11)-SUM($L$4:$L11))/C$4,2)</f>
        <v>8</v>
      </c>
      <c r="O11" s="16">
        <f>ROUND((SUM($K$4:$K11)-SUM($L$4:$L11))/D$4,2)</f>
        <v>6.4</v>
      </c>
      <c r="P11" s="27"/>
      <c r="Q11" s="16">
        <f t="shared" si="0"/>
        <v>2.5</v>
      </c>
    </row>
    <row r="12" spans="1:17" ht="16.5" x14ac:dyDescent="0.2">
      <c r="A12" s="27">
        <v>50</v>
      </c>
      <c r="B12" s="16">
        <f>SUM(A7:A12)</f>
        <v>210</v>
      </c>
      <c r="I12" s="27">
        <v>9</v>
      </c>
      <c r="J12" s="27" t="s">
        <v>173</v>
      </c>
      <c r="K12" s="27">
        <v>150</v>
      </c>
      <c r="L12" s="27"/>
      <c r="M12" s="16">
        <f>ROUND((SUM($K$4:$K12)-SUM($L$4:$L12))/B$4,2)</f>
        <v>15.67</v>
      </c>
      <c r="N12" s="16">
        <f>ROUND((SUM($K$4:$K12)-SUM($L$4:$L12))/C$4,2)</f>
        <v>11.75</v>
      </c>
      <c r="O12" s="16">
        <f>ROUND((SUM($K$4:$K12)-SUM($L$4:$L12))/D$4,2)</f>
        <v>9.4</v>
      </c>
      <c r="P12" s="27"/>
      <c r="Q12" s="16">
        <f t="shared" si="0"/>
        <v>3.75</v>
      </c>
    </row>
    <row r="13" spans="1:17" ht="16.5" x14ac:dyDescent="0.2">
      <c r="A13" s="27">
        <v>60</v>
      </c>
      <c r="I13" s="27">
        <v>10</v>
      </c>
      <c r="J13" s="27" t="s">
        <v>174</v>
      </c>
      <c r="K13" s="27">
        <v>250</v>
      </c>
      <c r="L13" s="27"/>
      <c r="M13" s="16">
        <f>ROUND((SUM($K$4:$K13)-SUM($L$4:$L13))/B$4,2)</f>
        <v>24</v>
      </c>
      <c r="N13" s="16">
        <f>ROUND((SUM($K$4:$K13)-SUM($L$4:$L13))/C$4,2)</f>
        <v>18</v>
      </c>
      <c r="O13" s="16">
        <f>ROUND((SUM($K$4:$K13)-SUM($L$4:$L13))/D$4,2)</f>
        <v>14.4</v>
      </c>
      <c r="P13" s="27"/>
      <c r="Q13" s="16">
        <f t="shared" si="0"/>
        <v>6.25</v>
      </c>
    </row>
    <row r="14" spans="1:17" ht="16.5" x14ac:dyDescent="0.2">
      <c r="A14" s="27">
        <v>80</v>
      </c>
      <c r="I14" s="27">
        <v>11</v>
      </c>
      <c r="J14" s="27" t="s">
        <v>175</v>
      </c>
      <c r="K14" s="27">
        <v>400</v>
      </c>
      <c r="L14" s="27"/>
      <c r="M14" s="16">
        <f>ROUND((SUM($K$4:$K14)-SUM($L$4:$L14))/B$4,2)</f>
        <v>37.33</v>
      </c>
      <c r="N14" s="16">
        <f>ROUND((SUM($K$4:$K14)-SUM($L$4:$L14))/C$4,2)</f>
        <v>28</v>
      </c>
      <c r="O14" s="16">
        <f>ROUND((SUM($K$4:$K14)-SUM($L$4:$L14))/D$4,2)</f>
        <v>22.4</v>
      </c>
      <c r="P14" s="27"/>
      <c r="Q14" s="16">
        <f t="shared" si="0"/>
        <v>10</v>
      </c>
    </row>
    <row r="15" spans="1:17" ht="16.5" x14ac:dyDescent="0.2">
      <c r="A15" s="27">
        <v>90</v>
      </c>
      <c r="I15" s="27">
        <v>12</v>
      </c>
      <c r="J15" s="27" t="s">
        <v>176</v>
      </c>
      <c r="K15" s="27">
        <v>550</v>
      </c>
      <c r="L15" s="27"/>
      <c r="M15" s="16">
        <f>ROUND((SUM($K$4:$K15)-SUM($L$4:$L15))/B$4,2)</f>
        <v>55.67</v>
      </c>
      <c r="N15" s="16">
        <f>ROUND((SUM($K$4:$K15)-SUM($L$4:$L15))/C$4,2)</f>
        <v>41.75</v>
      </c>
      <c r="O15" s="16">
        <f>ROUND((SUM($K$4:$K15)-SUM($L$4:$L15))/D$4,2)</f>
        <v>33.4</v>
      </c>
      <c r="P15" s="27"/>
      <c r="Q15" s="16">
        <f t="shared" si="0"/>
        <v>13.75</v>
      </c>
    </row>
    <row r="16" spans="1:17" ht="16.5" x14ac:dyDescent="0.2">
      <c r="A16" s="27">
        <v>100</v>
      </c>
      <c r="I16" s="27">
        <v>13</v>
      </c>
      <c r="J16" s="27" t="s">
        <v>177</v>
      </c>
      <c r="K16" s="27">
        <v>700</v>
      </c>
      <c r="L16" s="27"/>
      <c r="M16" s="16">
        <f>ROUND((SUM($K$4:$K16)-SUM($L$4:$L16))/B$4,2)</f>
        <v>79</v>
      </c>
      <c r="N16" s="16">
        <f>ROUND((SUM($K$4:$K16)-SUM($L$4:$L16))/C$4,2)</f>
        <v>59.25</v>
      </c>
      <c r="O16" s="16">
        <f>ROUND((SUM($K$4:$K16)-SUM($L$4:$L16))/D$4,2)</f>
        <v>47.4</v>
      </c>
      <c r="P16" s="27"/>
      <c r="Q16" s="16">
        <f t="shared" si="0"/>
        <v>17.5</v>
      </c>
    </row>
    <row r="17" spans="1:17" ht="16.5" x14ac:dyDescent="0.2">
      <c r="A17" s="27">
        <v>120</v>
      </c>
      <c r="B17" s="16">
        <f>SUM(A7:A17)</f>
        <v>660</v>
      </c>
      <c r="I17" s="27">
        <v>14</v>
      </c>
      <c r="J17" s="27" t="s">
        <v>178</v>
      </c>
      <c r="K17" s="27">
        <v>1000</v>
      </c>
      <c r="L17" s="27"/>
      <c r="M17" s="16">
        <f>ROUND((SUM($K$4:$K17)-SUM($L$4:$L17))/B$4,2)</f>
        <v>112.33</v>
      </c>
      <c r="N17" s="16">
        <f>ROUND((SUM($K$4:$K17)-SUM($L$4:$L17))/C$4,2)</f>
        <v>84.25</v>
      </c>
      <c r="O17" s="16">
        <f>ROUND((SUM($K$4:$K17)-SUM($L$4:$L17))/D$4,2)</f>
        <v>67.400000000000006</v>
      </c>
      <c r="P17" s="27"/>
      <c r="Q17" s="16">
        <f t="shared" si="0"/>
        <v>25</v>
      </c>
    </row>
    <row r="18" spans="1:17" ht="16.5" x14ac:dyDescent="0.2">
      <c r="A18" s="17"/>
      <c r="I18" s="27">
        <v>15</v>
      </c>
      <c r="J18" s="27" t="s">
        <v>179</v>
      </c>
      <c r="K18" s="27">
        <v>1500</v>
      </c>
      <c r="L18" s="27"/>
      <c r="M18" s="16">
        <f>ROUND((SUM($K$4:$K18)-SUM($L$4:$L18))/B$4,2)</f>
        <v>162.33000000000001</v>
      </c>
      <c r="N18" s="16">
        <f>ROUND((SUM($K$4:$K18)-SUM($L$4:$L18))/C$4,2)</f>
        <v>121.75</v>
      </c>
      <c r="O18" s="16">
        <f>ROUND((SUM($K$4:$K18)-SUM($L$4:$L18))/D$4,2)</f>
        <v>97.4</v>
      </c>
      <c r="P18" s="27"/>
      <c r="Q18" s="16">
        <f t="shared" si="0"/>
        <v>37.5</v>
      </c>
    </row>
    <row r="19" spans="1:17" x14ac:dyDescent="0.2">
      <c r="A19" s="17"/>
    </row>
    <row r="20" spans="1:17" x14ac:dyDescent="0.2">
      <c r="A20" s="17"/>
    </row>
    <row r="21" spans="1:17" x14ac:dyDescent="0.2">
      <c r="A21" s="17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B215"/>
  <sheetViews>
    <sheetView topLeftCell="H1" workbookViewId="0">
      <selection activeCell="AC26" sqref="AC26"/>
    </sheetView>
  </sheetViews>
  <sheetFormatPr defaultRowHeight="14.25" x14ac:dyDescent="0.2"/>
  <cols>
    <col min="2" max="2" width="6.5" customWidth="1"/>
    <col min="4" max="4" width="5.875" customWidth="1"/>
    <col min="6" max="6" width="7.5" customWidth="1"/>
    <col min="7" max="7" width="5.375" customWidth="1"/>
    <col min="36" max="38" width="11.125" customWidth="1"/>
    <col min="42" max="42" width="9.625" customWidth="1"/>
    <col min="43" max="43" width="10.5" customWidth="1"/>
    <col min="44" max="46" width="10.625" customWidth="1"/>
  </cols>
  <sheetData>
    <row r="3" spans="1:54" ht="20.25" x14ac:dyDescent="0.2">
      <c r="A3" s="64" t="s">
        <v>184</v>
      </c>
      <c r="B3" s="64"/>
      <c r="C3" s="64"/>
      <c r="D3" s="64"/>
      <c r="E3" s="64"/>
      <c r="F3" s="64"/>
      <c r="G3" s="64"/>
      <c r="H3" s="64"/>
      <c r="I3" s="64"/>
      <c r="K3" s="63" t="s">
        <v>193</v>
      </c>
      <c r="L3" s="63"/>
      <c r="M3" s="63"/>
      <c r="N3" s="63"/>
      <c r="O3" s="63"/>
      <c r="P3" s="63"/>
      <c r="Q3" s="63"/>
      <c r="R3" s="63"/>
      <c r="S3" s="63"/>
      <c r="T3" s="63"/>
      <c r="V3" s="63" t="s">
        <v>199</v>
      </c>
      <c r="W3" s="63"/>
      <c r="X3" s="63"/>
      <c r="Y3" s="63"/>
      <c r="Z3" s="63"/>
      <c r="AA3" s="63"/>
      <c r="AB3" s="63"/>
      <c r="AC3" s="63"/>
      <c r="AD3" s="63"/>
      <c r="AE3" s="63"/>
      <c r="AG3" s="64" t="s">
        <v>181</v>
      </c>
      <c r="AH3" s="64"/>
      <c r="AI3" s="64"/>
      <c r="AJ3" s="64"/>
      <c r="AK3" s="64"/>
      <c r="AL3" s="64"/>
      <c r="AO3" s="64" t="s">
        <v>40</v>
      </c>
      <c r="AP3" s="64"/>
      <c r="AQ3" s="64"/>
      <c r="AR3" s="64"/>
      <c r="AS3" s="64"/>
      <c r="AT3" s="64"/>
      <c r="AW3" s="63" t="s">
        <v>41</v>
      </c>
      <c r="AX3" s="63"/>
      <c r="AY3" s="63"/>
      <c r="AZ3" s="63"/>
      <c r="BA3" s="63"/>
      <c r="BB3" s="63"/>
    </row>
    <row r="4" spans="1:54" ht="17.25" x14ac:dyDescent="0.2">
      <c r="A4" s="12" t="s">
        <v>34</v>
      </c>
      <c r="B4" s="12" t="s">
        <v>185</v>
      </c>
      <c r="C4" s="12" t="s">
        <v>36</v>
      </c>
      <c r="D4" s="12" t="s">
        <v>186</v>
      </c>
      <c r="E4" s="12" t="s">
        <v>188</v>
      </c>
      <c r="F4" s="12" t="s">
        <v>189</v>
      </c>
      <c r="G4" s="12" t="s">
        <v>187</v>
      </c>
      <c r="H4" s="12" t="s">
        <v>190</v>
      </c>
      <c r="I4" s="12" t="s">
        <v>192</v>
      </c>
      <c r="K4" s="12" t="s">
        <v>34</v>
      </c>
      <c r="L4" s="12" t="s">
        <v>198</v>
      </c>
      <c r="M4" s="12" t="s">
        <v>194</v>
      </c>
      <c r="N4" s="12" t="s">
        <v>195</v>
      </c>
      <c r="O4" s="12" t="s">
        <v>185</v>
      </c>
      <c r="P4" s="12" t="s">
        <v>196</v>
      </c>
      <c r="Q4" s="12" t="s">
        <v>197</v>
      </c>
      <c r="R4" s="12" t="s">
        <v>191</v>
      </c>
      <c r="S4" s="12" t="s">
        <v>450</v>
      </c>
      <c r="T4" s="12" t="s">
        <v>451</v>
      </c>
      <c r="V4" s="12" t="s">
        <v>34</v>
      </c>
      <c r="W4" s="12" t="s">
        <v>198</v>
      </c>
      <c r="X4" s="12" t="s">
        <v>194</v>
      </c>
      <c r="Y4" s="12" t="s">
        <v>195</v>
      </c>
      <c r="Z4" s="12" t="s">
        <v>185</v>
      </c>
      <c r="AA4" s="12" t="s">
        <v>196</v>
      </c>
      <c r="AB4" s="12" t="s">
        <v>197</v>
      </c>
      <c r="AC4" s="12" t="s">
        <v>191</v>
      </c>
      <c r="AD4" s="12" t="s">
        <v>450</v>
      </c>
      <c r="AE4" s="12" t="s">
        <v>451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196</v>
      </c>
      <c r="AL4" s="12" t="s">
        <v>191</v>
      </c>
      <c r="AO4" s="12" t="s">
        <v>33</v>
      </c>
      <c r="AP4" s="12" t="s">
        <v>34</v>
      </c>
      <c r="AQ4" s="12" t="s">
        <v>35</v>
      </c>
      <c r="AR4" s="12" t="s">
        <v>39</v>
      </c>
      <c r="AS4" s="12" t="s">
        <v>182</v>
      </c>
      <c r="AT4" s="12" t="s">
        <v>183</v>
      </c>
      <c r="AW4" s="12" t="s">
        <v>33</v>
      </c>
      <c r="AX4" s="12" t="s">
        <v>34</v>
      </c>
      <c r="AY4" s="12" t="s">
        <v>35</v>
      </c>
      <c r="AZ4" s="12" t="s">
        <v>39</v>
      </c>
      <c r="BA4" s="12" t="s">
        <v>182</v>
      </c>
      <c r="BB4" s="12" t="s">
        <v>183</v>
      </c>
    </row>
    <row r="5" spans="1:54" ht="16.5" x14ac:dyDescent="0.2">
      <c r="A5" s="27">
        <v>0</v>
      </c>
      <c r="B5" s="27">
        <v>0</v>
      </c>
      <c r="C5" s="27">
        <v>0</v>
      </c>
      <c r="D5" s="27">
        <v>0</v>
      </c>
      <c r="E5" s="27">
        <v>4</v>
      </c>
      <c r="F5" s="27">
        <v>0</v>
      </c>
      <c r="G5" s="27">
        <v>0</v>
      </c>
      <c r="H5" s="27">
        <v>10</v>
      </c>
      <c r="I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41">
        <v>0</v>
      </c>
      <c r="T5" s="41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41"/>
      <c r="AE5" s="41"/>
      <c r="AG5" s="27">
        <v>1</v>
      </c>
      <c r="AH5" s="27">
        <v>1</v>
      </c>
      <c r="AI5" s="27">
        <v>1</v>
      </c>
      <c r="AJ5" s="27">
        <f t="shared" ref="AJ5:AJ68" si="0">INDEX($C$6:$C$20,AH5)</f>
        <v>5</v>
      </c>
      <c r="AK5" s="27">
        <f>INT(INDEX($E$5:$E$20,AH5)+AI5*INDEX($F$6:$F$20,AH5))</f>
        <v>5</v>
      </c>
      <c r="AL5" s="27">
        <f>INT(INDEX($H$5:$H$20,AH5)+AI5*INDEX($I$6:$I$20,AH5))</f>
        <v>13</v>
      </c>
      <c r="AO5" s="19">
        <v>1</v>
      </c>
      <c r="AP5" s="19">
        <v>1</v>
      </c>
      <c r="AQ5" s="19">
        <v>1</v>
      </c>
      <c r="AR5" s="16">
        <f>INDEX($N$6:$N$20,AP5)</f>
        <v>100</v>
      </c>
      <c r="AS5" s="16">
        <f>INDEX($P$6:$P$20,AP5)</f>
        <v>300</v>
      </c>
      <c r="AT5" s="16">
        <f>INDEX($R$6:$R$20,AP5)</f>
        <v>1500</v>
      </c>
      <c r="AW5" s="19">
        <v>1</v>
      </c>
      <c r="AX5" s="19">
        <v>1</v>
      </c>
      <c r="AY5" s="19">
        <v>1</v>
      </c>
      <c r="AZ5" s="16">
        <f>INDEX($Y$6:$Y$20,AX5)</f>
        <v>200</v>
      </c>
      <c r="BA5" s="16">
        <f>INDEX($AA$6:$AA$20,AX5)</f>
        <v>600</v>
      </c>
      <c r="BB5" s="16">
        <f>INDEX($AC$6:$AC$20,AX5)</f>
        <v>2250</v>
      </c>
    </row>
    <row r="6" spans="1:54" ht="16.5" x14ac:dyDescent="0.2">
      <c r="A6" s="27">
        <v>1</v>
      </c>
      <c r="B6" s="27">
        <v>4</v>
      </c>
      <c r="C6" s="27">
        <v>5</v>
      </c>
      <c r="D6" s="27">
        <v>10</v>
      </c>
      <c r="E6" s="27">
        <v>10</v>
      </c>
      <c r="F6" s="27">
        <f>(E6-E5)/$B6</f>
        <v>1.5</v>
      </c>
      <c r="G6" s="27">
        <v>5</v>
      </c>
      <c r="H6" s="27">
        <f>C6*G6</f>
        <v>25</v>
      </c>
      <c r="I6" s="27">
        <f>(H6-H5)/$B6</f>
        <v>3.75</v>
      </c>
      <c r="K6" s="27">
        <v>1</v>
      </c>
      <c r="L6" s="27">
        <v>8</v>
      </c>
      <c r="M6" s="27">
        <v>20</v>
      </c>
      <c r="N6" s="27">
        <f>INDEX($C$6:$C$20,K6)*M6</f>
        <v>100</v>
      </c>
      <c r="O6" s="27">
        <v>30</v>
      </c>
      <c r="P6" s="27">
        <f>INDEX($E$6:$E$20,K6)*O6</f>
        <v>300</v>
      </c>
      <c r="Q6" s="27">
        <v>60</v>
      </c>
      <c r="R6" s="27">
        <f>INDEX($H$6:$H$20,K6)*Q6</f>
        <v>1500</v>
      </c>
      <c r="S6" s="41">
        <v>60</v>
      </c>
      <c r="T6" s="41">
        <f>INDEX($H$6:$H$20,K6)*S6</f>
        <v>1500</v>
      </c>
      <c r="V6" s="27">
        <v>1</v>
      </c>
      <c r="W6" s="27">
        <v>8</v>
      </c>
      <c r="X6" s="27">
        <v>40</v>
      </c>
      <c r="Y6" s="27">
        <f>INDEX($C$6:$C$20,V6)*X6</f>
        <v>200</v>
      </c>
      <c r="Z6" s="27">
        <v>60</v>
      </c>
      <c r="AA6" s="27">
        <f>INDEX($E$6:$E$20,V6)*Z6</f>
        <v>600</v>
      </c>
      <c r="AB6" s="27">
        <v>90</v>
      </c>
      <c r="AC6" s="27">
        <f>INDEX($H$6:$H$20,V6)*AB6</f>
        <v>2250</v>
      </c>
      <c r="AD6" s="41">
        <v>120</v>
      </c>
      <c r="AE6" s="41">
        <f>INDEX($H$6:$H$20,V6)*AD6</f>
        <v>3000</v>
      </c>
      <c r="AG6" s="27">
        <v>2</v>
      </c>
      <c r="AH6" s="27">
        <v>1</v>
      </c>
      <c r="AI6" s="27">
        <v>2</v>
      </c>
      <c r="AJ6" s="27">
        <f t="shared" si="0"/>
        <v>5</v>
      </c>
      <c r="AK6" s="27">
        <f t="shared" ref="AK6:AK69" si="1">INT(INDEX($E$5:$E$20,AH6)+AI6*INDEX($F$6:$F$20,AH6))</f>
        <v>7</v>
      </c>
      <c r="AL6" s="27">
        <f t="shared" ref="AL6:AL69" si="2">INT(INDEX($H$5:$H$20,AH6)+AI6*INDEX($I$6:$I$20,AH6))</f>
        <v>17</v>
      </c>
      <c r="AO6" s="19">
        <v>2</v>
      </c>
      <c r="AP6" s="19">
        <v>1</v>
      </c>
      <c r="AQ6" s="19">
        <v>2</v>
      </c>
      <c r="AR6" s="16">
        <f t="shared" ref="AR6:AR69" si="3">INDEX($N$6:$N$20,AP6)</f>
        <v>100</v>
      </c>
      <c r="AS6" s="16">
        <f t="shared" ref="AS6:AS69" si="4">INDEX($P$6:$P$20,AP6)</f>
        <v>300</v>
      </c>
      <c r="AT6" s="16">
        <f t="shared" ref="AT6:AT69" si="5">INDEX($R$6:$R$20,AP6)</f>
        <v>1500</v>
      </c>
      <c r="AW6" s="19">
        <v>2</v>
      </c>
      <c r="AX6" s="19">
        <v>1</v>
      </c>
      <c r="AY6" s="19">
        <v>2</v>
      </c>
      <c r="AZ6" s="16">
        <f t="shared" ref="AZ6:AZ69" si="6">INDEX($Y$6:$Y$20,AX6)</f>
        <v>200</v>
      </c>
      <c r="BA6" s="16">
        <f t="shared" ref="BA6:BA69" si="7">INDEX($AA$6:$AA$20,AX6)</f>
        <v>600</v>
      </c>
      <c r="BB6" s="16">
        <f t="shared" ref="BB6:BB69" si="8">INDEX($AC$6:$AC$20,AX6)</f>
        <v>2250</v>
      </c>
    </row>
    <row r="7" spans="1:54" ht="16.5" x14ac:dyDescent="0.2">
      <c r="A7" s="27">
        <v>2</v>
      </c>
      <c r="B7" s="27">
        <v>8</v>
      </c>
      <c r="C7" s="27">
        <v>7</v>
      </c>
      <c r="D7" s="27">
        <v>10</v>
      </c>
      <c r="E7" s="27">
        <v>15</v>
      </c>
      <c r="F7" s="27">
        <f t="shared" ref="F7:F20" si="9">(E7-E6)/$B7</f>
        <v>0.625</v>
      </c>
      <c r="G7" s="27">
        <v>6</v>
      </c>
      <c r="H7" s="27">
        <f t="shared" ref="H7:H20" si="10">C7*G7</f>
        <v>42</v>
      </c>
      <c r="I7" s="27">
        <f t="shared" ref="I7:I20" si="11">(H7-H6)/$B7</f>
        <v>2.125</v>
      </c>
      <c r="K7" s="27">
        <v>2</v>
      </c>
      <c r="L7" s="27">
        <v>9</v>
      </c>
      <c r="M7" s="27">
        <v>20</v>
      </c>
      <c r="N7" s="27">
        <f t="shared" ref="N7:N20" si="12">INDEX($C$6:$C$20,K7)*M7</f>
        <v>140</v>
      </c>
      <c r="O7" s="27">
        <v>30</v>
      </c>
      <c r="P7" s="27">
        <f t="shared" ref="P7:P20" si="13">INDEX($E$6:$E$20,K7)*O7</f>
        <v>450</v>
      </c>
      <c r="Q7" s="41">
        <v>60</v>
      </c>
      <c r="R7" s="27">
        <f t="shared" ref="R7:R20" si="14">INDEX($H$6:$H$20,K7)*Q7</f>
        <v>2520</v>
      </c>
      <c r="S7" s="41">
        <v>90</v>
      </c>
      <c r="T7" s="41">
        <f t="shared" ref="T7:T20" si="15">INDEX($H$6:$H$20,K7)*S7</f>
        <v>3780</v>
      </c>
      <c r="V7" s="27">
        <v>2</v>
      </c>
      <c r="W7" s="27">
        <v>9</v>
      </c>
      <c r="X7" s="27">
        <v>40</v>
      </c>
      <c r="Y7" s="27">
        <f t="shared" ref="Y7:Y20" si="16">INDEX($C$6:$C$20,V7)*X7</f>
        <v>280</v>
      </c>
      <c r="Z7" s="27">
        <v>60</v>
      </c>
      <c r="AA7" s="27">
        <f t="shared" ref="AA7:AA20" si="17">INDEX($E$6:$E$20,V7)*Z7</f>
        <v>900</v>
      </c>
      <c r="AB7" s="41">
        <v>90</v>
      </c>
      <c r="AC7" s="27">
        <f t="shared" ref="AC7:AC20" si="18">INDEX($H$6:$H$20,V7)*AB7</f>
        <v>3780</v>
      </c>
      <c r="AD7" s="41">
        <v>180</v>
      </c>
      <c r="AE7" s="41">
        <f t="shared" ref="AE7:AE20" si="19">INDEX($H$6:$H$20,V7)*AD7</f>
        <v>7560</v>
      </c>
      <c r="AG7" s="27">
        <v>3</v>
      </c>
      <c r="AH7" s="27">
        <v>1</v>
      </c>
      <c r="AI7" s="27">
        <v>3</v>
      </c>
      <c r="AJ7" s="27">
        <f t="shared" si="0"/>
        <v>5</v>
      </c>
      <c r="AK7" s="27">
        <f t="shared" si="1"/>
        <v>8</v>
      </c>
      <c r="AL7" s="27">
        <f t="shared" si="2"/>
        <v>21</v>
      </c>
      <c r="AO7" s="19">
        <v>3</v>
      </c>
      <c r="AP7" s="19">
        <v>1</v>
      </c>
      <c r="AQ7" s="19">
        <v>3</v>
      </c>
      <c r="AR7" s="16">
        <f t="shared" si="3"/>
        <v>100</v>
      </c>
      <c r="AS7" s="16">
        <f t="shared" si="4"/>
        <v>300</v>
      </c>
      <c r="AT7" s="16">
        <f t="shared" si="5"/>
        <v>1500</v>
      </c>
      <c r="AW7" s="19">
        <v>3</v>
      </c>
      <c r="AX7" s="19">
        <v>1</v>
      </c>
      <c r="AY7" s="19">
        <v>3</v>
      </c>
      <c r="AZ7" s="16">
        <f t="shared" si="6"/>
        <v>200</v>
      </c>
      <c r="BA7" s="16">
        <f t="shared" si="7"/>
        <v>600</v>
      </c>
      <c r="BB7" s="16">
        <f t="shared" si="8"/>
        <v>2250</v>
      </c>
    </row>
    <row r="8" spans="1:54" ht="16.5" x14ac:dyDescent="0.2">
      <c r="A8" s="27">
        <v>3</v>
      </c>
      <c r="B8" s="27">
        <v>9</v>
      </c>
      <c r="C8" s="27">
        <v>10</v>
      </c>
      <c r="D8" s="27">
        <v>10</v>
      </c>
      <c r="E8" s="27">
        <v>20</v>
      </c>
      <c r="F8" s="27">
        <f t="shared" si="9"/>
        <v>0.55555555555555558</v>
      </c>
      <c r="G8" s="27">
        <v>7</v>
      </c>
      <c r="H8" s="27">
        <f t="shared" si="10"/>
        <v>70</v>
      </c>
      <c r="I8" s="27">
        <f t="shared" si="11"/>
        <v>3.1111111111111112</v>
      </c>
      <c r="K8" s="27">
        <v>3</v>
      </c>
      <c r="L8" s="41">
        <v>9</v>
      </c>
      <c r="M8" s="27">
        <v>20</v>
      </c>
      <c r="N8" s="27">
        <f t="shared" si="12"/>
        <v>200</v>
      </c>
      <c r="O8" s="27">
        <v>30</v>
      </c>
      <c r="P8" s="27">
        <f t="shared" si="13"/>
        <v>600</v>
      </c>
      <c r="Q8" s="41">
        <v>60</v>
      </c>
      <c r="R8" s="27">
        <f t="shared" si="14"/>
        <v>4200</v>
      </c>
      <c r="S8" s="41">
        <v>120</v>
      </c>
      <c r="T8" s="41">
        <f t="shared" si="15"/>
        <v>8400</v>
      </c>
      <c r="V8" s="27">
        <v>3</v>
      </c>
      <c r="W8" s="27">
        <v>8</v>
      </c>
      <c r="X8" s="27">
        <v>40</v>
      </c>
      <c r="Y8" s="27">
        <f t="shared" si="16"/>
        <v>400</v>
      </c>
      <c r="Z8" s="27">
        <v>60</v>
      </c>
      <c r="AA8" s="27">
        <f t="shared" si="17"/>
        <v>1200</v>
      </c>
      <c r="AB8" s="41">
        <v>90</v>
      </c>
      <c r="AC8" s="27">
        <f t="shared" si="18"/>
        <v>6300</v>
      </c>
      <c r="AD8" s="41">
        <v>240</v>
      </c>
      <c r="AE8" s="41">
        <f t="shared" si="19"/>
        <v>16800</v>
      </c>
      <c r="AG8" s="27">
        <v>4</v>
      </c>
      <c r="AH8" s="27">
        <v>1</v>
      </c>
      <c r="AI8" s="27">
        <v>4</v>
      </c>
      <c r="AJ8" s="27">
        <f t="shared" si="0"/>
        <v>5</v>
      </c>
      <c r="AK8" s="27">
        <f t="shared" si="1"/>
        <v>10</v>
      </c>
      <c r="AL8" s="27">
        <f t="shared" si="2"/>
        <v>25</v>
      </c>
      <c r="AO8" s="19">
        <v>4</v>
      </c>
      <c r="AP8" s="19">
        <v>1</v>
      </c>
      <c r="AQ8" s="19">
        <v>4</v>
      </c>
      <c r="AR8" s="16">
        <f t="shared" si="3"/>
        <v>100</v>
      </c>
      <c r="AS8" s="16">
        <f t="shared" si="4"/>
        <v>300</v>
      </c>
      <c r="AT8" s="16">
        <f t="shared" si="5"/>
        <v>1500</v>
      </c>
      <c r="AW8" s="19">
        <v>4</v>
      </c>
      <c r="AX8" s="19">
        <v>1</v>
      </c>
      <c r="AY8" s="19">
        <v>4</v>
      </c>
      <c r="AZ8" s="16">
        <f t="shared" si="6"/>
        <v>200</v>
      </c>
      <c r="BA8" s="16">
        <f t="shared" si="7"/>
        <v>600</v>
      </c>
      <c r="BB8" s="16">
        <f t="shared" si="8"/>
        <v>2250</v>
      </c>
    </row>
    <row r="9" spans="1:54" ht="16.5" x14ac:dyDescent="0.2">
      <c r="A9" s="27">
        <v>4</v>
      </c>
      <c r="B9" s="27">
        <v>9</v>
      </c>
      <c r="C9" s="27">
        <v>13</v>
      </c>
      <c r="D9" s="27">
        <v>10</v>
      </c>
      <c r="E9" s="41">
        <v>25</v>
      </c>
      <c r="F9" s="27">
        <f t="shared" si="9"/>
        <v>0.55555555555555558</v>
      </c>
      <c r="G9" s="27">
        <v>8</v>
      </c>
      <c r="H9" s="27">
        <f t="shared" si="10"/>
        <v>104</v>
      </c>
      <c r="I9" s="27">
        <f t="shared" si="11"/>
        <v>3.7777777777777777</v>
      </c>
      <c r="K9" s="27">
        <v>4</v>
      </c>
      <c r="L9" s="41">
        <v>9</v>
      </c>
      <c r="M9" s="27">
        <v>20</v>
      </c>
      <c r="N9" s="27">
        <f t="shared" si="12"/>
        <v>260</v>
      </c>
      <c r="O9" s="27">
        <v>30</v>
      </c>
      <c r="P9" s="27">
        <f t="shared" si="13"/>
        <v>750</v>
      </c>
      <c r="Q9" s="41">
        <v>60</v>
      </c>
      <c r="R9" s="27">
        <f t="shared" si="14"/>
        <v>6240</v>
      </c>
      <c r="S9" s="41">
        <v>120</v>
      </c>
      <c r="T9" s="41">
        <f t="shared" si="15"/>
        <v>12480</v>
      </c>
      <c r="V9" s="27">
        <v>4</v>
      </c>
      <c r="W9" s="27">
        <v>7</v>
      </c>
      <c r="X9" s="27">
        <v>40</v>
      </c>
      <c r="Y9" s="27">
        <f t="shared" si="16"/>
        <v>520</v>
      </c>
      <c r="Z9" s="27">
        <v>60</v>
      </c>
      <c r="AA9" s="27">
        <f t="shared" si="17"/>
        <v>1500</v>
      </c>
      <c r="AB9" s="41">
        <v>90</v>
      </c>
      <c r="AC9" s="27">
        <f t="shared" si="18"/>
        <v>9360</v>
      </c>
      <c r="AD9" s="41">
        <v>240</v>
      </c>
      <c r="AE9" s="41">
        <f t="shared" si="19"/>
        <v>24960</v>
      </c>
      <c r="AG9" s="27">
        <v>5</v>
      </c>
      <c r="AH9" s="27">
        <v>2</v>
      </c>
      <c r="AI9" s="27">
        <v>1</v>
      </c>
      <c r="AJ9" s="27">
        <f t="shared" si="0"/>
        <v>7</v>
      </c>
      <c r="AK9" s="27">
        <f t="shared" si="1"/>
        <v>10</v>
      </c>
      <c r="AL9" s="27">
        <f t="shared" si="2"/>
        <v>27</v>
      </c>
      <c r="AO9" s="19">
        <v>5</v>
      </c>
      <c r="AP9" s="19">
        <v>1</v>
      </c>
      <c r="AQ9" s="19">
        <v>5</v>
      </c>
      <c r="AR9" s="16">
        <f t="shared" si="3"/>
        <v>100</v>
      </c>
      <c r="AS9" s="16">
        <f t="shared" si="4"/>
        <v>300</v>
      </c>
      <c r="AT9" s="16">
        <f t="shared" si="5"/>
        <v>1500</v>
      </c>
      <c r="AW9" s="19">
        <v>5</v>
      </c>
      <c r="AX9" s="19">
        <v>1</v>
      </c>
      <c r="AY9" s="19">
        <v>5</v>
      </c>
      <c r="AZ9" s="16">
        <f t="shared" si="6"/>
        <v>200</v>
      </c>
      <c r="BA9" s="16">
        <f t="shared" si="7"/>
        <v>600</v>
      </c>
      <c r="BB9" s="16">
        <f t="shared" si="8"/>
        <v>2250</v>
      </c>
    </row>
    <row r="10" spans="1:54" ht="16.5" x14ac:dyDescent="0.2">
      <c r="A10" s="27">
        <v>5</v>
      </c>
      <c r="B10" s="27">
        <v>15</v>
      </c>
      <c r="C10" s="27">
        <v>16</v>
      </c>
      <c r="D10" s="27">
        <v>10</v>
      </c>
      <c r="E10" s="27">
        <v>32</v>
      </c>
      <c r="F10" s="27">
        <f t="shared" si="9"/>
        <v>0.46666666666666667</v>
      </c>
      <c r="G10" s="27">
        <v>9</v>
      </c>
      <c r="H10" s="27">
        <f t="shared" si="10"/>
        <v>144</v>
      </c>
      <c r="I10" s="27">
        <f t="shared" si="11"/>
        <v>2.6666666666666665</v>
      </c>
      <c r="K10" s="27">
        <v>5</v>
      </c>
      <c r="L10" s="27">
        <v>15</v>
      </c>
      <c r="M10" s="27">
        <v>20</v>
      </c>
      <c r="N10" s="27">
        <f t="shared" si="12"/>
        <v>320</v>
      </c>
      <c r="O10" s="27">
        <v>30</v>
      </c>
      <c r="P10" s="27">
        <f t="shared" si="13"/>
        <v>960</v>
      </c>
      <c r="Q10" s="41">
        <v>60</v>
      </c>
      <c r="R10" s="27">
        <f t="shared" si="14"/>
        <v>8640</v>
      </c>
      <c r="S10" s="41">
        <v>150</v>
      </c>
      <c r="T10" s="41">
        <f t="shared" si="15"/>
        <v>21600</v>
      </c>
      <c r="V10" s="27">
        <v>5</v>
      </c>
      <c r="W10" s="27">
        <v>15</v>
      </c>
      <c r="X10" s="27">
        <v>40</v>
      </c>
      <c r="Y10" s="27">
        <f t="shared" si="16"/>
        <v>640</v>
      </c>
      <c r="Z10" s="27">
        <v>60</v>
      </c>
      <c r="AA10" s="27">
        <f t="shared" si="17"/>
        <v>1920</v>
      </c>
      <c r="AB10" s="41">
        <v>90</v>
      </c>
      <c r="AC10" s="27">
        <f t="shared" si="18"/>
        <v>12960</v>
      </c>
      <c r="AD10" s="41">
        <v>300</v>
      </c>
      <c r="AE10" s="41">
        <f t="shared" si="19"/>
        <v>43200</v>
      </c>
      <c r="AG10" s="27">
        <v>6</v>
      </c>
      <c r="AH10" s="27">
        <v>2</v>
      </c>
      <c r="AI10" s="27">
        <v>2</v>
      </c>
      <c r="AJ10" s="27">
        <f t="shared" si="0"/>
        <v>7</v>
      </c>
      <c r="AK10" s="27">
        <f t="shared" si="1"/>
        <v>11</v>
      </c>
      <c r="AL10" s="27">
        <f t="shared" si="2"/>
        <v>29</v>
      </c>
      <c r="AO10" s="19">
        <v>6</v>
      </c>
      <c r="AP10" s="19">
        <v>1</v>
      </c>
      <c r="AQ10" s="19">
        <v>6</v>
      </c>
      <c r="AR10" s="16">
        <f t="shared" si="3"/>
        <v>100</v>
      </c>
      <c r="AS10" s="16">
        <f t="shared" si="4"/>
        <v>300</v>
      </c>
      <c r="AT10" s="16">
        <f t="shared" si="5"/>
        <v>1500</v>
      </c>
      <c r="AW10" s="19">
        <v>6</v>
      </c>
      <c r="AX10" s="19">
        <v>1</v>
      </c>
      <c r="AY10" s="19">
        <v>6</v>
      </c>
      <c r="AZ10" s="16">
        <f t="shared" si="6"/>
        <v>200</v>
      </c>
      <c r="BA10" s="16">
        <f t="shared" si="7"/>
        <v>600</v>
      </c>
      <c r="BB10" s="16">
        <f t="shared" si="8"/>
        <v>2250</v>
      </c>
    </row>
    <row r="11" spans="1:54" ht="16.5" x14ac:dyDescent="0.2">
      <c r="A11" s="27">
        <v>6</v>
      </c>
      <c r="B11" s="27">
        <v>15</v>
      </c>
      <c r="C11" s="27">
        <v>20</v>
      </c>
      <c r="D11" s="27">
        <v>10</v>
      </c>
      <c r="E11" s="27">
        <v>40</v>
      </c>
      <c r="F11" s="27">
        <f t="shared" si="9"/>
        <v>0.53333333333333333</v>
      </c>
      <c r="G11" s="27">
        <v>10</v>
      </c>
      <c r="H11" s="27">
        <f t="shared" si="10"/>
        <v>200</v>
      </c>
      <c r="I11" s="27">
        <f t="shared" si="11"/>
        <v>3.7333333333333334</v>
      </c>
      <c r="K11" s="27">
        <v>6</v>
      </c>
      <c r="L11" s="27">
        <v>15</v>
      </c>
      <c r="M11" s="27">
        <v>20</v>
      </c>
      <c r="N11" s="27">
        <f t="shared" si="12"/>
        <v>400</v>
      </c>
      <c r="O11" s="27">
        <v>30</v>
      </c>
      <c r="P11" s="27">
        <f t="shared" si="13"/>
        <v>1200</v>
      </c>
      <c r="Q11" s="41">
        <v>60</v>
      </c>
      <c r="R11" s="27">
        <f t="shared" si="14"/>
        <v>12000</v>
      </c>
      <c r="S11" s="41">
        <v>150</v>
      </c>
      <c r="T11" s="41">
        <f t="shared" si="15"/>
        <v>30000</v>
      </c>
      <c r="V11" s="27">
        <v>6</v>
      </c>
      <c r="W11" s="27">
        <v>15</v>
      </c>
      <c r="X11" s="27">
        <v>40</v>
      </c>
      <c r="Y11" s="27">
        <f t="shared" si="16"/>
        <v>800</v>
      </c>
      <c r="Z11" s="27">
        <v>60</v>
      </c>
      <c r="AA11" s="27">
        <f t="shared" si="17"/>
        <v>2400</v>
      </c>
      <c r="AB11" s="41">
        <v>90</v>
      </c>
      <c r="AC11" s="27">
        <f t="shared" si="18"/>
        <v>18000</v>
      </c>
      <c r="AD11" s="41">
        <v>300</v>
      </c>
      <c r="AE11" s="41">
        <f t="shared" si="19"/>
        <v>60000</v>
      </c>
      <c r="AG11" s="27">
        <v>7</v>
      </c>
      <c r="AH11" s="27">
        <v>2</v>
      </c>
      <c r="AI11" s="27">
        <v>3</v>
      </c>
      <c r="AJ11" s="27">
        <f t="shared" si="0"/>
        <v>7</v>
      </c>
      <c r="AK11" s="27">
        <f t="shared" si="1"/>
        <v>11</v>
      </c>
      <c r="AL11" s="27">
        <f t="shared" si="2"/>
        <v>31</v>
      </c>
      <c r="AO11" s="19">
        <v>7</v>
      </c>
      <c r="AP11" s="19">
        <v>1</v>
      </c>
      <c r="AQ11" s="19">
        <v>7</v>
      </c>
      <c r="AR11" s="16">
        <f t="shared" si="3"/>
        <v>100</v>
      </c>
      <c r="AS11" s="16">
        <f t="shared" si="4"/>
        <v>300</v>
      </c>
      <c r="AT11" s="16">
        <f t="shared" si="5"/>
        <v>1500</v>
      </c>
      <c r="AW11" s="19">
        <v>7</v>
      </c>
      <c r="AX11" s="19">
        <v>2</v>
      </c>
      <c r="AY11" s="19">
        <v>1</v>
      </c>
      <c r="AZ11" s="16">
        <f t="shared" si="6"/>
        <v>280</v>
      </c>
      <c r="BA11" s="16">
        <f t="shared" si="7"/>
        <v>900</v>
      </c>
      <c r="BB11" s="16">
        <f t="shared" si="8"/>
        <v>3780</v>
      </c>
    </row>
    <row r="12" spans="1:54" ht="16.5" x14ac:dyDescent="0.2">
      <c r="A12" s="27">
        <v>7</v>
      </c>
      <c r="B12" s="27">
        <v>15</v>
      </c>
      <c r="C12" s="27">
        <v>25</v>
      </c>
      <c r="D12" s="27">
        <v>10</v>
      </c>
      <c r="E12" s="27">
        <v>50</v>
      </c>
      <c r="F12" s="27">
        <f t="shared" si="9"/>
        <v>0.66666666666666663</v>
      </c>
      <c r="G12" s="27">
        <v>11</v>
      </c>
      <c r="H12" s="27">
        <f t="shared" si="10"/>
        <v>275</v>
      </c>
      <c r="I12" s="27">
        <f t="shared" si="11"/>
        <v>5</v>
      </c>
      <c r="K12" s="27">
        <v>7</v>
      </c>
      <c r="L12" s="27">
        <v>15</v>
      </c>
      <c r="M12" s="27">
        <v>20</v>
      </c>
      <c r="N12" s="27">
        <f t="shared" si="12"/>
        <v>500</v>
      </c>
      <c r="O12" s="27">
        <v>30</v>
      </c>
      <c r="P12" s="27">
        <f t="shared" si="13"/>
        <v>1500</v>
      </c>
      <c r="Q12" s="41">
        <v>60</v>
      </c>
      <c r="R12" s="27">
        <f t="shared" si="14"/>
        <v>16500</v>
      </c>
      <c r="S12" s="41">
        <v>150</v>
      </c>
      <c r="T12" s="41">
        <f t="shared" si="15"/>
        <v>41250</v>
      </c>
      <c r="V12" s="27">
        <v>7</v>
      </c>
      <c r="W12" s="27">
        <v>15</v>
      </c>
      <c r="X12" s="27">
        <v>40</v>
      </c>
      <c r="Y12" s="27">
        <f t="shared" si="16"/>
        <v>1000</v>
      </c>
      <c r="Z12" s="27">
        <v>60</v>
      </c>
      <c r="AA12" s="27">
        <f t="shared" si="17"/>
        <v>3000</v>
      </c>
      <c r="AB12" s="41">
        <v>90</v>
      </c>
      <c r="AC12" s="27">
        <f t="shared" si="18"/>
        <v>24750</v>
      </c>
      <c r="AD12" s="41">
        <v>300</v>
      </c>
      <c r="AE12" s="41">
        <f t="shared" si="19"/>
        <v>82500</v>
      </c>
      <c r="AG12" s="27">
        <v>8</v>
      </c>
      <c r="AH12" s="27">
        <v>2</v>
      </c>
      <c r="AI12" s="27">
        <v>4</v>
      </c>
      <c r="AJ12" s="27">
        <f t="shared" si="0"/>
        <v>7</v>
      </c>
      <c r="AK12" s="27">
        <f t="shared" si="1"/>
        <v>12</v>
      </c>
      <c r="AL12" s="27">
        <f t="shared" si="2"/>
        <v>33</v>
      </c>
      <c r="AO12" s="19">
        <v>8</v>
      </c>
      <c r="AP12" s="19">
        <v>2</v>
      </c>
      <c r="AQ12" s="19">
        <v>1</v>
      </c>
      <c r="AR12" s="16">
        <f t="shared" si="3"/>
        <v>140</v>
      </c>
      <c r="AS12" s="16">
        <f t="shared" si="4"/>
        <v>450</v>
      </c>
      <c r="AT12" s="16">
        <f t="shared" si="5"/>
        <v>2520</v>
      </c>
      <c r="AW12" s="19">
        <v>8</v>
      </c>
      <c r="AX12" s="19">
        <v>2</v>
      </c>
      <c r="AY12" s="19">
        <v>2</v>
      </c>
      <c r="AZ12" s="16">
        <f t="shared" si="6"/>
        <v>280</v>
      </c>
      <c r="BA12" s="16">
        <f t="shared" si="7"/>
        <v>900</v>
      </c>
      <c r="BB12" s="16">
        <f t="shared" si="8"/>
        <v>3780</v>
      </c>
    </row>
    <row r="13" spans="1:54" ht="16.5" x14ac:dyDescent="0.2">
      <c r="A13" s="27">
        <v>8</v>
      </c>
      <c r="B13" s="27">
        <v>15</v>
      </c>
      <c r="C13" s="27">
        <v>30</v>
      </c>
      <c r="D13" s="27">
        <v>10</v>
      </c>
      <c r="E13" s="27">
        <v>60</v>
      </c>
      <c r="F13" s="27">
        <f t="shared" si="9"/>
        <v>0.66666666666666663</v>
      </c>
      <c r="G13" s="27">
        <v>12</v>
      </c>
      <c r="H13" s="27">
        <f t="shared" si="10"/>
        <v>360</v>
      </c>
      <c r="I13" s="27">
        <f t="shared" si="11"/>
        <v>5.666666666666667</v>
      </c>
      <c r="K13" s="27">
        <v>8</v>
      </c>
      <c r="L13" s="27">
        <v>15</v>
      </c>
      <c r="M13" s="27">
        <v>20</v>
      </c>
      <c r="N13" s="27">
        <f t="shared" si="12"/>
        <v>600</v>
      </c>
      <c r="O13" s="27">
        <v>30</v>
      </c>
      <c r="P13" s="27">
        <f t="shared" si="13"/>
        <v>1800</v>
      </c>
      <c r="Q13" s="41">
        <v>60</v>
      </c>
      <c r="R13" s="27">
        <f t="shared" si="14"/>
        <v>21600</v>
      </c>
      <c r="S13" s="41">
        <v>150</v>
      </c>
      <c r="T13" s="41">
        <f t="shared" si="15"/>
        <v>54000</v>
      </c>
      <c r="V13" s="27">
        <v>8</v>
      </c>
      <c r="W13" s="27">
        <v>15</v>
      </c>
      <c r="X13" s="27">
        <v>40</v>
      </c>
      <c r="Y13" s="27">
        <f t="shared" si="16"/>
        <v>1200</v>
      </c>
      <c r="Z13" s="27">
        <v>60</v>
      </c>
      <c r="AA13" s="27">
        <f t="shared" si="17"/>
        <v>3600</v>
      </c>
      <c r="AB13" s="41">
        <v>90</v>
      </c>
      <c r="AC13" s="27">
        <f t="shared" si="18"/>
        <v>32400</v>
      </c>
      <c r="AD13" s="41">
        <v>300</v>
      </c>
      <c r="AE13" s="41">
        <f t="shared" si="19"/>
        <v>108000</v>
      </c>
      <c r="AG13" s="27">
        <v>9</v>
      </c>
      <c r="AH13" s="27">
        <v>2</v>
      </c>
      <c r="AI13" s="27">
        <v>5</v>
      </c>
      <c r="AJ13" s="27">
        <f t="shared" si="0"/>
        <v>7</v>
      </c>
      <c r="AK13" s="27">
        <f t="shared" si="1"/>
        <v>13</v>
      </c>
      <c r="AL13" s="27">
        <f t="shared" si="2"/>
        <v>35</v>
      </c>
      <c r="AO13" s="19">
        <v>9</v>
      </c>
      <c r="AP13" s="19">
        <v>2</v>
      </c>
      <c r="AQ13" s="19">
        <v>2</v>
      </c>
      <c r="AR13" s="16">
        <f t="shared" si="3"/>
        <v>140</v>
      </c>
      <c r="AS13" s="16">
        <f t="shared" si="4"/>
        <v>450</v>
      </c>
      <c r="AT13" s="16">
        <f t="shared" si="5"/>
        <v>2520</v>
      </c>
      <c r="AW13" s="19">
        <v>9</v>
      </c>
      <c r="AX13" s="19">
        <v>2</v>
      </c>
      <c r="AY13" s="19">
        <v>3</v>
      </c>
      <c r="AZ13" s="16">
        <f t="shared" si="6"/>
        <v>280</v>
      </c>
      <c r="BA13" s="16">
        <f t="shared" si="7"/>
        <v>900</v>
      </c>
      <c r="BB13" s="16">
        <f t="shared" si="8"/>
        <v>3780</v>
      </c>
    </row>
    <row r="14" spans="1:54" ht="16.5" x14ac:dyDescent="0.2">
      <c r="A14" s="27">
        <v>9</v>
      </c>
      <c r="B14" s="27">
        <v>15</v>
      </c>
      <c r="C14" s="27">
        <v>36</v>
      </c>
      <c r="D14" s="27">
        <v>10</v>
      </c>
      <c r="E14" s="27">
        <v>72</v>
      </c>
      <c r="F14" s="27">
        <f t="shared" si="9"/>
        <v>0.8</v>
      </c>
      <c r="G14" s="27">
        <v>13</v>
      </c>
      <c r="H14" s="27">
        <f t="shared" si="10"/>
        <v>468</v>
      </c>
      <c r="I14" s="27">
        <f t="shared" si="11"/>
        <v>7.2</v>
      </c>
      <c r="K14" s="27">
        <v>9</v>
      </c>
      <c r="L14" s="27">
        <v>15</v>
      </c>
      <c r="M14" s="27">
        <v>20</v>
      </c>
      <c r="N14" s="27">
        <f t="shared" si="12"/>
        <v>720</v>
      </c>
      <c r="O14" s="27">
        <v>30</v>
      </c>
      <c r="P14" s="27">
        <f t="shared" si="13"/>
        <v>2160</v>
      </c>
      <c r="Q14" s="41">
        <v>60</v>
      </c>
      <c r="R14" s="27">
        <f t="shared" si="14"/>
        <v>28080</v>
      </c>
      <c r="S14" s="41">
        <v>150</v>
      </c>
      <c r="T14" s="41">
        <f t="shared" si="15"/>
        <v>70200</v>
      </c>
      <c r="V14" s="27">
        <v>9</v>
      </c>
      <c r="W14" s="27">
        <v>15</v>
      </c>
      <c r="X14" s="27">
        <v>40</v>
      </c>
      <c r="Y14" s="27">
        <f t="shared" si="16"/>
        <v>1440</v>
      </c>
      <c r="Z14" s="27">
        <v>60</v>
      </c>
      <c r="AA14" s="27">
        <f t="shared" si="17"/>
        <v>4320</v>
      </c>
      <c r="AB14" s="41">
        <v>90</v>
      </c>
      <c r="AC14" s="27">
        <f t="shared" si="18"/>
        <v>42120</v>
      </c>
      <c r="AD14" s="41">
        <v>300</v>
      </c>
      <c r="AE14" s="41">
        <f t="shared" si="19"/>
        <v>140400</v>
      </c>
      <c r="AG14" s="27">
        <v>10</v>
      </c>
      <c r="AH14" s="27">
        <v>2</v>
      </c>
      <c r="AI14" s="27">
        <v>6</v>
      </c>
      <c r="AJ14" s="27">
        <f t="shared" si="0"/>
        <v>7</v>
      </c>
      <c r="AK14" s="27">
        <f t="shared" si="1"/>
        <v>13</v>
      </c>
      <c r="AL14" s="27">
        <f t="shared" si="2"/>
        <v>37</v>
      </c>
      <c r="AO14" s="19">
        <v>10</v>
      </c>
      <c r="AP14" s="19">
        <v>2</v>
      </c>
      <c r="AQ14" s="19">
        <v>3</v>
      </c>
      <c r="AR14" s="16">
        <f t="shared" si="3"/>
        <v>140</v>
      </c>
      <c r="AS14" s="16">
        <f t="shared" si="4"/>
        <v>450</v>
      </c>
      <c r="AT14" s="16">
        <f t="shared" si="5"/>
        <v>2520</v>
      </c>
      <c r="AW14" s="19">
        <v>10</v>
      </c>
      <c r="AX14" s="19">
        <v>2</v>
      </c>
      <c r="AY14" s="19">
        <v>4</v>
      </c>
      <c r="AZ14" s="16">
        <f t="shared" si="6"/>
        <v>280</v>
      </c>
      <c r="BA14" s="16">
        <f t="shared" si="7"/>
        <v>900</v>
      </c>
      <c r="BB14" s="16">
        <f t="shared" si="8"/>
        <v>3780</v>
      </c>
    </row>
    <row r="15" spans="1:54" ht="16.5" x14ac:dyDescent="0.2">
      <c r="A15" s="27">
        <v>10</v>
      </c>
      <c r="B15" s="27">
        <v>15</v>
      </c>
      <c r="C15" s="27">
        <v>44</v>
      </c>
      <c r="D15" s="27">
        <v>10</v>
      </c>
      <c r="E15" s="27">
        <v>90</v>
      </c>
      <c r="F15" s="27">
        <f t="shared" si="9"/>
        <v>1.2</v>
      </c>
      <c r="G15" s="27">
        <v>14</v>
      </c>
      <c r="H15" s="27">
        <f t="shared" si="10"/>
        <v>616</v>
      </c>
      <c r="I15" s="27">
        <f t="shared" si="11"/>
        <v>9.8666666666666671</v>
      </c>
      <c r="K15" s="27">
        <v>10</v>
      </c>
      <c r="L15" s="27">
        <v>15</v>
      </c>
      <c r="M15" s="27">
        <v>20</v>
      </c>
      <c r="N15" s="27">
        <f t="shared" si="12"/>
        <v>880</v>
      </c>
      <c r="O15" s="27">
        <v>30</v>
      </c>
      <c r="P15" s="27">
        <f t="shared" si="13"/>
        <v>2700</v>
      </c>
      <c r="Q15" s="41">
        <v>60</v>
      </c>
      <c r="R15" s="27">
        <f t="shared" si="14"/>
        <v>36960</v>
      </c>
      <c r="S15" s="41">
        <v>150</v>
      </c>
      <c r="T15" s="41">
        <f t="shared" si="15"/>
        <v>92400</v>
      </c>
      <c r="V15" s="27">
        <v>10</v>
      </c>
      <c r="W15" s="27">
        <v>15</v>
      </c>
      <c r="X15" s="27">
        <v>40</v>
      </c>
      <c r="Y15" s="27">
        <f t="shared" si="16"/>
        <v>1760</v>
      </c>
      <c r="Z15" s="27">
        <v>60</v>
      </c>
      <c r="AA15" s="27">
        <f t="shared" si="17"/>
        <v>5400</v>
      </c>
      <c r="AB15" s="41">
        <v>90</v>
      </c>
      <c r="AC15" s="27">
        <f t="shared" si="18"/>
        <v>55440</v>
      </c>
      <c r="AD15" s="41">
        <v>300</v>
      </c>
      <c r="AE15" s="41">
        <f t="shared" si="19"/>
        <v>184800</v>
      </c>
      <c r="AG15" s="27">
        <v>11</v>
      </c>
      <c r="AH15" s="27">
        <v>2</v>
      </c>
      <c r="AI15" s="27">
        <v>7</v>
      </c>
      <c r="AJ15" s="27">
        <f t="shared" si="0"/>
        <v>7</v>
      </c>
      <c r="AK15" s="27">
        <f t="shared" si="1"/>
        <v>14</v>
      </c>
      <c r="AL15" s="27">
        <f t="shared" si="2"/>
        <v>39</v>
      </c>
      <c r="AO15" s="19">
        <v>11</v>
      </c>
      <c r="AP15" s="19">
        <v>2</v>
      </c>
      <c r="AQ15" s="19">
        <v>4</v>
      </c>
      <c r="AR15" s="16">
        <f t="shared" si="3"/>
        <v>140</v>
      </c>
      <c r="AS15" s="16">
        <f t="shared" si="4"/>
        <v>450</v>
      </c>
      <c r="AT15" s="16">
        <f t="shared" si="5"/>
        <v>2520</v>
      </c>
      <c r="AW15" s="19">
        <v>11</v>
      </c>
      <c r="AX15" s="19">
        <v>2</v>
      </c>
      <c r="AY15" s="19">
        <v>5</v>
      </c>
      <c r="AZ15" s="16">
        <f t="shared" si="6"/>
        <v>280</v>
      </c>
      <c r="BA15" s="16">
        <f t="shared" si="7"/>
        <v>900</v>
      </c>
      <c r="BB15" s="16">
        <f t="shared" si="8"/>
        <v>3780</v>
      </c>
    </row>
    <row r="16" spans="1:54" ht="16.5" x14ac:dyDescent="0.2">
      <c r="A16" s="27">
        <v>11</v>
      </c>
      <c r="B16" s="27">
        <v>15</v>
      </c>
      <c r="C16" s="27">
        <v>53</v>
      </c>
      <c r="D16" s="27">
        <v>10</v>
      </c>
      <c r="E16" s="41">
        <v>110</v>
      </c>
      <c r="F16" s="27">
        <f t="shared" si="9"/>
        <v>1.3333333333333333</v>
      </c>
      <c r="G16" s="27">
        <v>15</v>
      </c>
      <c r="H16" s="27">
        <f t="shared" si="10"/>
        <v>795</v>
      </c>
      <c r="I16" s="27">
        <f t="shared" si="11"/>
        <v>11.933333333333334</v>
      </c>
      <c r="K16" s="27">
        <v>11</v>
      </c>
      <c r="L16" s="27">
        <v>15</v>
      </c>
      <c r="M16" s="27">
        <v>20</v>
      </c>
      <c r="N16" s="27">
        <f t="shared" si="12"/>
        <v>1060</v>
      </c>
      <c r="O16" s="27">
        <v>30</v>
      </c>
      <c r="P16" s="27">
        <f t="shared" si="13"/>
        <v>3300</v>
      </c>
      <c r="Q16" s="41">
        <v>60</v>
      </c>
      <c r="R16" s="27">
        <f t="shared" si="14"/>
        <v>47700</v>
      </c>
      <c r="S16" s="41">
        <v>150</v>
      </c>
      <c r="T16" s="41">
        <f t="shared" si="15"/>
        <v>119250</v>
      </c>
      <c r="V16" s="27">
        <v>11</v>
      </c>
      <c r="W16" s="27">
        <v>15</v>
      </c>
      <c r="X16" s="27">
        <v>40</v>
      </c>
      <c r="Y16" s="27">
        <f t="shared" si="16"/>
        <v>2120</v>
      </c>
      <c r="Z16" s="27">
        <v>60</v>
      </c>
      <c r="AA16" s="27">
        <f t="shared" si="17"/>
        <v>6600</v>
      </c>
      <c r="AB16" s="41">
        <v>90</v>
      </c>
      <c r="AC16" s="27">
        <f t="shared" si="18"/>
        <v>71550</v>
      </c>
      <c r="AD16" s="41">
        <v>300</v>
      </c>
      <c r="AE16" s="41">
        <f t="shared" si="19"/>
        <v>238500</v>
      </c>
      <c r="AG16" s="27">
        <v>12</v>
      </c>
      <c r="AH16" s="27">
        <v>2</v>
      </c>
      <c r="AI16" s="27">
        <v>8</v>
      </c>
      <c r="AJ16" s="27">
        <f t="shared" si="0"/>
        <v>7</v>
      </c>
      <c r="AK16" s="27">
        <f t="shared" si="1"/>
        <v>15</v>
      </c>
      <c r="AL16" s="27">
        <f t="shared" si="2"/>
        <v>42</v>
      </c>
      <c r="AO16" s="19">
        <v>12</v>
      </c>
      <c r="AP16" s="19">
        <v>2</v>
      </c>
      <c r="AQ16" s="19">
        <v>5</v>
      </c>
      <c r="AR16" s="16">
        <f t="shared" si="3"/>
        <v>140</v>
      </c>
      <c r="AS16" s="16">
        <f t="shared" si="4"/>
        <v>450</v>
      </c>
      <c r="AT16" s="16">
        <f t="shared" si="5"/>
        <v>2520</v>
      </c>
      <c r="AW16" s="19">
        <v>12</v>
      </c>
      <c r="AX16" s="19">
        <v>2</v>
      </c>
      <c r="AY16" s="19">
        <v>6</v>
      </c>
      <c r="AZ16" s="16">
        <f t="shared" si="6"/>
        <v>280</v>
      </c>
      <c r="BA16" s="16">
        <f t="shared" si="7"/>
        <v>900</v>
      </c>
      <c r="BB16" s="16">
        <f t="shared" si="8"/>
        <v>3780</v>
      </c>
    </row>
    <row r="17" spans="1:54" ht="16.5" x14ac:dyDescent="0.2">
      <c r="A17" s="27">
        <v>12</v>
      </c>
      <c r="B17" s="27">
        <v>15</v>
      </c>
      <c r="C17" s="27">
        <v>65</v>
      </c>
      <c r="D17" s="27">
        <v>10</v>
      </c>
      <c r="E17" s="27">
        <v>130</v>
      </c>
      <c r="F17" s="27">
        <f t="shared" si="9"/>
        <v>1.3333333333333333</v>
      </c>
      <c r="G17" s="27">
        <v>16</v>
      </c>
      <c r="H17" s="27">
        <f t="shared" si="10"/>
        <v>1040</v>
      </c>
      <c r="I17" s="27">
        <f t="shared" si="11"/>
        <v>16.333333333333332</v>
      </c>
      <c r="K17" s="27">
        <v>12</v>
      </c>
      <c r="L17" s="27">
        <v>15</v>
      </c>
      <c r="M17" s="27">
        <v>20</v>
      </c>
      <c r="N17" s="27">
        <f t="shared" si="12"/>
        <v>1300</v>
      </c>
      <c r="O17" s="27">
        <v>30</v>
      </c>
      <c r="P17" s="27">
        <f t="shared" si="13"/>
        <v>3900</v>
      </c>
      <c r="Q17" s="41">
        <v>60</v>
      </c>
      <c r="R17" s="27">
        <f t="shared" si="14"/>
        <v>62400</v>
      </c>
      <c r="S17" s="41">
        <v>150</v>
      </c>
      <c r="T17" s="41">
        <f t="shared" si="15"/>
        <v>156000</v>
      </c>
      <c r="V17" s="27">
        <v>12</v>
      </c>
      <c r="W17" s="27">
        <v>15</v>
      </c>
      <c r="X17" s="27">
        <v>40</v>
      </c>
      <c r="Y17" s="27">
        <f t="shared" si="16"/>
        <v>2600</v>
      </c>
      <c r="Z17" s="27">
        <v>60</v>
      </c>
      <c r="AA17" s="27">
        <f t="shared" si="17"/>
        <v>7800</v>
      </c>
      <c r="AB17" s="41">
        <v>90</v>
      </c>
      <c r="AC17" s="27">
        <f t="shared" si="18"/>
        <v>93600</v>
      </c>
      <c r="AD17" s="41">
        <v>300</v>
      </c>
      <c r="AE17" s="41">
        <f t="shared" si="19"/>
        <v>312000</v>
      </c>
      <c r="AG17" s="27">
        <v>13</v>
      </c>
      <c r="AH17" s="27">
        <v>3</v>
      </c>
      <c r="AI17" s="27">
        <v>1</v>
      </c>
      <c r="AJ17" s="27">
        <f t="shared" si="0"/>
        <v>10</v>
      </c>
      <c r="AK17" s="27">
        <f t="shared" si="1"/>
        <v>15</v>
      </c>
      <c r="AL17" s="27">
        <f t="shared" si="2"/>
        <v>45</v>
      </c>
      <c r="AO17" s="19">
        <v>13</v>
      </c>
      <c r="AP17" s="19">
        <v>2</v>
      </c>
      <c r="AQ17" s="19">
        <v>6</v>
      </c>
      <c r="AR17" s="16">
        <f t="shared" si="3"/>
        <v>140</v>
      </c>
      <c r="AS17" s="16">
        <f t="shared" si="4"/>
        <v>450</v>
      </c>
      <c r="AT17" s="16">
        <f t="shared" si="5"/>
        <v>2520</v>
      </c>
      <c r="AW17" s="19">
        <v>13</v>
      </c>
      <c r="AX17" s="19">
        <v>2</v>
      </c>
      <c r="AY17" s="19">
        <v>7</v>
      </c>
      <c r="AZ17" s="16">
        <f t="shared" si="6"/>
        <v>280</v>
      </c>
      <c r="BA17" s="16">
        <f t="shared" si="7"/>
        <v>900</v>
      </c>
      <c r="BB17" s="16">
        <f t="shared" si="8"/>
        <v>3780</v>
      </c>
    </row>
    <row r="18" spans="1:54" ht="16.5" x14ac:dyDescent="0.2">
      <c r="A18" s="27">
        <v>13</v>
      </c>
      <c r="B18" s="27">
        <v>15</v>
      </c>
      <c r="C18" s="27">
        <v>80</v>
      </c>
      <c r="D18" s="27">
        <v>10</v>
      </c>
      <c r="E18" s="27">
        <v>150</v>
      </c>
      <c r="F18" s="27">
        <f t="shared" si="9"/>
        <v>1.3333333333333333</v>
      </c>
      <c r="G18" s="27">
        <v>17</v>
      </c>
      <c r="H18" s="27">
        <f t="shared" si="10"/>
        <v>1360</v>
      </c>
      <c r="I18" s="27">
        <f t="shared" si="11"/>
        <v>21.333333333333332</v>
      </c>
      <c r="K18" s="27">
        <v>13</v>
      </c>
      <c r="L18" s="27">
        <v>15</v>
      </c>
      <c r="M18" s="27">
        <v>20</v>
      </c>
      <c r="N18" s="27">
        <f t="shared" si="12"/>
        <v>1600</v>
      </c>
      <c r="O18" s="27">
        <v>30</v>
      </c>
      <c r="P18" s="27">
        <f t="shared" si="13"/>
        <v>4500</v>
      </c>
      <c r="Q18" s="41">
        <v>60</v>
      </c>
      <c r="R18" s="27">
        <f t="shared" si="14"/>
        <v>81600</v>
      </c>
      <c r="S18" s="41">
        <v>150</v>
      </c>
      <c r="T18" s="41">
        <f t="shared" si="15"/>
        <v>204000</v>
      </c>
      <c r="V18" s="27">
        <v>13</v>
      </c>
      <c r="W18" s="27">
        <v>15</v>
      </c>
      <c r="X18" s="27">
        <v>40</v>
      </c>
      <c r="Y18" s="27">
        <f t="shared" si="16"/>
        <v>3200</v>
      </c>
      <c r="Z18" s="27">
        <v>60</v>
      </c>
      <c r="AA18" s="27">
        <f t="shared" si="17"/>
        <v>9000</v>
      </c>
      <c r="AB18" s="41">
        <v>90</v>
      </c>
      <c r="AC18" s="27">
        <f t="shared" si="18"/>
        <v>122400</v>
      </c>
      <c r="AD18" s="41">
        <v>300</v>
      </c>
      <c r="AE18" s="41">
        <f t="shared" si="19"/>
        <v>408000</v>
      </c>
      <c r="AG18" s="27">
        <v>14</v>
      </c>
      <c r="AH18" s="27">
        <v>3</v>
      </c>
      <c r="AI18" s="27">
        <v>2</v>
      </c>
      <c r="AJ18" s="27">
        <f t="shared" si="0"/>
        <v>10</v>
      </c>
      <c r="AK18" s="27">
        <f t="shared" si="1"/>
        <v>16</v>
      </c>
      <c r="AL18" s="27">
        <f t="shared" si="2"/>
        <v>48</v>
      </c>
      <c r="AO18" s="19">
        <v>14</v>
      </c>
      <c r="AP18" s="19">
        <v>2</v>
      </c>
      <c r="AQ18" s="19">
        <v>7</v>
      </c>
      <c r="AR18" s="16">
        <f t="shared" si="3"/>
        <v>140</v>
      </c>
      <c r="AS18" s="16">
        <f t="shared" si="4"/>
        <v>450</v>
      </c>
      <c r="AT18" s="16">
        <f t="shared" si="5"/>
        <v>2520</v>
      </c>
      <c r="AW18" s="19">
        <v>14</v>
      </c>
      <c r="AX18" s="19">
        <v>2</v>
      </c>
      <c r="AY18" s="19">
        <v>8</v>
      </c>
      <c r="AZ18" s="16">
        <f t="shared" si="6"/>
        <v>280</v>
      </c>
      <c r="BA18" s="16">
        <f t="shared" si="7"/>
        <v>900</v>
      </c>
      <c r="BB18" s="16">
        <f t="shared" si="8"/>
        <v>3780</v>
      </c>
    </row>
    <row r="19" spans="1:54" ht="16.5" x14ac:dyDescent="0.2">
      <c r="A19" s="27">
        <v>14</v>
      </c>
      <c r="B19" s="27">
        <v>15</v>
      </c>
      <c r="C19" s="27">
        <v>100</v>
      </c>
      <c r="D19" s="27">
        <v>10</v>
      </c>
      <c r="E19" s="27">
        <v>175</v>
      </c>
      <c r="F19" s="27">
        <f t="shared" si="9"/>
        <v>1.6666666666666667</v>
      </c>
      <c r="G19" s="27">
        <v>18</v>
      </c>
      <c r="H19" s="27">
        <f t="shared" si="10"/>
        <v>1800</v>
      </c>
      <c r="I19" s="27">
        <f t="shared" si="11"/>
        <v>29.333333333333332</v>
      </c>
      <c r="K19" s="27">
        <v>14</v>
      </c>
      <c r="L19" s="27">
        <v>15</v>
      </c>
      <c r="M19" s="27">
        <v>20</v>
      </c>
      <c r="N19" s="27">
        <f t="shared" si="12"/>
        <v>2000</v>
      </c>
      <c r="O19" s="27">
        <v>30</v>
      </c>
      <c r="P19" s="27">
        <f t="shared" si="13"/>
        <v>5250</v>
      </c>
      <c r="Q19" s="41">
        <v>60</v>
      </c>
      <c r="R19" s="27">
        <f t="shared" si="14"/>
        <v>108000</v>
      </c>
      <c r="S19" s="41">
        <v>150</v>
      </c>
      <c r="T19" s="41">
        <f t="shared" si="15"/>
        <v>270000</v>
      </c>
      <c r="V19" s="27">
        <v>14</v>
      </c>
      <c r="W19" s="27">
        <v>15</v>
      </c>
      <c r="X19" s="27">
        <v>40</v>
      </c>
      <c r="Y19" s="27">
        <f t="shared" si="16"/>
        <v>4000</v>
      </c>
      <c r="Z19" s="27">
        <v>60</v>
      </c>
      <c r="AA19" s="27">
        <f t="shared" si="17"/>
        <v>10500</v>
      </c>
      <c r="AB19" s="41">
        <v>90</v>
      </c>
      <c r="AC19" s="27">
        <f t="shared" si="18"/>
        <v>162000</v>
      </c>
      <c r="AD19" s="41">
        <v>300</v>
      </c>
      <c r="AE19" s="41">
        <f t="shared" si="19"/>
        <v>540000</v>
      </c>
      <c r="AG19" s="27">
        <v>15</v>
      </c>
      <c r="AH19" s="27">
        <v>3</v>
      </c>
      <c r="AI19" s="27">
        <v>3</v>
      </c>
      <c r="AJ19" s="27">
        <f t="shared" si="0"/>
        <v>10</v>
      </c>
      <c r="AK19" s="27">
        <f t="shared" si="1"/>
        <v>16</v>
      </c>
      <c r="AL19" s="27">
        <f t="shared" si="2"/>
        <v>51</v>
      </c>
      <c r="AO19" s="19">
        <v>15</v>
      </c>
      <c r="AP19" s="19">
        <v>2</v>
      </c>
      <c r="AQ19" s="19">
        <v>8</v>
      </c>
      <c r="AR19" s="16">
        <f t="shared" si="3"/>
        <v>140</v>
      </c>
      <c r="AS19" s="16">
        <f t="shared" si="4"/>
        <v>450</v>
      </c>
      <c r="AT19" s="16">
        <f t="shared" si="5"/>
        <v>2520</v>
      </c>
      <c r="AW19" s="19">
        <v>15</v>
      </c>
      <c r="AX19" s="19">
        <v>2</v>
      </c>
      <c r="AY19" s="19">
        <v>9</v>
      </c>
      <c r="AZ19" s="16">
        <f t="shared" si="6"/>
        <v>280</v>
      </c>
      <c r="BA19" s="16">
        <f t="shared" si="7"/>
        <v>900</v>
      </c>
      <c r="BB19" s="16">
        <f t="shared" si="8"/>
        <v>3780</v>
      </c>
    </row>
    <row r="20" spans="1:54" ht="16.5" x14ac:dyDescent="0.2">
      <c r="A20" s="27">
        <v>15</v>
      </c>
      <c r="B20" s="27">
        <v>15</v>
      </c>
      <c r="C20" s="27">
        <v>125</v>
      </c>
      <c r="D20" s="27">
        <v>10</v>
      </c>
      <c r="E20" s="27">
        <v>200</v>
      </c>
      <c r="F20" s="27">
        <f t="shared" si="9"/>
        <v>1.6666666666666667</v>
      </c>
      <c r="G20" s="27">
        <v>20</v>
      </c>
      <c r="H20" s="27">
        <f t="shared" si="10"/>
        <v>2500</v>
      </c>
      <c r="I20" s="27">
        <f t="shared" si="11"/>
        <v>46.666666666666664</v>
      </c>
      <c r="K20" s="27">
        <v>15</v>
      </c>
      <c r="L20" s="27">
        <v>15</v>
      </c>
      <c r="M20" s="27">
        <v>20</v>
      </c>
      <c r="N20" s="27">
        <f t="shared" si="12"/>
        <v>2500</v>
      </c>
      <c r="O20" s="27">
        <v>30</v>
      </c>
      <c r="P20" s="27">
        <f t="shared" si="13"/>
        <v>6000</v>
      </c>
      <c r="Q20" s="41">
        <v>60</v>
      </c>
      <c r="R20" s="27">
        <f t="shared" si="14"/>
        <v>150000</v>
      </c>
      <c r="S20" s="41">
        <v>150</v>
      </c>
      <c r="T20" s="41">
        <f t="shared" si="15"/>
        <v>375000</v>
      </c>
      <c r="V20" s="27">
        <v>15</v>
      </c>
      <c r="W20" s="27">
        <v>15</v>
      </c>
      <c r="X20" s="27">
        <v>40</v>
      </c>
      <c r="Y20" s="27">
        <f t="shared" si="16"/>
        <v>5000</v>
      </c>
      <c r="Z20" s="27">
        <v>60</v>
      </c>
      <c r="AA20" s="27">
        <f t="shared" si="17"/>
        <v>12000</v>
      </c>
      <c r="AB20" s="41">
        <v>90</v>
      </c>
      <c r="AC20" s="27">
        <f t="shared" si="18"/>
        <v>225000</v>
      </c>
      <c r="AD20" s="41">
        <v>300</v>
      </c>
      <c r="AE20" s="41">
        <f t="shared" si="19"/>
        <v>750000</v>
      </c>
      <c r="AG20" s="27">
        <v>16</v>
      </c>
      <c r="AH20" s="27">
        <v>3</v>
      </c>
      <c r="AI20" s="27">
        <v>4</v>
      </c>
      <c r="AJ20" s="27">
        <f t="shared" si="0"/>
        <v>10</v>
      </c>
      <c r="AK20" s="27">
        <f t="shared" si="1"/>
        <v>17</v>
      </c>
      <c r="AL20" s="27">
        <f t="shared" si="2"/>
        <v>54</v>
      </c>
      <c r="AO20" s="19">
        <v>16</v>
      </c>
      <c r="AP20" s="19">
        <v>2</v>
      </c>
      <c r="AQ20" s="19">
        <v>9</v>
      </c>
      <c r="AR20" s="16">
        <f t="shared" si="3"/>
        <v>140</v>
      </c>
      <c r="AS20" s="16">
        <f t="shared" si="4"/>
        <v>450</v>
      </c>
      <c r="AT20" s="16">
        <f t="shared" si="5"/>
        <v>2520</v>
      </c>
      <c r="AW20" s="19">
        <v>16</v>
      </c>
      <c r="AX20" s="19">
        <v>3</v>
      </c>
      <c r="AY20" s="19">
        <v>1</v>
      </c>
      <c r="AZ20" s="16">
        <f t="shared" si="6"/>
        <v>400</v>
      </c>
      <c r="BA20" s="16">
        <f t="shared" si="7"/>
        <v>1200</v>
      </c>
      <c r="BB20" s="16">
        <f t="shared" si="8"/>
        <v>6300</v>
      </c>
    </row>
    <row r="21" spans="1:54" ht="16.5" x14ac:dyDescent="0.2">
      <c r="A21" s="17"/>
      <c r="B21" s="17"/>
      <c r="C21" s="17"/>
      <c r="D21" s="17"/>
      <c r="E21" s="17"/>
      <c r="F21" s="17"/>
      <c r="G21" s="17"/>
      <c r="H21" s="17"/>
      <c r="I21" s="17"/>
      <c r="AG21" s="27">
        <v>17</v>
      </c>
      <c r="AH21" s="27">
        <v>3</v>
      </c>
      <c r="AI21" s="27">
        <v>5</v>
      </c>
      <c r="AJ21" s="27">
        <f t="shared" si="0"/>
        <v>10</v>
      </c>
      <c r="AK21" s="27">
        <f t="shared" si="1"/>
        <v>17</v>
      </c>
      <c r="AL21" s="27">
        <f t="shared" si="2"/>
        <v>57</v>
      </c>
      <c r="AO21" s="19">
        <v>17</v>
      </c>
      <c r="AP21" s="19">
        <v>3</v>
      </c>
      <c r="AQ21" s="19">
        <v>1</v>
      </c>
      <c r="AR21" s="16">
        <f t="shared" si="3"/>
        <v>200</v>
      </c>
      <c r="AS21" s="16">
        <f t="shared" si="4"/>
        <v>600</v>
      </c>
      <c r="AT21" s="16">
        <f t="shared" si="5"/>
        <v>4200</v>
      </c>
      <c r="AW21" s="19">
        <v>17</v>
      </c>
      <c r="AX21" s="19">
        <v>3</v>
      </c>
      <c r="AY21" s="19">
        <v>2</v>
      </c>
      <c r="AZ21" s="16">
        <f t="shared" si="6"/>
        <v>400</v>
      </c>
      <c r="BA21" s="16">
        <f t="shared" si="7"/>
        <v>1200</v>
      </c>
      <c r="BB21" s="16">
        <f t="shared" si="8"/>
        <v>6300</v>
      </c>
    </row>
    <row r="22" spans="1:54" ht="16.5" x14ac:dyDescent="0.2">
      <c r="A22" s="17"/>
      <c r="B22" s="17"/>
      <c r="C22" s="17"/>
      <c r="D22" s="17"/>
      <c r="E22" s="17"/>
      <c r="F22" s="17"/>
      <c r="G22" s="17"/>
      <c r="H22" s="17"/>
      <c r="I22" s="17"/>
      <c r="AG22" s="27">
        <v>18</v>
      </c>
      <c r="AH22" s="27">
        <v>3</v>
      </c>
      <c r="AI22" s="27">
        <v>6</v>
      </c>
      <c r="AJ22" s="27">
        <f t="shared" si="0"/>
        <v>10</v>
      </c>
      <c r="AK22" s="27">
        <f t="shared" si="1"/>
        <v>18</v>
      </c>
      <c r="AL22" s="27">
        <f t="shared" si="2"/>
        <v>60</v>
      </c>
      <c r="AO22" s="19">
        <v>18</v>
      </c>
      <c r="AP22" s="19">
        <v>3</v>
      </c>
      <c r="AQ22" s="19">
        <v>2</v>
      </c>
      <c r="AR22" s="16">
        <f t="shared" si="3"/>
        <v>200</v>
      </c>
      <c r="AS22" s="16">
        <f t="shared" si="4"/>
        <v>600</v>
      </c>
      <c r="AT22" s="16">
        <f t="shared" si="5"/>
        <v>4200</v>
      </c>
      <c r="AW22" s="19">
        <v>18</v>
      </c>
      <c r="AX22" s="19">
        <v>3</v>
      </c>
      <c r="AY22" s="19">
        <v>3</v>
      </c>
      <c r="AZ22" s="16">
        <f t="shared" si="6"/>
        <v>400</v>
      </c>
      <c r="BA22" s="16">
        <f t="shared" si="7"/>
        <v>1200</v>
      </c>
      <c r="BB22" s="16">
        <f t="shared" si="8"/>
        <v>6300</v>
      </c>
    </row>
    <row r="23" spans="1:54" ht="16.5" x14ac:dyDescent="0.2">
      <c r="A23" s="17"/>
      <c r="B23" s="17"/>
      <c r="C23" s="17"/>
      <c r="D23" s="17"/>
      <c r="E23" s="17"/>
      <c r="F23" s="17"/>
      <c r="G23" s="17"/>
      <c r="H23" s="17"/>
      <c r="I23" s="17"/>
      <c r="AG23" s="27">
        <v>19</v>
      </c>
      <c r="AH23" s="27">
        <v>3</v>
      </c>
      <c r="AI23" s="27">
        <v>7</v>
      </c>
      <c r="AJ23" s="27">
        <f t="shared" si="0"/>
        <v>10</v>
      </c>
      <c r="AK23" s="27">
        <f t="shared" si="1"/>
        <v>18</v>
      </c>
      <c r="AL23" s="27">
        <f t="shared" si="2"/>
        <v>63</v>
      </c>
      <c r="AO23" s="19">
        <v>19</v>
      </c>
      <c r="AP23" s="19">
        <v>3</v>
      </c>
      <c r="AQ23" s="19">
        <v>3</v>
      </c>
      <c r="AR23" s="16">
        <f t="shared" si="3"/>
        <v>200</v>
      </c>
      <c r="AS23" s="16">
        <f t="shared" si="4"/>
        <v>600</v>
      </c>
      <c r="AT23" s="16">
        <f t="shared" si="5"/>
        <v>4200</v>
      </c>
      <c r="AW23" s="19">
        <v>19</v>
      </c>
      <c r="AX23" s="19">
        <v>3</v>
      </c>
      <c r="AY23" s="19">
        <v>4</v>
      </c>
      <c r="AZ23" s="16">
        <f t="shared" si="6"/>
        <v>400</v>
      </c>
      <c r="BA23" s="16">
        <f t="shared" si="7"/>
        <v>1200</v>
      </c>
      <c r="BB23" s="16">
        <f t="shared" si="8"/>
        <v>6300</v>
      </c>
    </row>
    <row r="24" spans="1:54" ht="16.5" x14ac:dyDescent="0.2">
      <c r="A24" s="17"/>
      <c r="B24" s="17"/>
      <c r="C24" s="17"/>
      <c r="D24" s="17"/>
      <c r="E24" s="17"/>
      <c r="F24" s="17"/>
      <c r="G24" s="17"/>
      <c r="H24" s="17"/>
      <c r="I24" s="17"/>
      <c r="AG24" s="27">
        <v>20</v>
      </c>
      <c r="AH24" s="27">
        <v>3</v>
      </c>
      <c r="AI24" s="27">
        <v>8</v>
      </c>
      <c r="AJ24" s="27">
        <f t="shared" si="0"/>
        <v>10</v>
      </c>
      <c r="AK24" s="27">
        <f t="shared" si="1"/>
        <v>19</v>
      </c>
      <c r="AL24" s="27">
        <f t="shared" si="2"/>
        <v>66</v>
      </c>
      <c r="AO24" s="19">
        <v>20</v>
      </c>
      <c r="AP24" s="19">
        <v>3</v>
      </c>
      <c r="AQ24" s="19">
        <v>4</v>
      </c>
      <c r="AR24" s="16">
        <f t="shared" si="3"/>
        <v>200</v>
      </c>
      <c r="AS24" s="16">
        <f t="shared" si="4"/>
        <v>600</v>
      </c>
      <c r="AT24" s="16">
        <f t="shared" si="5"/>
        <v>4200</v>
      </c>
      <c r="AW24" s="19">
        <v>20</v>
      </c>
      <c r="AX24" s="19">
        <v>3</v>
      </c>
      <c r="AY24" s="19">
        <v>5</v>
      </c>
      <c r="AZ24" s="16">
        <f t="shared" si="6"/>
        <v>400</v>
      </c>
      <c r="BA24" s="16">
        <f t="shared" si="7"/>
        <v>1200</v>
      </c>
      <c r="BB24" s="16">
        <f t="shared" si="8"/>
        <v>6300</v>
      </c>
    </row>
    <row r="25" spans="1:54" ht="16.5" x14ac:dyDescent="0.2">
      <c r="A25" s="17"/>
      <c r="B25" s="17"/>
      <c r="C25" s="17"/>
      <c r="D25" s="17"/>
      <c r="E25" s="17"/>
      <c r="F25" s="17"/>
      <c r="G25" s="17"/>
      <c r="H25" s="17"/>
      <c r="I25" s="17"/>
      <c r="AG25" s="27">
        <v>21</v>
      </c>
      <c r="AH25" s="27">
        <v>3</v>
      </c>
      <c r="AI25" s="27">
        <v>9</v>
      </c>
      <c r="AJ25" s="27">
        <f t="shared" si="0"/>
        <v>10</v>
      </c>
      <c r="AK25" s="27">
        <f t="shared" si="1"/>
        <v>20</v>
      </c>
      <c r="AL25" s="27">
        <f t="shared" si="2"/>
        <v>70</v>
      </c>
      <c r="AO25" s="19">
        <v>21</v>
      </c>
      <c r="AP25" s="19">
        <v>3</v>
      </c>
      <c r="AQ25" s="19">
        <v>5</v>
      </c>
      <c r="AR25" s="16">
        <f t="shared" si="3"/>
        <v>200</v>
      </c>
      <c r="AS25" s="16">
        <f t="shared" si="4"/>
        <v>600</v>
      </c>
      <c r="AT25" s="16">
        <f t="shared" si="5"/>
        <v>4200</v>
      </c>
      <c r="AW25" s="19">
        <v>21</v>
      </c>
      <c r="AX25" s="19">
        <v>3</v>
      </c>
      <c r="AY25" s="19">
        <v>6</v>
      </c>
      <c r="AZ25" s="16">
        <f t="shared" si="6"/>
        <v>400</v>
      </c>
      <c r="BA25" s="16">
        <f t="shared" si="7"/>
        <v>1200</v>
      </c>
      <c r="BB25" s="16">
        <f t="shared" si="8"/>
        <v>6300</v>
      </c>
    </row>
    <row r="26" spans="1:54" ht="16.5" x14ac:dyDescent="0.2">
      <c r="AG26" s="27">
        <v>22</v>
      </c>
      <c r="AH26" s="27">
        <v>3</v>
      </c>
      <c r="AI26" s="27">
        <v>10</v>
      </c>
      <c r="AJ26" s="27">
        <f t="shared" si="0"/>
        <v>10</v>
      </c>
      <c r="AK26" s="27">
        <f t="shared" si="1"/>
        <v>20</v>
      </c>
      <c r="AL26" s="27">
        <f t="shared" si="2"/>
        <v>73</v>
      </c>
      <c r="AO26" s="19">
        <v>22</v>
      </c>
      <c r="AP26" s="19">
        <v>3</v>
      </c>
      <c r="AQ26" s="19">
        <v>6</v>
      </c>
      <c r="AR26" s="16">
        <f t="shared" si="3"/>
        <v>200</v>
      </c>
      <c r="AS26" s="16">
        <f t="shared" si="4"/>
        <v>600</v>
      </c>
      <c r="AT26" s="16">
        <f t="shared" si="5"/>
        <v>4200</v>
      </c>
      <c r="AW26" s="19">
        <v>22</v>
      </c>
      <c r="AX26" s="19">
        <v>3</v>
      </c>
      <c r="AY26" s="19">
        <v>7</v>
      </c>
      <c r="AZ26" s="16">
        <f t="shared" si="6"/>
        <v>400</v>
      </c>
      <c r="BA26" s="16">
        <f t="shared" si="7"/>
        <v>1200</v>
      </c>
      <c r="BB26" s="16">
        <f t="shared" si="8"/>
        <v>6300</v>
      </c>
    </row>
    <row r="27" spans="1:54" ht="16.5" x14ac:dyDescent="0.2">
      <c r="AG27" s="27">
        <v>23</v>
      </c>
      <c r="AH27" s="27">
        <v>3</v>
      </c>
      <c r="AI27" s="27">
        <v>11</v>
      </c>
      <c r="AJ27" s="27">
        <f t="shared" si="0"/>
        <v>10</v>
      </c>
      <c r="AK27" s="27">
        <f t="shared" si="1"/>
        <v>21</v>
      </c>
      <c r="AL27" s="27">
        <f t="shared" si="2"/>
        <v>76</v>
      </c>
      <c r="AO27" s="19">
        <v>23</v>
      </c>
      <c r="AP27" s="19">
        <v>3</v>
      </c>
      <c r="AQ27" s="19">
        <v>7</v>
      </c>
      <c r="AR27" s="16">
        <f t="shared" si="3"/>
        <v>200</v>
      </c>
      <c r="AS27" s="16">
        <f t="shared" si="4"/>
        <v>600</v>
      </c>
      <c r="AT27" s="16">
        <f t="shared" si="5"/>
        <v>4200</v>
      </c>
      <c r="AW27" s="19">
        <v>23</v>
      </c>
      <c r="AX27" s="19">
        <v>4</v>
      </c>
      <c r="AY27" s="19">
        <v>1</v>
      </c>
      <c r="AZ27" s="16">
        <f t="shared" si="6"/>
        <v>520</v>
      </c>
      <c r="BA27" s="16">
        <f t="shared" si="7"/>
        <v>1500</v>
      </c>
      <c r="BB27" s="16">
        <f t="shared" si="8"/>
        <v>9360</v>
      </c>
    </row>
    <row r="28" spans="1:54" ht="16.5" x14ac:dyDescent="0.2">
      <c r="AG28" s="27">
        <v>24</v>
      </c>
      <c r="AH28" s="27">
        <v>3</v>
      </c>
      <c r="AI28" s="27">
        <v>12</v>
      </c>
      <c r="AJ28" s="27">
        <f t="shared" si="0"/>
        <v>10</v>
      </c>
      <c r="AK28" s="27">
        <f t="shared" si="1"/>
        <v>21</v>
      </c>
      <c r="AL28" s="27">
        <f t="shared" si="2"/>
        <v>79</v>
      </c>
      <c r="AO28" s="19">
        <v>24</v>
      </c>
      <c r="AP28" s="19">
        <v>4</v>
      </c>
      <c r="AQ28" s="19">
        <v>1</v>
      </c>
      <c r="AR28" s="16">
        <f t="shared" si="3"/>
        <v>260</v>
      </c>
      <c r="AS28" s="16">
        <f t="shared" si="4"/>
        <v>750</v>
      </c>
      <c r="AT28" s="16">
        <f t="shared" si="5"/>
        <v>6240</v>
      </c>
      <c r="AW28" s="19">
        <v>24</v>
      </c>
      <c r="AX28" s="27">
        <v>4</v>
      </c>
      <c r="AY28" s="19">
        <v>2</v>
      </c>
      <c r="AZ28" s="16">
        <f t="shared" si="6"/>
        <v>520</v>
      </c>
      <c r="BA28" s="16">
        <f t="shared" si="7"/>
        <v>1500</v>
      </c>
      <c r="BB28" s="16">
        <f t="shared" si="8"/>
        <v>9360</v>
      </c>
    </row>
    <row r="29" spans="1:54" ht="16.5" x14ac:dyDescent="0.2">
      <c r="AG29" s="27">
        <v>25</v>
      </c>
      <c r="AH29" s="27">
        <v>3</v>
      </c>
      <c r="AI29" s="27">
        <v>13</v>
      </c>
      <c r="AJ29" s="27">
        <f t="shared" si="0"/>
        <v>10</v>
      </c>
      <c r="AK29" s="27">
        <f t="shared" si="1"/>
        <v>22</v>
      </c>
      <c r="AL29" s="27">
        <f t="shared" si="2"/>
        <v>82</v>
      </c>
      <c r="AO29" s="19">
        <v>25</v>
      </c>
      <c r="AP29" s="27">
        <v>4</v>
      </c>
      <c r="AQ29" s="19">
        <v>2</v>
      </c>
      <c r="AR29" s="16">
        <f t="shared" si="3"/>
        <v>260</v>
      </c>
      <c r="AS29" s="16">
        <f t="shared" si="4"/>
        <v>750</v>
      </c>
      <c r="AT29" s="16">
        <f t="shared" si="5"/>
        <v>6240</v>
      </c>
      <c r="AW29" s="19">
        <v>25</v>
      </c>
      <c r="AX29" s="27">
        <v>4</v>
      </c>
      <c r="AY29" s="27">
        <v>3</v>
      </c>
      <c r="AZ29" s="16">
        <f t="shared" si="6"/>
        <v>520</v>
      </c>
      <c r="BA29" s="16">
        <f t="shared" si="7"/>
        <v>1500</v>
      </c>
      <c r="BB29" s="16">
        <f t="shared" si="8"/>
        <v>9360</v>
      </c>
    </row>
    <row r="30" spans="1:54" ht="16.5" x14ac:dyDescent="0.2">
      <c r="AG30" s="27">
        <v>26</v>
      </c>
      <c r="AH30" s="27">
        <v>3</v>
      </c>
      <c r="AI30" s="27">
        <v>14</v>
      </c>
      <c r="AJ30" s="27">
        <f t="shared" si="0"/>
        <v>10</v>
      </c>
      <c r="AK30" s="27">
        <f t="shared" si="1"/>
        <v>22</v>
      </c>
      <c r="AL30" s="27">
        <f t="shared" si="2"/>
        <v>85</v>
      </c>
      <c r="AO30" s="19">
        <v>26</v>
      </c>
      <c r="AP30" s="27">
        <v>4</v>
      </c>
      <c r="AQ30" s="27">
        <v>3</v>
      </c>
      <c r="AR30" s="16">
        <f t="shared" si="3"/>
        <v>260</v>
      </c>
      <c r="AS30" s="16">
        <f t="shared" si="4"/>
        <v>750</v>
      </c>
      <c r="AT30" s="16">
        <f t="shared" si="5"/>
        <v>6240</v>
      </c>
      <c r="AW30" s="19">
        <v>26</v>
      </c>
      <c r="AX30" s="27">
        <v>4</v>
      </c>
      <c r="AY30" s="27">
        <v>4</v>
      </c>
      <c r="AZ30" s="16">
        <f t="shared" si="6"/>
        <v>520</v>
      </c>
      <c r="BA30" s="16">
        <f t="shared" si="7"/>
        <v>1500</v>
      </c>
      <c r="BB30" s="16">
        <f t="shared" si="8"/>
        <v>9360</v>
      </c>
    </row>
    <row r="31" spans="1:54" ht="16.5" x14ac:dyDescent="0.2">
      <c r="AG31" s="27">
        <v>27</v>
      </c>
      <c r="AH31" s="27">
        <v>3</v>
      </c>
      <c r="AI31" s="27">
        <v>15</v>
      </c>
      <c r="AJ31" s="27">
        <f t="shared" si="0"/>
        <v>10</v>
      </c>
      <c r="AK31" s="27">
        <f t="shared" si="1"/>
        <v>23</v>
      </c>
      <c r="AL31" s="27">
        <f t="shared" si="2"/>
        <v>88</v>
      </c>
      <c r="AO31" s="19">
        <v>27</v>
      </c>
      <c r="AP31" s="27">
        <v>4</v>
      </c>
      <c r="AQ31" s="27">
        <v>4</v>
      </c>
      <c r="AR31" s="16">
        <f t="shared" si="3"/>
        <v>260</v>
      </c>
      <c r="AS31" s="16">
        <f t="shared" si="4"/>
        <v>750</v>
      </c>
      <c r="AT31" s="16">
        <f t="shared" si="5"/>
        <v>6240</v>
      </c>
      <c r="AW31" s="19">
        <v>27</v>
      </c>
      <c r="AX31" s="27">
        <v>4</v>
      </c>
      <c r="AY31" s="27">
        <v>5</v>
      </c>
      <c r="AZ31" s="16">
        <f t="shared" si="6"/>
        <v>520</v>
      </c>
      <c r="BA31" s="16">
        <f t="shared" si="7"/>
        <v>1500</v>
      </c>
      <c r="BB31" s="16">
        <f t="shared" si="8"/>
        <v>9360</v>
      </c>
    </row>
    <row r="32" spans="1:54" ht="16.5" x14ac:dyDescent="0.2">
      <c r="AG32" s="27">
        <v>28</v>
      </c>
      <c r="AH32" s="27">
        <v>4</v>
      </c>
      <c r="AI32" s="27">
        <v>1</v>
      </c>
      <c r="AJ32" s="27">
        <f t="shared" si="0"/>
        <v>13</v>
      </c>
      <c r="AK32" s="27">
        <f t="shared" si="1"/>
        <v>20</v>
      </c>
      <c r="AL32" s="27">
        <f t="shared" si="2"/>
        <v>73</v>
      </c>
      <c r="AO32" s="19">
        <v>28</v>
      </c>
      <c r="AP32" s="27">
        <v>4</v>
      </c>
      <c r="AQ32" s="27">
        <v>5</v>
      </c>
      <c r="AR32" s="16">
        <f t="shared" si="3"/>
        <v>260</v>
      </c>
      <c r="AS32" s="16">
        <f t="shared" si="4"/>
        <v>750</v>
      </c>
      <c r="AT32" s="16">
        <f t="shared" si="5"/>
        <v>6240</v>
      </c>
      <c r="AW32" s="19">
        <v>28</v>
      </c>
      <c r="AX32" s="27">
        <v>4</v>
      </c>
      <c r="AY32" s="27">
        <v>6</v>
      </c>
      <c r="AZ32" s="16">
        <f t="shared" si="6"/>
        <v>520</v>
      </c>
      <c r="BA32" s="16">
        <f t="shared" si="7"/>
        <v>1500</v>
      </c>
      <c r="BB32" s="16">
        <f t="shared" si="8"/>
        <v>9360</v>
      </c>
    </row>
    <row r="33" spans="33:54" ht="16.5" x14ac:dyDescent="0.2">
      <c r="AG33" s="27">
        <v>29</v>
      </c>
      <c r="AH33" s="27">
        <v>4</v>
      </c>
      <c r="AI33" s="27">
        <v>2</v>
      </c>
      <c r="AJ33" s="27">
        <f t="shared" si="0"/>
        <v>13</v>
      </c>
      <c r="AK33" s="27">
        <f t="shared" si="1"/>
        <v>21</v>
      </c>
      <c r="AL33" s="27">
        <f t="shared" si="2"/>
        <v>77</v>
      </c>
      <c r="AO33" s="19">
        <v>29</v>
      </c>
      <c r="AP33" s="27">
        <v>4</v>
      </c>
      <c r="AQ33" s="27">
        <v>6</v>
      </c>
      <c r="AR33" s="16">
        <f t="shared" si="3"/>
        <v>260</v>
      </c>
      <c r="AS33" s="16">
        <f t="shared" si="4"/>
        <v>750</v>
      </c>
      <c r="AT33" s="16">
        <f t="shared" si="5"/>
        <v>6240</v>
      </c>
      <c r="AW33" s="19">
        <v>29</v>
      </c>
      <c r="AX33" s="27">
        <v>4</v>
      </c>
      <c r="AY33" s="27">
        <v>7</v>
      </c>
      <c r="AZ33" s="16">
        <f t="shared" si="6"/>
        <v>520</v>
      </c>
      <c r="BA33" s="16">
        <f t="shared" si="7"/>
        <v>1500</v>
      </c>
      <c r="BB33" s="16">
        <f t="shared" si="8"/>
        <v>9360</v>
      </c>
    </row>
    <row r="34" spans="33:54" ht="16.5" x14ac:dyDescent="0.2">
      <c r="AG34" s="27">
        <v>30</v>
      </c>
      <c r="AH34" s="27">
        <v>4</v>
      </c>
      <c r="AI34" s="27">
        <v>3</v>
      </c>
      <c r="AJ34" s="27">
        <f t="shared" si="0"/>
        <v>13</v>
      </c>
      <c r="AK34" s="27">
        <f t="shared" si="1"/>
        <v>21</v>
      </c>
      <c r="AL34" s="27">
        <f t="shared" si="2"/>
        <v>81</v>
      </c>
      <c r="AO34" s="19">
        <v>30</v>
      </c>
      <c r="AP34" s="27">
        <v>4</v>
      </c>
      <c r="AQ34" s="27">
        <v>7</v>
      </c>
      <c r="AR34" s="16">
        <f t="shared" si="3"/>
        <v>260</v>
      </c>
      <c r="AS34" s="16">
        <f t="shared" si="4"/>
        <v>750</v>
      </c>
      <c r="AT34" s="16">
        <f t="shared" si="5"/>
        <v>6240</v>
      </c>
      <c r="AW34" s="19">
        <v>30</v>
      </c>
      <c r="AX34" s="27">
        <v>4</v>
      </c>
      <c r="AY34" s="27">
        <v>8</v>
      </c>
      <c r="AZ34" s="16">
        <f t="shared" si="6"/>
        <v>520</v>
      </c>
      <c r="BA34" s="16">
        <f t="shared" si="7"/>
        <v>1500</v>
      </c>
      <c r="BB34" s="16">
        <f t="shared" si="8"/>
        <v>9360</v>
      </c>
    </row>
    <row r="35" spans="33:54" ht="16.5" x14ac:dyDescent="0.2">
      <c r="AG35" s="27">
        <v>31</v>
      </c>
      <c r="AH35" s="27">
        <v>4</v>
      </c>
      <c r="AI35" s="27">
        <v>4</v>
      </c>
      <c r="AJ35" s="27">
        <f t="shared" si="0"/>
        <v>13</v>
      </c>
      <c r="AK35" s="27">
        <f t="shared" si="1"/>
        <v>22</v>
      </c>
      <c r="AL35" s="27">
        <f t="shared" si="2"/>
        <v>85</v>
      </c>
      <c r="AO35" s="19">
        <v>31</v>
      </c>
      <c r="AP35" s="27">
        <v>4</v>
      </c>
      <c r="AQ35" s="27">
        <v>8</v>
      </c>
      <c r="AR35" s="16">
        <f t="shared" si="3"/>
        <v>260</v>
      </c>
      <c r="AS35" s="16">
        <f t="shared" si="4"/>
        <v>750</v>
      </c>
      <c r="AT35" s="16">
        <f t="shared" si="5"/>
        <v>6240</v>
      </c>
      <c r="AW35" s="19">
        <v>31</v>
      </c>
      <c r="AX35" s="27">
        <v>5</v>
      </c>
      <c r="AY35" s="19">
        <v>1</v>
      </c>
      <c r="AZ35" s="16">
        <f t="shared" si="6"/>
        <v>640</v>
      </c>
      <c r="BA35" s="16">
        <f t="shared" si="7"/>
        <v>1920</v>
      </c>
      <c r="BB35" s="16">
        <f t="shared" si="8"/>
        <v>12960</v>
      </c>
    </row>
    <row r="36" spans="33:54" ht="16.5" x14ac:dyDescent="0.2">
      <c r="AG36" s="27">
        <v>32</v>
      </c>
      <c r="AH36" s="27">
        <v>4</v>
      </c>
      <c r="AI36" s="27">
        <v>5</v>
      </c>
      <c r="AJ36" s="27">
        <f t="shared" si="0"/>
        <v>13</v>
      </c>
      <c r="AK36" s="27">
        <f t="shared" si="1"/>
        <v>22</v>
      </c>
      <c r="AL36" s="27">
        <f t="shared" si="2"/>
        <v>88</v>
      </c>
      <c r="AO36" s="19">
        <v>32</v>
      </c>
      <c r="AP36" s="19">
        <v>5</v>
      </c>
      <c r="AQ36" s="19">
        <v>1</v>
      </c>
      <c r="AR36" s="16">
        <f t="shared" si="3"/>
        <v>320</v>
      </c>
      <c r="AS36" s="16">
        <f t="shared" si="4"/>
        <v>960</v>
      </c>
      <c r="AT36" s="16">
        <f t="shared" si="5"/>
        <v>8640</v>
      </c>
      <c r="AW36" s="19">
        <v>32</v>
      </c>
      <c r="AX36" s="27">
        <v>5</v>
      </c>
      <c r="AY36" s="19">
        <v>2</v>
      </c>
      <c r="AZ36" s="16">
        <f t="shared" si="6"/>
        <v>640</v>
      </c>
      <c r="BA36" s="16">
        <f t="shared" si="7"/>
        <v>1920</v>
      </c>
      <c r="BB36" s="16">
        <f t="shared" si="8"/>
        <v>12960</v>
      </c>
    </row>
    <row r="37" spans="33:54" ht="16.5" x14ac:dyDescent="0.2">
      <c r="AG37" s="27">
        <v>33</v>
      </c>
      <c r="AH37" s="27">
        <v>4</v>
      </c>
      <c r="AI37" s="27">
        <v>6</v>
      </c>
      <c r="AJ37" s="27">
        <f t="shared" si="0"/>
        <v>13</v>
      </c>
      <c r="AK37" s="27">
        <f t="shared" si="1"/>
        <v>23</v>
      </c>
      <c r="AL37" s="27">
        <f t="shared" si="2"/>
        <v>92</v>
      </c>
      <c r="AO37" s="19">
        <v>33</v>
      </c>
      <c r="AP37" s="27">
        <v>5</v>
      </c>
      <c r="AQ37" s="19">
        <v>2</v>
      </c>
      <c r="AR37" s="16">
        <f t="shared" si="3"/>
        <v>320</v>
      </c>
      <c r="AS37" s="16">
        <f t="shared" si="4"/>
        <v>960</v>
      </c>
      <c r="AT37" s="16">
        <f t="shared" si="5"/>
        <v>8640</v>
      </c>
      <c r="AW37" s="19">
        <v>33</v>
      </c>
      <c r="AX37" s="27">
        <v>5</v>
      </c>
      <c r="AY37" s="19">
        <v>3</v>
      </c>
      <c r="AZ37" s="16">
        <f t="shared" si="6"/>
        <v>640</v>
      </c>
      <c r="BA37" s="16">
        <f t="shared" si="7"/>
        <v>1920</v>
      </c>
      <c r="BB37" s="16">
        <f t="shared" si="8"/>
        <v>12960</v>
      </c>
    </row>
    <row r="38" spans="33:54" ht="16.5" x14ac:dyDescent="0.2">
      <c r="AG38" s="27">
        <v>34</v>
      </c>
      <c r="AH38" s="27">
        <v>4</v>
      </c>
      <c r="AI38" s="27">
        <v>7</v>
      </c>
      <c r="AJ38" s="27">
        <f t="shared" si="0"/>
        <v>13</v>
      </c>
      <c r="AK38" s="27">
        <f t="shared" si="1"/>
        <v>23</v>
      </c>
      <c r="AL38" s="27">
        <f t="shared" si="2"/>
        <v>96</v>
      </c>
      <c r="AO38" s="19">
        <v>34</v>
      </c>
      <c r="AP38" s="27">
        <v>5</v>
      </c>
      <c r="AQ38" s="19">
        <v>3</v>
      </c>
      <c r="AR38" s="16">
        <f t="shared" si="3"/>
        <v>320</v>
      </c>
      <c r="AS38" s="16">
        <f t="shared" si="4"/>
        <v>960</v>
      </c>
      <c r="AT38" s="16">
        <f t="shared" si="5"/>
        <v>8640</v>
      </c>
      <c r="AW38" s="19">
        <v>34</v>
      </c>
      <c r="AX38" s="27">
        <v>5</v>
      </c>
      <c r="AY38" s="19">
        <v>4</v>
      </c>
      <c r="AZ38" s="16">
        <f t="shared" si="6"/>
        <v>640</v>
      </c>
      <c r="BA38" s="16">
        <f t="shared" si="7"/>
        <v>1920</v>
      </c>
      <c r="BB38" s="16">
        <f t="shared" si="8"/>
        <v>12960</v>
      </c>
    </row>
    <row r="39" spans="33:54" ht="16.5" x14ac:dyDescent="0.2">
      <c r="AG39" s="27">
        <v>35</v>
      </c>
      <c r="AH39" s="27">
        <v>4</v>
      </c>
      <c r="AI39" s="27">
        <v>8</v>
      </c>
      <c r="AJ39" s="27">
        <f t="shared" si="0"/>
        <v>13</v>
      </c>
      <c r="AK39" s="27">
        <f t="shared" si="1"/>
        <v>24</v>
      </c>
      <c r="AL39" s="27">
        <f t="shared" si="2"/>
        <v>100</v>
      </c>
      <c r="AO39" s="19">
        <v>35</v>
      </c>
      <c r="AP39" s="27">
        <v>5</v>
      </c>
      <c r="AQ39" s="19">
        <v>4</v>
      </c>
      <c r="AR39" s="16">
        <f t="shared" si="3"/>
        <v>320</v>
      </c>
      <c r="AS39" s="16">
        <f t="shared" si="4"/>
        <v>960</v>
      </c>
      <c r="AT39" s="16">
        <f t="shared" si="5"/>
        <v>8640</v>
      </c>
      <c r="AW39" s="19">
        <v>35</v>
      </c>
      <c r="AX39" s="27">
        <v>5</v>
      </c>
      <c r="AY39" s="19">
        <v>5</v>
      </c>
      <c r="AZ39" s="16">
        <f t="shared" si="6"/>
        <v>640</v>
      </c>
      <c r="BA39" s="16">
        <f t="shared" si="7"/>
        <v>1920</v>
      </c>
      <c r="BB39" s="16">
        <f t="shared" si="8"/>
        <v>12960</v>
      </c>
    </row>
    <row r="40" spans="33:54" ht="16.5" x14ac:dyDescent="0.2">
      <c r="AG40" s="27">
        <v>36</v>
      </c>
      <c r="AH40" s="27">
        <v>4</v>
      </c>
      <c r="AI40" s="27">
        <v>9</v>
      </c>
      <c r="AJ40" s="27">
        <f t="shared" si="0"/>
        <v>13</v>
      </c>
      <c r="AK40" s="27">
        <f t="shared" si="1"/>
        <v>25</v>
      </c>
      <c r="AL40" s="27">
        <f t="shared" si="2"/>
        <v>104</v>
      </c>
      <c r="AO40" s="19">
        <v>36</v>
      </c>
      <c r="AP40" s="27">
        <v>5</v>
      </c>
      <c r="AQ40" s="19">
        <v>5</v>
      </c>
      <c r="AR40" s="16">
        <f t="shared" si="3"/>
        <v>320</v>
      </c>
      <c r="AS40" s="16">
        <f t="shared" si="4"/>
        <v>960</v>
      </c>
      <c r="AT40" s="16">
        <f t="shared" si="5"/>
        <v>8640</v>
      </c>
      <c r="AW40" s="19">
        <v>36</v>
      </c>
      <c r="AX40" s="27">
        <v>5</v>
      </c>
      <c r="AY40" s="19">
        <v>6</v>
      </c>
      <c r="AZ40" s="16">
        <f t="shared" si="6"/>
        <v>640</v>
      </c>
      <c r="BA40" s="16">
        <f t="shared" si="7"/>
        <v>1920</v>
      </c>
      <c r="BB40" s="16">
        <f t="shared" si="8"/>
        <v>12960</v>
      </c>
    </row>
    <row r="41" spans="33:54" ht="16.5" x14ac:dyDescent="0.2">
      <c r="AG41" s="27">
        <v>37</v>
      </c>
      <c r="AH41" s="27">
        <v>4</v>
      </c>
      <c r="AI41" s="27">
        <v>10</v>
      </c>
      <c r="AJ41" s="27">
        <f t="shared" si="0"/>
        <v>13</v>
      </c>
      <c r="AK41" s="27">
        <f t="shared" si="1"/>
        <v>25</v>
      </c>
      <c r="AL41" s="27">
        <f t="shared" si="2"/>
        <v>107</v>
      </c>
      <c r="AO41" s="19">
        <v>37</v>
      </c>
      <c r="AP41" s="27">
        <v>5</v>
      </c>
      <c r="AQ41" s="19">
        <v>6</v>
      </c>
      <c r="AR41" s="16">
        <f t="shared" si="3"/>
        <v>320</v>
      </c>
      <c r="AS41" s="16">
        <f t="shared" si="4"/>
        <v>960</v>
      </c>
      <c r="AT41" s="16">
        <f t="shared" si="5"/>
        <v>8640</v>
      </c>
      <c r="AW41" s="19">
        <v>37</v>
      </c>
      <c r="AX41" s="27">
        <v>5</v>
      </c>
      <c r="AY41" s="19">
        <v>7</v>
      </c>
      <c r="AZ41" s="16">
        <f t="shared" si="6"/>
        <v>640</v>
      </c>
      <c r="BA41" s="16">
        <f t="shared" si="7"/>
        <v>1920</v>
      </c>
      <c r="BB41" s="16">
        <f t="shared" si="8"/>
        <v>12960</v>
      </c>
    </row>
    <row r="42" spans="33:54" ht="16.5" x14ac:dyDescent="0.2">
      <c r="AG42" s="27">
        <v>38</v>
      </c>
      <c r="AH42" s="27">
        <v>4</v>
      </c>
      <c r="AI42" s="27">
        <v>11</v>
      </c>
      <c r="AJ42" s="27">
        <f t="shared" si="0"/>
        <v>13</v>
      </c>
      <c r="AK42" s="27">
        <f t="shared" si="1"/>
        <v>26</v>
      </c>
      <c r="AL42" s="27">
        <f t="shared" si="2"/>
        <v>111</v>
      </c>
      <c r="AO42" s="19">
        <v>38</v>
      </c>
      <c r="AP42" s="27">
        <v>5</v>
      </c>
      <c r="AQ42" s="19">
        <v>7</v>
      </c>
      <c r="AR42" s="16">
        <f t="shared" si="3"/>
        <v>320</v>
      </c>
      <c r="AS42" s="16">
        <f t="shared" si="4"/>
        <v>960</v>
      </c>
      <c r="AT42" s="16">
        <f t="shared" si="5"/>
        <v>8640</v>
      </c>
      <c r="AW42" s="19">
        <v>38</v>
      </c>
      <c r="AX42" s="27">
        <v>5</v>
      </c>
      <c r="AY42" s="19">
        <v>8</v>
      </c>
      <c r="AZ42" s="16">
        <f t="shared" si="6"/>
        <v>640</v>
      </c>
      <c r="BA42" s="16">
        <f t="shared" si="7"/>
        <v>1920</v>
      </c>
      <c r="BB42" s="16">
        <f t="shared" si="8"/>
        <v>12960</v>
      </c>
    </row>
    <row r="43" spans="33:54" ht="16.5" x14ac:dyDescent="0.2">
      <c r="AG43" s="27">
        <v>39</v>
      </c>
      <c r="AH43" s="27">
        <v>4</v>
      </c>
      <c r="AI43" s="27">
        <v>12</v>
      </c>
      <c r="AJ43" s="27">
        <f t="shared" si="0"/>
        <v>13</v>
      </c>
      <c r="AK43" s="27">
        <f t="shared" si="1"/>
        <v>26</v>
      </c>
      <c r="AL43" s="27">
        <f t="shared" si="2"/>
        <v>115</v>
      </c>
      <c r="AO43" s="19">
        <v>39</v>
      </c>
      <c r="AP43" s="27">
        <v>5</v>
      </c>
      <c r="AQ43" s="19">
        <v>8</v>
      </c>
      <c r="AR43" s="16">
        <f t="shared" si="3"/>
        <v>320</v>
      </c>
      <c r="AS43" s="16">
        <f t="shared" si="4"/>
        <v>960</v>
      </c>
      <c r="AT43" s="16">
        <f t="shared" si="5"/>
        <v>8640</v>
      </c>
      <c r="AW43" s="19">
        <v>39</v>
      </c>
      <c r="AX43" s="27">
        <v>5</v>
      </c>
      <c r="AY43" s="19">
        <v>9</v>
      </c>
      <c r="AZ43" s="16">
        <f t="shared" si="6"/>
        <v>640</v>
      </c>
      <c r="BA43" s="16">
        <f t="shared" si="7"/>
        <v>1920</v>
      </c>
      <c r="BB43" s="16">
        <f t="shared" si="8"/>
        <v>12960</v>
      </c>
    </row>
    <row r="44" spans="33:54" ht="16.5" x14ac:dyDescent="0.2">
      <c r="AG44" s="27">
        <v>40</v>
      </c>
      <c r="AH44" s="27">
        <v>4</v>
      </c>
      <c r="AI44" s="27">
        <v>13</v>
      </c>
      <c r="AJ44" s="27">
        <f t="shared" si="0"/>
        <v>13</v>
      </c>
      <c r="AK44" s="27">
        <f t="shared" si="1"/>
        <v>27</v>
      </c>
      <c r="AL44" s="27">
        <f t="shared" si="2"/>
        <v>119</v>
      </c>
      <c r="AO44" s="19">
        <v>40</v>
      </c>
      <c r="AP44" s="27">
        <v>5</v>
      </c>
      <c r="AQ44" s="19">
        <v>9</v>
      </c>
      <c r="AR44" s="16">
        <f t="shared" si="3"/>
        <v>320</v>
      </c>
      <c r="AS44" s="16">
        <f t="shared" si="4"/>
        <v>960</v>
      </c>
      <c r="AT44" s="16">
        <f t="shared" si="5"/>
        <v>8640</v>
      </c>
      <c r="AW44" s="19">
        <v>40</v>
      </c>
      <c r="AX44" s="27">
        <v>5</v>
      </c>
      <c r="AY44" s="19">
        <v>10</v>
      </c>
      <c r="AZ44" s="16">
        <f t="shared" si="6"/>
        <v>640</v>
      </c>
      <c r="BA44" s="16">
        <f t="shared" si="7"/>
        <v>1920</v>
      </c>
      <c r="BB44" s="16">
        <f t="shared" si="8"/>
        <v>12960</v>
      </c>
    </row>
    <row r="45" spans="33:54" ht="16.5" x14ac:dyDescent="0.2">
      <c r="AG45" s="27">
        <v>41</v>
      </c>
      <c r="AH45" s="27">
        <v>4</v>
      </c>
      <c r="AI45" s="27">
        <v>14</v>
      </c>
      <c r="AJ45" s="27">
        <f t="shared" si="0"/>
        <v>13</v>
      </c>
      <c r="AK45" s="27">
        <f t="shared" si="1"/>
        <v>27</v>
      </c>
      <c r="AL45" s="27">
        <f t="shared" si="2"/>
        <v>122</v>
      </c>
      <c r="AO45" s="19">
        <v>41</v>
      </c>
      <c r="AP45" s="27">
        <v>5</v>
      </c>
      <c r="AQ45" s="19">
        <v>10</v>
      </c>
      <c r="AR45" s="16">
        <f t="shared" si="3"/>
        <v>320</v>
      </c>
      <c r="AS45" s="16">
        <f t="shared" si="4"/>
        <v>960</v>
      </c>
      <c r="AT45" s="16">
        <f t="shared" si="5"/>
        <v>8640</v>
      </c>
      <c r="AW45" s="19">
        <v>41</v>
      </c>
      <c r="AX45" s="27">
        <v>5</v>
      </c>
      <c r="AY45" s="19">
        <v>11</v>
      </c>
      <c r="AZ45" s="16">
        <f t="shared" si="6"/>
        <v>640</v>
      </c>
      <c r="BA45" s="16">
        <f t="shared" si="7"/>
        <v>1920</v>
      </c>
      <c r="BB45" s="16">
        <f t="shared" si="8"/>
        <v>12960</v>
      </c>
    </row>
    <row r="46" spans="33:54" ht="16.5" x14ac:dyDescent="0.2">
      <c r="AG46" s="27">
        <v>42</v>
      </c>
      <c r="AH46" s="27">
        <v>4</v>
      </c>
      <c r="AI46" s="27">
        <v>15</v>
      </c>
      <c r="AJ46" s="27">
        <f t="shared" si="0"/>
        <v>13</v>
      </c>
      <c r="AK46" s="27">
        <f t="shared" si="1"/>
        <v>28</v>
      </c>
      <c r="AL46" s="27">
        <f t="shared" si="2"/>
        <v>126</v>
      </c>
      <c r="AO46" s="19">
        <v>42</v>
      </c>
      <c r="AP46" s="27">
        <v>5</v>
      </c>
      <c r="AQ46" s="19">
        <v>11</v>
      </c>
      <c r="AR46" s="16">
        <f t="shared" si="3"/>
        <v>320</v>
      </c>
      <c r="AS46" s="16">
        <f t="shared" si="4"/>
        <v>960</v>
      </c>
      <c r="AT46" s="16">
        <f t="shared" si="5"/>
        <v>8640</v>
      </c>
      <c r="AW46" s="19">
        <v>42</v>
      </c>
      <c r="AX46" s="27">
        <v>5</v>
      </c>
      <c r="AY46" s="19">
        <v>12</v>
      </c>
      <c r="AZ46" s="16">
        <f t="shared" si="6"/>
        <v>640</v>
      </c>
      <c r="BA46" s="16">
        <f t="shared" si="7"/>
        <v>1920</v>
      </c>
      <c r="BB46" s="16">
        <f t="shared" si="8"/>
        <v>12960</v>
      </c>
    </row>
    <row r="47" spans="33:54" ht="16.5" x14ac:dyDescent="0.2">
      <c r="AG47" s="27">
        <v>43</v>
      </c>
      <c r="AH47" s="27">
        <v>5</v>
      </c>
      <c r="AI47" s="27">
        <v>1</v>
      </c>
      <c r="AJ47" s="27">
        <f t="shared" si="0"/>
        <v>16</v>
      </c>
      <c r="AK47" s="27">
        <f t="shared" si="1"/>
        <v>25</v>
      </c>
      <c r="AL47" s="27">
        <f t="shared" si="2"/>
        <v>106</v>
      </c>
      <c r="AO47" s="19">
        <v>43</v>
      </c>
      <c r="AP47" s="27">
        <v>5</v>
      </c>
      <c r="AQ47" s="19">
        <v>12</v>
      </c>
      <c r="AR47" s="16">
        <f t="shared" si="3"/>
        <v>320</v>
      </c>
      <c r="AS47" s="16">
        <f t="shared" si="4"/>
        <v>960</v>
      </c>
      <c r="AT47" s="16">
        <f t="shared" si="5"/>
        <v>8640</v>
      </c>
      <c r="AW47" s="19">
        <v>43</v>
      </c>
      <c r="AX47" s="27">
        <v>5</v>
      </c>
      <c r="AY47" s="19">
        <v>13</v>
      </c>
      <c r="AZ47" s="16">
        <f t="shared" si="6"/>
        <v>640</v>
      </c>
      <c r="BA47" s="16">
        <f t="shared" si="7"/>
        <v>1920</v>
      </c>
      <c r="BB47" s="16">
        <f t="shared" si="8"/>
        <v>12960</v>
      </c>
    </row>
    <row r="48" spans="33:54" ht="16.5" x14ac:dyDescent="0.2">
      <c r="AG48" s="27">
        <v>44</v>
      </c>
      <c r="AH48" s="27">
        <v>5</v>
      </c>
      <c r="AI48" s="27">
        <v>2</v>
      </c>
      <c r="AJ48" s="27">
        <f t="shared" si="0"/>
        <v>16</v>
      </c>
      <c r="AK48" s="27">
        <f t="shared" si="1"/>
        <v>25</v>
      </c>
      <c r="AL48" s="27">
        <f t="shared" si="2"/>
        <v>109</v>
      </c>
      <c r="AO48" s="19">
        <v>44</v>
      </c>
      <c r="AP48" s="27">
        <v>5</v>
      </c>
      <c r="AQ48" s="19">
        <v>13</v>
      </c>
      <c r="AR48" s="16">
        <f t="shared" si="3"/>
        <v>320</v>
      </c>
      <c r="AS48" s="16">
        <f t="shared" si="4"/>
        <v>960</v>
      </c>
      <c r="AT48" s="16">
        <f t="shared" si="5"/>
        <v>8640</v>
      </c>
      <c r="AW48" s="19">
        <v>44</v>
      </c>
      <c r="AX48" s="27">
        <v>5</v>
      </c>
      <c r="AY48" s="19">
        <v>14</v>
      </c>
      <c r="AZ48" s="16">
        <f t="shared" si="6"/>
        <v>640</v>
      </c>
      <c r="BA48" s="16">
        <f t="shared" si="7"/>
        <v>1920</v>
      </c>
      <c r="BB48" s="16">
        <f t="shared" si="8"/>
        <v>12960</v>
      </c>
    </row>
    <row r="49" spans="33:54" ht="16.5" x14ac:dyDescent="0.2">
      <c r="AG49" s="27">
        <v>45</v>
      </c>
      <c r="AH49" s="27">
        <v>5</v>
      </c>
      <c r="AI49" s="27">
        <v>3</v>
      </c>
      <c r="AJ49" s="27">
        <f t="shared" si="0"/>
        <v>16</v>
      </c>
      <c r="AK49" s="27">
        <f t="shared" si="1"/>
        <v>26</v>
      </c>
      <c r="AL49" s="27">
        <f t="shared" si="2"/>
        <v>112</v>
      </c>
      <c r="AO49" s="19">
        <v>45</v>
      </c>
      <c r="AP49" s="27">
        <v>5</v>
      </c>
      <c r="AQ49" s="19">
        <v>14</v>
      </c>
      <c r="AR49" s="16">
        <f t="shared" si="3"/>
        <v>320</v>
      </c>
      <c r="AS49" s="16">
        <f t="shared" si="4"/>
        <v>960</v>
      </c>
      <c r="AT49" s="16">
        <f t="shared" si="5"/>
        <v>8640</v>
      </c>
      <c r="AW49" s="19">
        <v>45</v>
      </c>
      <c r="AX49" s="27">
        <v>5</v>
      </c>
      <c r="AY49" s="19">
        <v>15</v>
      </c>
      <c r="AZ49" s="16">
        <f t="shared" si="6"/>
        <v>640</v>
      </c>
      <c r="BA49" s="16">
        <f t="shared" si="7"/>
        <v>1920</v>
      </c>
      <c r="BB49" s="16">
        <f t="shared" si="8"/>
        <v>12960</v>
      </c>
    </row>
    <row r="50" spans="33:54" ht="16.5" x14ac:dyDescent="0.2">
      <c r="AG50" s="27">
        <v>46</v>
      </c>
      <c r="AH50" s="27">
        <v>5</v>
      </c>
      <c r="AI50" s="27">
        <v>4</v>
      </c>
      <c r="AJ50" s="27">
        <f t="shared" si="0"/>
        <v>16</v>
      </c>
      <c r="AK50" s="27">
        <f t="shared" si="1"/>
        <v>26</v>
      </c>
      <c r="AL50" s="27">
        <f t="shared" si="2"/>
        <v>114</v>
      </c>
      <c r="AO50" s="19">
        <v>46</v>
      </c>
      <c r="AP50" s="27">
        <v>5</v>
      </c>
      <c r="AQ50" s="19">
        <v>15</v>
      </c>
      <c r="AR50" s="16">
        <f t="shared" si="3"/>
        <v>320</v>
      </c>
      <c r="AS50" s="16">
        <f t="shared" si="4"/>
        <v>960</v>
      </c>
      <c r="AT50" s="16">
        <f t="shared" si="5"/>
        <v>8640</v>
      </c>
      <c r="AW50" s="19">
        <v>46</v>
      </c>
      <c r="AX50" s="27">
        <v>6</v>
      </c>
      <c r="AY50" s="19">
        <v>1</v>
      </c>
      <c r="AZ50" s="16">
        <f t="shared" si="6"/>
        <v>800</v>
      </c>
      <c r="BA50" s="16">
        <f t="shared" si="7"/>
        <v>2400</v>
      </c>
      <c r="BB50" s="16">
        <f t="shared" si="8"/>
        <v>18000</v>
      </c>
    </row>
    <row r="51" spans="33:54" ht="16.5" x14ac:dyDescent="0.2">
      <c r="AG51" s="27">
        <v>47</v>
      </c>
      <c r="AH51" s="27">
        <v>5</v>
      </c>
      <c r="AI51" s="27">
        <v>5</v>
      </c>
      <c r="AJ51" s="27">
        <f t="shared" si="0"/>
        <v>16</v>
      </c>
      <c r="AK51" s="27">
        <f t="shared" si="1"/>
        <v>27</v>
      </c>
      <c r="AL51" s="27">
        <f t="shared" si="2"/>
        <v>117</v>
      </c>
      <c r="AO51" s="19">
        <v>47</v>
      </c>
      <c r="AP51" s="27">
        <v>6</v>
      </c>
      <c r="AQ51" s="19">
        <v>1</v>
      </c>
      <c r="AR51" s="16">
        <f t="shared" si="3"/>
        <v>400</v>
      </c>
      <c r="AS51" s="16">
        <f t="shared" si="4"/>
        <v>1200</v>
      </c>
      <c r="AT51" s="16">
        <f t="shared" si="5"/>
        <v>12000</v>
      </c>
      <c r="AW51" s="19">
        <v>47</v>
      </c>
      <c r="AX51" s="27">
        <v>6</v>
      </c>
      <c r="AY51" s="19">
        <v>2</v>
      </c>
      <c r="AZ51" s="16">
        <f t="shared" si="6"/>
        <v>800</v>
      </c>
      <c r="BA51" s="16">
        <f t="shared" si="7"/>
        <v>2400</v>
      </c>
      <c r="BB51" s="16">
        <f t="shared" si="8"/>
        <v>18000</v>
      </c>
    </row>
    <row r="52" spans="33:54" ht="16.5" x14ac:dyDescent="0.2">
      <c r="AG52" s="27">
        <v>48</v>
      </c>
      <c r="AH52" s="27">
        <v>5</v>
      </c>
      <c r="AI52" s="27">
        <v>6</v>
      </c>
      <c r="AJ52" s="27">
        <f t="shared" si="0"/>
        <v>16</v>
      </c>
      <c r="AK52" s="27">
        <f t="shared" si="1"/>
        <v>27</v>
      </c>
      <c r="AL52" s="27">
        <f t="shared" si="2"/>
        <v>120</v>
      </c>
      <c r="AO52" s="19">
        <v>48</v>
      </c>
      <c r="AP52" s="27">
        <v>6</v>
      </c>
      <c r="AQ52" s="19">
        <v>2</v>
      </c>
      <c r="AR52" s="16">
        <f t="shared" si="3"/>
        <v>400</v>
      </c>
      <c r="AS52" s="16">
        <f t="shared" si="4"/>
        <v>1200</v>
      </c>
      <c r="AT52" s="16">
        <f t="shared" si="5"/>
        <v>12000</v>
      </c>
      <c r="AW52" s="19">
        <v>48</v>
      </c>
      <c r="AX52" s="27">
        <v>6</v>
      </c>
      <c r="AY52" s="19">
        <v>3</v>
      </c>
      <c r="AZ52" s="16">
        <f t="shared" si="6"/>
        <v>800</v>
      </c>
      <c r="BA52" s="16">
        <f t="shared" si="7"/>
        <v>2400</v>
      </c>
      <c r="BB52" s="16">
        <f t="shared" si="8"/>
        <v>18000</v>
      </c>
    </row>
    <row r="53" spans="33:54" ht="16.5" x14ac:dyDescent="0.2">
      <c r="AG53" s="27">
        <v>49</v>
      </c>
      <c r="AH53" s="27">
        <v>5</v>
      </c>
      <c r="AI53" s="27">
        <v>7</v>
      </c>
      <c r="AJ53" s="27">
        <f t="shared" si="0"/>
        <v>16</v>
      </c>
      <c r="AK53" s="27">
        <f t="shared" si="1"/>
        <v>28</v>
      </c>
      <c r="AL53" s="27">
        <f t="shared" si="2"/>
        <v>122</v>
      </c>
      <c r="AO53" s="19">
        <v>49</v>
      </c>
      <c r="AP53" s="27">
        <v>6</v>
      </c>
      <c r="AQ53" s="19">
        <v>3</v>
      </c>
      <c r="AR53" s="16">
        <f t="shared" si="3"/>
        <v>400</v>
      </c>
      <c r="AS53" s="16">
        <f t="shared" si="4"/>
        <v>1200</v>
      </c>
      <c r="AT53" s="16">
        <f t="shared" si="5"/>
        <v>12000</v>
      </c>
      <c r="AW53" s="19">
        <v>49</v>
      </c>
      <c r="AX53" s="27">
        <v>6</v>
      </c>
      <c r="AY53" s="19">
        <v>4</v>
      </c>
      <c r="AZ53" s="16">
        <f t="shared" si="6"/>
        <v>800</v>
      </c>
      <c r="BA53" s="16">
        <f t="shared" si="7"/>
        <v>2400</v>
      </c>
      <c r="BB53" s="16">
        <f t="shared" si="8"/>
        <v>18000</v>
      </c>
    </row>
    <row r="54" spans="33:54" ht="16.5" x14ac:dyDescent="0.2">
      <c r="AG54" s="27">
        <v>50</v>
      </c>
      <c r="AH54" s="27">
        <v>5</v>
      </c>
      <c r="AI54" s="27">
        <v>8</v>
      </c>
      <c r="AJ54" s="27">
        <f t="shared" si="0"/>
        <v>16</v>
      </c>
      <c r="AK54" s="27">
        <f t="shared" si="1"/>
        <v>28</v>
      </c>
      <c r="AL54" s="27">
        <f t="shared" si="2"/>
        <v>125</v>
      </c>
      <c r="AO54" s="19">
        <v>50</v>
      </c>
      <c r="AP54" s="27">
        <v>6</v>
      </c>
      <c r="AQ54" s="19">
        <v>4</v>
      </c>
      <c r="AR54" s="16">
        <f t="shared" si="3"/>
        <v>400</v>
      </c>
      <c r="AS54" s="16">
        <f t="shared" si="4"/>
        <v>1200</v>
      </c>
      <c r="AT54" s="16">
        <f t="shared" si="5"/>
        <v>12000</v>
      </c>
      <c r="AW54" s="19">
        <v>50</v>
      </c>
      <c r="AX54" s="27">
        <v>6</v>
      </c>
      <c r="AY54" s="19">
        <v>5</v>
      </c>
      <c r="AZ54" s="16">
        <f t="shared" si="6"/>
        <v>800</v>
      </c>
      <c r="BA54" s="16">
        <f t="shared" si="7"/>
        <v>2400</v>
      </c>
      <c r="BB54" s="16">
        <f t="shared" si="8"/>
        <v>18000</v>
      </c>
    </row>
    <row r="55" spans="33:54" ht="16.5" x14ac:dyDescent="0.2">
      <c r="AG55" s="27">
        <v>51</v>
      </c>
      <c r="AH55" s="27">
        <v>5</v>
      </c>
      <c r="AI55" s="27">
        <v>9</v>
      </c>
      <c r="AJ55" s="27">
        <f t="shared" si="0"/>
        <v>16</v>
      </c>
      <c r="AK55" s="27">
        <f t="shared" si="1"/>
        <v>29</v>
      </c>
      <c r="AL55" s="27">
        <f t="shared" si="2"/>
        <v>128</v>
      </c>
      <c r="AO55" s="19">
        <v>51</v>
      </c>
      <c r="AP55" s="27">
        <v>6</v>
      </c>
      <c r="AQ55" s="19">
        <v>5</v>
      </c>
      <c r="AR55" s="16">
        <f t="shared" si="3"/>
        <v>400</v>
      </c>
      <c r="AS55" s="16">
        <f t="shared" si="4"/>
        <v>1200</v>
      </c>
      <c r="AT55" s="16">
        <f t="shared" si="5"/>
        <v>12000</v>
      </c>
      <c r="AW55" s="19">
        <v>51</v>
      </c>
      <c r="AX55" s="27">
        <v>6</v>
      </c>
      <c r="AY55" s="19">
        <v>6</v>
      </c>
      <c r="AZ55" s="16">
        <f t="shared" si="6"/>
        <v>800</v>
      </c>
      <c r="BA55" s="16">
        <f t="shared" si="7"/>
        <v>2400</v>
      </c>
      <c r="BB55" s="16">
        <f t="shared" si="8"/>
        <v>18000</v>
      </c>
    </row>
    <row r="56" spans="33:54" ht="16.5" x14ac:dyDescent="0.2">
      <c r="AG56" s="27">
        <v>52</v>
      </c>
      <c r="AH56" s="27">
        <v>5</v>
      </c>
      <c r="AI56" s="27">
        <v>10</v>
      </c>
      <c r="AJ56" s="27">
        <f t="shared" si="0"/>
        <v>16</v>
      </c>
      <c r="AK56" s="27">
        <f t="shared" si="1"/>
        <v>29</v>
      </c>
      <c r="AL56" s="27">
        <f t="shared" si="2"/>
        <v>130</v>
      </c>
      <c r="AO56" s="19">
        <v>52</v>
      </c>
      <c r="AP56" s="27">
        <v>6</v>
      </c>
      <c r="AQ56" s="19">
        <v>6</v>
      </c>
      <c r="AR56" s="16">
        <f t="shared" si="3"/>
        <v>400</v>
      </c>
      <c r="AS56" s="16">
        <f t="shared" si="4"/>
        <v>1200</v>
      </c>
      <c r="AT56" s="16">
        <f t="shared" si="5"/>
        <v>12000</v>
      </c>
      <c r="AW56" s="19">
        <v>52</v>
      </c>
      <c r="AX56" s="27">
        <v>6</v>
      </c>
      <c r="AY56" s="19">
        <v>7</v>
      </c>
      <c r="AZ56" s="16">
        <f t="shared" si="6"/>
        <v>800</v>
      </c>
      <c r="BA56" s="16">
        <f t="shared" si="7"/>
        <v>2400</v>
      </c>
      <c r="BB56" s="16">
        <f t="shared" si="8"/>
        <v>18000</v>
      </c>
    </row>
    <row r="57" spans="33:54" ht="16.5" x14ac:dyDescent="0.2">
      <c r="AG57" s="27">
        <v>53</v>
      </c>
      <c r="AH57" s="27">
        <v>5</v>
      </c>
      <c r="AI57" s="27">
        <v>11</v>
      </c>
      <c r="AJ57" s="27">
        <f t="shared" si="0"/>
        <v>16</v>
      </c>
      <c r="AK57" s="27">
        <f t="shared" si="1"/>
        <v>30</v>
      </c>
      <c r="AL57" s="27">
        <f t="shared" si="2"/>
        <v>133</v>
      </c>
      <c r="AO57" s="19">
        <v>53</v>
      </c>
      <c r="AP57" s="27">
        <v>6</v>
      </c>
      <c r="AQ57" s="19">
        <v>7</v>
      </c>
      <c r="AR57" s="16">
        <f t="shared" si="3"/>
        <v>400</v>
      </c>
      <c r="AS57" s="16">
        <f t="shared" si="4"/>
        <v>1200</v>
      </c>
      <c r="AT57" s="16">
        <f t="shared" si="5"/>
        <v>12000</v>
      </c>
      <c r="AW57" s="19">
        <v>53</v>
      </c>
      <c r="AX57" s="27">
        <v>6</v>
      </c>
      <c r="AY57" s="19">
        <v>8</v>
      </c>
      <c r="AZ57" s="16">
        <f t="shared" si="6"/>
        <v>800</v>
      </c>
      <c r="BA57" s="16">
        <f t="shared" si="7"/>
        <v>2400</v>
      </c>
      <c r="BB57" s="16">
        <f t="shared" si="8"/>
        <v>18000</v>
      </c>
    </row>
    <row r="58" spans="33:54" ht="16.5" x14ac:dyDescent="0.2">
      <c r="AG58" s="27">
        <v>54</v>
      </c>
      <c r="AH58" s="27">
        <v>5</v>
      </c>
      <c r="AI58" s="27">
        <v>12</v>
      </c>
      <c r="AJ58" s="27">
        <f t="shared" si="0"/>
        <v>16</v>
      </c>
      <c r="AK58" s="27">
        <f t="shared" si="1"/>
        <v>30</v>
      </c>
      <c r="AL58" s="27">
        <f t="shared" si="2"/>
        <v>136</v>
      </c>
      <c r="AO58" s="19">
        <v>54</v>
      </c>
      <c r="AP58" s="27">
        <v>6</v>
      </c>
      <c r="AQ58" s="19">
        <v>8</v>
      </c>
      <c r="AR58" s="16">
        <f t="shared" si="3"/>
        <v>400</v>
      </c>
      <c r="AS58" s="16">
        <f t="shared" si="4"/>
        <v>1200</v>
      </c>
      <c r="AT58" s="16">
        <f t="shared" si="5"/>
        <v>12000</v>
      </c>
      <c r="AW58" s="19">
        <v>54</v>
      </c>
      <c r="AX58" s="27">
        <v>6</v>
      </c>
      <c r="AY58" s="19">
        <v>9</v>
      </c>
      <c r="AZ58" s="16">
        <f t="shared" si="6"/>
        <v>800</v>
      </c>
      <c r="BA58" s="16">
        <f t="shared" si="7"/>
        <v>2400</v>
      </c>
      <c r="BB58" s="16">
        <f t="shared" si="8"/>
        <v>18000</v>
      </c>
    </row>
    <row r="59" spans="33:54" ht="16.5" x14ac:dyDescent="0.2">
      <c r="AG59" s="27">
        <v>55</v>
      </c>
      <c r="AH59" s="27">
        <v>5</v>
      </c>
      <c r="AI59" s="27">
        <v>13</v>
      </c>
      <c r="AJ59" s="27">
        <f t="shared" si="0"/>
        <v>16</v>
      </c>
      <c r="AK59" s="27">
        <f t="shared" si="1"/>
        <v>31</v>
      </c>
      <c r="AL59" s="27">
        <f t="shared" si="2"/>
        <v>138</v>
      </c>
      <c r="AO59" s="19">
        <v>55</v>
      </c>
      <c r="AP59" s="27">
        <v>6</v>
      </c>
      <c r="AQ59" s="19">
        <v>9</v>
      </c>
      <c r="AR59" s="16">
        <f t="shared" si="3"/>
        <v>400</v>
      </c>
      <c r="AS59" s="16">
        <f t="shared" si="4"/>
        <v>1200</v>
      </c>
      <c r="AT59" s="16">
        <f t="shared" si="5"/>
        <v>12000</v>
      </c>
      <c r="AW59" s="19">
        <v>55</v>
      </c>
      <c r="AX59" s="27">
        <v>6</v>
      </c>
      <c r="AY59" s="19">
        <v>10</v>
      </c>
      <c r="AZ59" s="16">
        <f t="shared" si="6"/>
        <v>800</v>
      </c>
      <c r="BA59" s="16">
        <f t="shared" si="7"/>
        <v>2400</v>
      </c>
      <c r="BB59" s="16">
        <f t="shared" si="8"/>
        <v>18000</v>
      </c>
    </row>
    <row r="60" spans="33:54" ht="16.5" x14ac:dyDescent="0.2">
      <c r="AG60" s="27">
        <v>56</v>
      </c>
      <c r="AH60" s="27">
        <v>5</v>
      </c>
      <c r="AI60" s="27">
        <v>14</v>
      </c>
      <c r="AJ60" s="27">
        <f t="shared" si="0"/>
        <v>16</v>
      </c>
      <c r="AK60" s="27">
        <f t="shared" si="1"/>
        <v>31</v>
      </c>
      <c r="AL60" s="27">
        <f t="shared" si="2"/>
        <v>141</v>
      </c>
      <c r="AO60" s="19">
        <v>56</v>
      </c>
      <c r="AP60" s="27">
        <v>6</v>
      </c>
      <c r="AQ60" s="19">
        <v>10</v>
      </c>
      <c r="AR60" s="16">
        <f t="shared" si="3"/>
        <v>400</v>
      </c>
      <c r="AS60" s="16">
        <f t="shared" si="4"/>
        <v>1200</v>
      </c>
      <c r="AT60" s="16">
        <f t="shared" si="5"/>
        <v>12000</v>
      </c>
      <c r="AW60" s="19">
        <v>56</v>
      </c>
      <c r="AX60" s="27">
        <v>6</v>
      </c>
      <c r="AY60" s="19">
        <v>11</v>
      </c>
      <c r="AZ60" s="16">
        <f t="shared" si="6"/>
        <v>800</v>
      </c>
      <c r="BA60" s="16">
        <f t="shared" si="7"/>
        <v>2400</v>
      </c>
      <c r="BB60" s="16">
        <f t="shared" si="8"/>
        <v>18000</v>
      </c>
    </row>
    <row r="61" spans="33:54" ht="16.5" x14ac:dyDescent="0.2">
      <c r="AG61" s="27">
        <v>57</v>
      </c>
      <c r="AH61" s="27">
        <v>5</v>
      </c>
      <c r="AI61" s="27">
        <v>15</v>
      </c>
      <c r="AJ61" s="27">
        <f t="shared" si="0"/>
        <v>16</v>
      </c>
      <c r="AK61" s="27">
        <f t="shared" si="1"/>
        <v>32</v>
      </c>
      <c r="AL61" s="27">
        <f t="shared" si="2"/>
        <v>144</v>
      </c>
      <c r="AO61" s="19">
        <v>57</v>
      </c>
      <c r="AP61" s="27">
        <v>6</v>
      </c>
      <c r="AQ61" s="19">
        <v>11</v>
      </c>
      <c r="AR61" s="16">
        <f t="shared" si="3"/>
        <v>400</v>
      </c>
      <c r="AS61" s="16">
        <f t="shared" si="4"/>
        <v>1200</v>
      </c>
      <c r="AT61" s="16">
        <f t="shared" si="5"/>
        <v>12000</v>
      </c>
      <c r="AW61" s="19">
        <v>57</v>
      </c>
      <c r="AX61" s="27">
        <v>6</v>
      </c>
      <c r="AY61" s="19">
        <v>12</v>
      </c>
      <c r="AZ61" s="16">
        <f t="shared" si="6"/>
        <v>800</v>
      </c>
      <c r="BA61" s="16">
        <f t="shared" si="7"/>
        <v>2400</v>
      </c>
      <c r="BB61" s="16">
        <f t="shared" si="8"/>
        <v>18000</v>
      </c>
    </row>
    <row r="62" spans="33:54" ht="16.5" x14ac:dyDescent="0.2">
      <c r="AG62" s="27">
        <v>58</v>
      </c>
      <c r="AH62" s="27">
        <v>6</v>
      </c>
      <c r="AI62" s="27">
        <v>1</v>
      </c>
      <c r="AJ62" s="27">
        <f t="shared" si="0"/>
        <v>20</v>
      </c>
      <c r="AK62" s="27">
        <f t="shared" si="1"/>
        <v>32</v>
      </c>
      <c r="AL62" s="27">
        <f t="shared" si="2"/>
        <v>147</v>
      </c>
      <c r="AO62" s="19">
        <v>58</v>
      </c>
      <c r="AP62" s="27">
        <v>6</v>
      </c>
      <c r="AQ62" s="19">
        <v>12</v>
      </c>
      <c r="AR62" s="16">
        <f t="shared" si="3"/>
        <v>400</v>
      </c>
      <c r="AS62" s="16">
        <f t="shared" si="4"/>
        <v>1200</v>
      </c>
      <c r="AT62" s="16">
        <f t="shared" si="5"/>
        <v>12000</v>
      </c>
      <c r="AW62" s="19">
        <v>58</v>
      </c>
      <c r="AX62" s="27">
        <v>6</v>
      </c>
      <c r="AY62" s="19">
        <v>13</v>
      </c>
      <c r="AZ62" s="16">
        <f t="shared" si="6"/>
        <v>800</v>
      </c>
      <c r="BA62" s="16">
        <f t="shared" si="7"/>
        <v>2400</v>
      </c>
      <c r="BB62" s="16">
        <f t="shared" si="8"/>
        <v>18000</v>
      </c>
    </row>
    <row r="63" spans="33:54" ht="16.5" x14ac:dyDescent="0.2">
      <c r="AG63" s="27">
        <v>59</v>
      </c>
      <c r="AH63" s="27">
        <v>6</v>
      </c>
      <c r="AI63" s="27">
        <v>2</v>
      </c>
      <c r="AJ63" s="27">
        <f t="shared" si="0"/>
        <v>20</v>
      </c>
      <c r="AK63" s="27">
        <f t="shared" si="1"/>
        <v>33</v>
      </c>
      <c r="AL63" s="27">
        <f t="shared" si="2"/>
        <v>151</v>
      </c>
      <c r="AO63" s="19">
        <v>59</v>
      </c>
      <c r="AP63" s="27">
        <v>6</v>
      </c>
      <c r="AQ63" s="19">
        <v>13</v>
      </c>
      <c r="AR63" s="16">
        <f t="shared" si="3"/>
        <v>400</v>
      </c>
      <c r="AS63" s="16">
        <f t="shared" si="4"/>
        <v>1200</v>
      </c>
      <c r="AT63" s="16">
        <f t="shared" si="5"/>
        <v>12000</v>
      </c>
      <c r="AW63" s="19">
        <v>59</v>
      </c>
      <c r="AX63" s="27">
        <v>6</v>
      </c>
      <c r="AY63" s="19">
        <v>14</v>
      </c>
      <c r="AZ63" s="16">
        <f t="shared" si="6"/>
        <v>800</v>
      </c>
      <c r="BA63" s="16">
        <f t="shared" si="7"/>
        <v>2400</v>
      </c>
      <c r="BB63" s="16">
        <f t="shared" si="8"/>
        <v>18000</v>
      </c>
    </row>
    <row r="64" spans="33:54" ht="16.5" x14ac:dyDescent="0.2">
      <c r="AG64" s="27">
        <v>60</v>
      </c>
      <c r="AH64" s="27">
        <v>6</v>
      </c>
      <c r="AI64" s="27">
        <v>3</v>
      </c>
      <c r="AJ64" s="27">
        <f t="shared" si="0"/>
        <v>20</v>
      </c>
      <c r="AK64" s="27">
        <f t="shared" si="1"/>
        <v>33</v>
      </c>
      <c r="AL64" s="27">
        <f t="shared" si="2"/>
        <v>155</v>
      </c>
      <c r="AO64" s="19">
        <v>60</v>
      </c>
      <c r="AP64" s="27">
        <v>6</v>
      </c>
      <c r="AQ64" s="19">
        <v>14</v>
      </c>
      <c r="AR64" s="16">
        <f t="shared" si="3"/>
        <v>400</v>
      </c>
      <c r="AS64" s="16">
        <f t="shared" si="4"/>
        <v>1200</v>
      </c>
      <c r="AT64" s="16">
        <f t="shared" si="5"/>
        <v>12000</v>
      </c>
      <c r="AW64" s="19">
        <v>60</v>
      </c>
      <c r="AX64" s="27">
        <v>6</v>
      </c>
      <c r="AY64" s="19">
        <v>15</v>
      </c>
      <c r="AZ64" s="16">
        <f t="shared" si="6"/>
        <v>800</v>
      </c>
      <c r="BA64" s="16">
        <f t="shared" si="7"/>
        <v>2400</v>
      </c>
      <c r="BB64" s="16">
        <f t="shared" si="8"/>
        <v>18000</v>
      </c>
    </row>
    <row r="65" spans="33:54" ht="16.5" x14ac:dyDescent="0.2">
      <c r="AG65" s="27">
        <v>61</v>
      </c>
      <c r="AH65" s="27">
        <v>6</v>
      </c>
      <c r="AI65" s="27">
        <v>4</v>
      </c>
      <c r="AJ65" s="27">
        <f t="shared" si="0"/>
        <v>20</v>
      </c>
      <c r="AK65" s="27">
        <f t="shared" si="1"/>
        <v>34</v>
      </c>
      <c r="AL65" s="27">
        <f t="shared" si="2"/>
        <v>158</v>
      </c>
      <c r="AO65" s="19">
        <v>61</v>
      </c>
      <c r="AP65" s="27">
        <v>6</v>
      </c>
      <c r="AQ65" s="19">
        <v>15</v>
      </c>
      <c r="AR65" s="16">
        <f t="shared" si="3"/>
        <v>400</v>
      </c>
      <c r="AS65" s="16">
        <f t="shared" si="4"/>
        <v>1200</v>
      </c>
      <c r="AT65" s="16">
        <f t="shared" si="5"/>
        <v>12000</v>
      </c>
      <c r="AW65" s="19">
        <v>61</v>
      </c>
      <c r="AX65" s="27">
        <v>7</v>
      </c>
      <c r="AY65" s="19">
        <v>1</v>
      </c>
      <c r="AZ65" s="16">
        <f t="shared" si="6"/>
        <v>1000</v>
      </c>
      <c r="BA65" s="16">
        <f t="shared" si="7"/>
        <v>3000</v>
      </c>
      <c r="BB65" s="16">
        <f t="shared" si="8"/>
        <v>24750</v>
      </c>
    </row>
    <row r="66" spans="33:54" ht="16.5" x14ac:dyDescent="0.2">
      <c r="AG66" s="27">
        <v>62</v>
      </c>
      <c r="AH66" s="27">
        <v>6</v>
      </c>
      <c r="AI66" s="27">
        <v>5</v>
      </c>
      <c r="AJ66" s="27">
        <f t="shared" si="0"/>
        <v>20</v>
      </c>
      <c r="AK66" s="27">
        <f t="shared" si="1"/>
        <v>34</v>
      </c>
      <c r="AL66" s="27">
        <f t="shared" si="2"/>
        <v>162</v>
      </c>
      <c r="AO66" s="19">
        <v>62</v>
      </c>
      <c r="AP66" s="27">
        <v>7</v>
      </c>
      <c r="AQ66" s="19">
        <v>1</v>
      </c>
      <c r="AR66" s="16">
        <f t="shared" si="3"/>
        <v>500</v>
      </c>
      <c r="AS66" s="16">
        <f t="shared" si="4"/>
        <v>1500</v>
      </c>
      <c r="AT66" s="16">
        <f t="shared" si="5"/>
        <v>16500</v>
      </c>
      <c r="AW66" s="19">
        <v>62</v>
      </c>
      <c r="AX66" s="27">
        <v>7</v>
      </c>
      <c r="AY66" s="19">
        <v>2</v>
      </c>
      <c r="AZ66" s="16">
        <f t="shared" si="6"/>
        <v>1000</v>
      </c>
      <c r="BA66" s="16">
        <f t="shared" si="7"/>
        <v>3000</v>
      </c>
      <c r="BB66" s="16">
        <f t="shared" si="8"/>
        <v>24750</v>
      </c>
    </row>
    <row r="67" spans="33:54" ht="16.5" x14ac:dyDescent="0.2">
      <c r="AG67" s="27">
        <v>63</v>
      </c>
      <c r="AH67" s="27">
        <v>6</v>
      </c>
      <c r="AI67" s="27">
        <v>6</v>
      </c>
      <c r="AJ67" s="27">
        <f t="shared" si="0"/>
        <v>20</v>
      </c>
      <c r="AK67" s="27">
        <f t="shared" si="1"/>
        <v>35</v>
      </c>
      <c r="AL67" s="27">
        <f t="shared" si="2"/>
        <v>166</v>
      </c>
      <c r="AO67" s="19">
        <v>63</v>
      </c>
      <c r="AP67" s="27">
        <v>7</v>
      </c>
      <c r="AQ67" s="19">
        <v>2</v>
      </c>
      <c r="AR67" s="16">
        <f t="shared" si="3"/>
        <v>500</v>
      </c>
      <c r="AS67" s="16">
        <f t="shared" si="4"/>
        <v>1500</v>
      </c>
      <c r="AT67" s="16">
        <f t="shared" si="5"/>
        <v>16500</v>
      </c>
      <c r="AW67" s="19">
        <v>63</v>
      </c>
      <c r="AX67" s="27">
        <v>7</v>
      </c>
      <c r="AY67" s="19">
        <v>3</v>
      </c>
      <c r="AZ67" s="16">
        <f t="shared" si="6"/>
        <v>1000</v>
      </c>
      <c r="BA67" s="16">
        <f t="shared" si="7"/>
        <v>3000</v>
      </c>
      <c r="BB67" s="16">
        <f t="shared" si="8"/>
        <v>24750</v>
      </c>
    </row>
    <row r="68" spans="33:54" ht="16.5" x14ac:dyDescent="0.2">
      <c r="AG68" s="27">
        <v>64</v>
      </c>
      <c r="AH68" s="27">
        <v>6</v>
      </c>
      <c r="AI68" s="27">
        <v>7</v>
      </c>
      <c r="AJ68" s="27">
        <f t="shared" si="0"/>
        <v>20</v>
      </c>
      <c r="AK68" s="27">
        <f t="shared" si="1"/>
        <v>35</v>
      </c>
      <c r="AL68" s="27">
        <f t="shared" si="2"/>
        <v>170</v>
      </c>
      <c r="AO68" s="19">
        <v>64</v>
      </c>
      <c r="AP68" s="27">
        <v>7</v>
      </c>
      <c r="AQ68" s="19">
        <v>3</v>
      </c>
      <c r="AR68" s="16">
        <f t="shared" si="3"/>
        <v>500</v>
      </c>
      <c r="AS68" s="16">
        <f t="shared" si="4"/>
        <v>1500</v>
      </c>
      <c r="AT68" s="16">
        <f t="shared" si="5"/>
        <v>16500</v>
      </c>
      <c r="AW68" s="19">
        <v>64</v>
      </c>
      <c r="AX68" s="27">
        <v>7</v>
      </c>
      <c r="AY68" s="19">
        <v>4</v>
      </c>
      <c r="AZ68" s="16">
        <f t="shared" si="6"/>
        <v>1000</v>
      </c>
      <c r="BA68" s="16">
        <f t="shared" si="7"/>
        <v>3000</v>
      </c>
      <c r="BB68" s="16">
        <f t="shared" si="8"/>
        <v>24750</v>
      </c>
    </row>
    <row r="69" spans="33:54" ht="16.5" x14ac:dyDescent="0.2">
      <c r="AG69" s="27">
        <v>65</v>
      </c>
      <c r="AH69" s="27">
        <v>6</v>
      </c>
      <c r="AI69" s="27">
        <v>8</v>
      </c>
      <c r="AJ69" s="27">
        <f t="shared" ref="AJ69:AJ132" si="20">INDEX($C$6:$C$20,AH69)</f>
        <v>20</v>
      </c>
      <c r="AK69" s="27">
        <f t="shared" si="1"/>
        <v>36</v>
      </c>
      <c r="AL69" s="27">
        <f t="shared" si="2"/>
        <v>173</v>
      </c>
      <c r="AO69" s="19">
        <v>65</v>
      </c>
      <c r="AP69" s="27">
        <v>7</v>
      </c>
      <c r="AQ69" s="19">
        <v>4</v>
      </c>
      <c r="AR69" s="16">
        <f t="shared" si="3"/>
        <v>500</v>
      </c>
      <c r="AS69" s="16">
        <f t="shared" si="4"/>
        <v>1500</v>
      </c>
      <c r="AT69" s="16">
        <f t="shared" si="5"/>
        <v>16500</v>
      </c>
      <c r="AW69" s="19">
        <v>65</v>
      </c>
      <c r="AX69" s="27">
        <v>7</v>
      </c>
      <c r="AY69" s="19">
        <v>5</v>
      </c>
      <c r="AZ69" s="16">
        <f t="shared" si="6"/>
        <v>1000</v>
      </c>
      <c r="BA69" s="16">
        <f t="shared" si="7"/>
        <v>3000</v>
      </c>
      <c r="BB69" s="16">
        <f t="shared" si="8"/>
        <v>24750</v>
      </c>
    </row>
    <row r="70" spans="33:54" ht="16.5" x14ac:dyDescent="0.2">
      <c r="AG70" s="27">
        <v>66</v>
      </c>
      <c r="AH70" s="27">
        <v>6</v>
      </c>
      <c r="AI70" s="27">
        <v>9</v>
      </c>
      <c r="AJ70" s="27">
        <f t="shared" si="20"/>
        <v>20</v>
      </c>
      <c r="AK70" s="27">
        <f t="shared" ref="AK70:AK133" si="21">INT(INDEX($E$5:$E$20,AH70)+AI70*INDEX($F$6:$F$20,AH70))</f>
        <v>36</v>
      </c>
      <c r="AL70" s="27">
        <f t="shared" ref="AL70:AL133" si="22">INT(INDEX($H$5:$H$20,AH70)+AI70*INDEX($I$6:$I$20,AH70))</f>
        <v>177</v>
      </c>
      <c r="AO70" s="19">
        <v>66</v>
      </c>
      <c r="AP70" s="27">
        <v>7</v>
      </c>
      <c r="AQ70" s="19">
        <v>5</v>
      </c>
      <c r="AR70" s="16">
        <f t="shared" ref="AR70:AR133" si="23">INDEX($N$6:$N$20,AP70)</f>
        <v>500</v>
      </c>
      <c r="AS70" s="16">
        <f t="shared" ref="AS70:AS133" si="24">INDEX($P$6:$P$20,AP70)</f>
        <v>1500</v>
      </c>
      <c r="AT70" s="16">
        <f t="shared" ref="AT70:AT133" si="25">INDEX($R$6:$R$20,AP70)</f>
        <v>16500</v>
      </c>
      <c r="AW70" s="19">
        <v>66</v>
      </c>
      <c r="AX70" s="27">
        <v>7</v>
      </c>
      <c r="AY70" s="19">
        <v>6</v>
      </c>
      <c r="AZ70" s="16">
        <f t="shared" ref="AZ70:AZ133" si="26">INDEX($Y$6:$Y$20,AX70)</f>
        <v>1000</v>
      </c>
      <c r="BA70" s="16">
        <f t="shared" ref="BA70:BA133" si="27">INDEX($AA$6:$AA$20,AX70)</f>
        <v>3000</v>
      </c>
      <c r="BB70" s="16">
        <f t="shared" ref="BB70:BB133" si="28">INDEX($AC$6:$AC$20,AX70)</f>
        <v>24750</v>
      </c>
    </row>
    <row r="71" spans="33:54" ht="16.5" x14ac:dyDescent="0.2">
      <c r="AG71" s="27">
        <v>67</v>
      </c>
      <c r="AH71" s="27">
        <v>6</v>
      </c>
      <c r="AI71" s="27">
        <v>10</v>
      </c>
      <c r="AJ71" s="27">
        <f t="shared" si="20"/>
        <v>20</v>
      </c>
      <c r="AK71" s="27">
        <f t="shared" si="21"/>
        <v>37</v>
      </c>
      <c r="AL71" s="27">
        <f t="shared" si="22"/>
        <v>181</v>
      </c>
      <c r="AO71" s="19">
        <v>67</v>
      </c>
      <c r="AP71" s="27">
        <v>7</v>
      </c>
      <c r="AQ71" s="19">
        <v>6</v>
      </c>
      <c r="AR71" s="16">
        <f t="shared" si="23"/>
        <v>500</v>
      </c>
      <c r="AS71" s="16">
        <f t="shared" si="24"/>
        <v>1500</v>
      </c>
      <c r="AT71" s="16">
        <f t="shared" si="25"/>
        <v>16500</v>
      </c>
      <c r="AW71" s="19">
        <v>67</v>
      </c>
      <c r="AX71" s="27">
        <v>7</v>
      </c>
      <c r="AY71" s="19">
        <v>7</v>
      </c>
      <c r="AZ71" s="16">
        <f t="shared" si="26"/>
        <v>1000</v>
      </c>
      <c r="BA71" s="16">
        <f t="shared" si="27"/>
        <v>3000</v>
      </c>
      <c r="BB71" s="16">
        <f t="shared" si="28"/>
        <v>24750</v>
      </c>
    </row>
    <row r="72" spans="33:54" ht="16.5" x14ac:dyDescent="0.2">
      <c r="AG72" s="27">
        <v>68</v>
      </c>
      <c r="AH72" s="27">
        <v>6</v>
      </c>
      <c r="AI72" s="27">
        <v>11</v>
      </c>
      <c r="AJ72" s="27">
        <f t="shared" si="20"/>
        <v>20</v>
      </c>
      <c r="AK72" s="27">
        <f t="shared" si="21"/>
        <v>37</v>
      </c>
      <c r="AL72" s="27">
        <f t="shared" si="22"/>
        <v>185</v>
      </c>
      <c r="AO72" s="19">
        <v>68</v>
      </c>
      <c r="AP72" s="27">
        <v>7</v>
      </c>
      <c r="AQ72" s="19">
        <v>7</v>
      </c>
      <c r="AR72" s="16">
        <f t="shared" si="23"/>
        <v>500</v>
      </c>
      <c r="AS72" s="16">
        <f t="shared" si="24"/>
        <v>1500</v>
      </c>
      <c r="AT72" s="16">
        <f t="shared" si="25"/>
        <v>16500</v>
      </c>
      <c r="AW72" s="19">
        <v>68</v>
      </c>
      <c r="AX72" s="27">
        <v>7</v>
      </c>
      <c r="AY72" s="19">
        <v>8</v>
      </c>
      <c r="AZ72" s="16">
        <f t="shared" si="26"/>
        <v>1000</v>
      </c>
      <c r="BA72" s="16">
        <f t="shared" si="27"/>
        <v>3000</v>
      </c>
      <c r="BB72" s="16">
        <f t="shared" si="28"/>
        <v>24750</v>
      </c>
    </row>
    <row r="73" spans="33:54" ht="16.5" x14ac:dyDescent="0.2">
      <c r="AG73" s="27">
        <v>69</v>
      </c>
      <c r="AH73" s="27">
        <v>6</v>
      </c>
      <c r="AI73" s="27">
        <v>12</v>
      </c>
      <c r="AJ73" s="27">
        <f t="shared" si="20"/>
        <v>20</v>
      </c>
      <c r="AK73" s="27">
        <f t="shared" si="21"/>
        <v>38</v>
      </c>
      <c r="AL73" s="27">
        <f t="shared" si="22"/>
        <v>188</v>
      </c>
      <c r="AO73" s="19">
        <v>69</v>
      </c>
      <c r="AP73" s="27">
        <v>7</v>
      </c>
      <c r="AQ73" s="19">
        <v>8</v>
      </c>
      <c r="AR73" s="16">
        <f t="shared" si="23"/>
        <v>500</v>
      </c>
      <c r="AS73" s="16">
        <f t="shared" si="24"/>
        <v>1500</v>
      </c>
      <c r="AT73" s="16">
        <f t="shared" si="25"/>
        <v>16500</v>
      </c>
      <c r="AW73" s="19">
        <v>69</v>
      </c>
      <c r="AX73" s="27">
        <v>7</v>
      </c>
      <c r="AY73" s="19">
        <v>9</v>
      </c>
      <c r="AZ73" s="16">
        <f t="shared" si="26"/>
        <v>1000</v>
      </c>
      <c r="BA73" s="16">
        <f t="shared" si="27"/>
        <v>3000</v>
      </c>
      <c r="BB73" s="16">
        <f t="shared" si="28"/>
        <v>24750</v>
      </c>
    </row>
    <row r="74" spans="33:54" ht="16.5" x14ac:dyDescent="0.2">
      <c r="AG74" s="27">
        <v>70</v>
      </c>
      <c r="AH74" s="27">
        <v>6</v>
      </c>
      <c r="AI74" s="27">
        <v>13</v>
      </c>
      <c r="AJ74" s="27">
        <f t="shared" si="20"/>
        <v>20</v>
      </c>
      <c r="AK74" s="27">
        <f t="shared" si="21"/>
        <v>38</v>
      </c>
      <c r="AL74" s="27">
        <f t="shared" si="22"/>
        <v>192</v>
      </c>
      <c r="AO74" s="19">
        <v>70</v>
      </c>
      <c r="AP74" s="27">
        <v>7</v>
      </c>
      <c r="AQ74" s="19">
        <v>9</v>
      </c>
      <c r="AR74" s="16">
        <f t="shared" si="23"/>
        <v>500</v>
      </c>
      <c r="AS74" s="16">
        <f t="shared" si="24"/>
        <v>1500</v>
      </c>
      <c r="AT74" s="16">
        <f t="shared" si="25"/>
        <v>16500</v>
      </c>
      <c r="AW74" s="19">
        <v>70</v>
      </c>
      <c r="AX74" s="27">
        <v>7</v>
      </c>
      <c r="AY74" s="19">
        <v>10</v>
      </c>
      <c r="AZ74" s="16">
        <f t="shared" si="26"/>
        <v>1000</v>
      </c>
      <c r="BA74" s="16">
        <f t="shared" si="27"/>
        <v>3000</v>
      </c>
      <c r="BB74" s="16">
        <f t="shared" si="28"/>
        <v>24750</v>
      </c>
    </row>
    <row r="75" spans="33:54" ht="16.5" x14ac:dyDescent="0.2">
      <c r="AG75" s="27">
        <v>71</v>
      </c>
      <c r="AH75" s="27">
        <v>6</v>
      </c>
      <c r="AI75" s="27">
        <v>14</v>
      </c>
      <c r="AJ75" s="27">
        <f t="shared" si="20"/>
        <v>20</v>
      </c>
      <c r="AK75" s="27">
        <f t="shared" si="21"/>
        <v>39</v>
      </c>
      <c r="AL75" s="27">
        <f t="shared" si="22"/>
        <v>196</v>
      </c>
      <c r="AO75" s="19">
        <v>71</v>
      </c>
      <c r="AP75" s="27">
        <v>7</v>
      </c>
      <c r="AQ75" s="19">
        <v>10</v>
      </c>
      <c r="AR75" s="16">
        <f t="shared" si="23"/>
        <v>500</v>
      </c>
      <c r="AS75" s="16">
        <f t="shared" si="24"/>
        <v>1500</v>
      </c>
      <c r="AT75" s="16">
        <f t="shared" si="25"/>
        <v>16500</v>
      </c>
      <c r="AW75" s="19">
        <v>71</v>
      </c>
      <c r="AX75" s="27">
        <v>7</v>
      </c>
      <c r="AY75" s="19">
        <v>11</v>
      </c>
      <c r="AZ75" s="16">
        <f t="shared" si="26"/>
        <v>1000</v>
      </c>
      <c r="BA75" s="16">
        <f t="shared" si="27"/>
        <v>3000</v>
      </c>
      <c r="BB75" s="16">
        <f t="shared" si="28"/>
        <v>24750</v>
      </c>
    </row>
    <row r="76" spans="33:54" ht="16.5" x14ac:dyDescent="0.2">
      <c r="AG76" s="27">
        <v>72</v>
      </c>
      <c r="AH76" s="27">
        <v>6</v>
      </c>
      <c r="AI76" s="27">
        <v>15</v>
      </c>
      <c r="AJ76" s="27">
        <f t="shared" si="20"/>
        <v>20</v>
      </c>
      <c r="AK76" s="27">
        <f t="shared" si="21"/>
        <v>40</v>
      </c>
      <c r="AL76" s="27">
        <f t="shared" si="22"/>
        <v>200</v>
      </c>
      <c r="AO76" s="19">
        <v>72</v>
      </c>
      <c r="AP76" s="27">
        <v>7</v>
      </c>
      <c r="AQ76" s="19">
        <v>11</v>
      </c>
      <c r="AR76" s="16">
        <f t="shared" si="23"/>
        <v>500</v>
      </c>
      <c r="AS76" s="16">
        <f t="shared" si="24"/>
        <v>1500</v>
      </c>
      <c r="AT76" s="16">
        <f t="shared" si="25"/>
        <v>16500</v>
      </c>
      <c r="AW76" s="19">
        <v>72</v>
      </c>
      <c r="AX76" s="27">
        <v>7</v>
      </c>
      <c r="AY76" s="19">
        <v>12</v>
      </c>
      <c r="AZ76" s="16">
        <f t="shared" si="26"/>
        <v>1000</v>
      </c>
      <c r="BA76" s="16">
        <f t="shared" si="27"/>
        <v>3000</v>
      </c>
      <c r="BB76" s="16">
        <f t="shared" si="28"/>
        <v>24750</v>
      </c>
    </row>
    <row r="77" spans="33:54" ht="16.5" x14ac:dyDescent="0.2">
      <c r="AG77" s="27">
        <v>73</v>
      </c>
      <c r="AH77" s="27">
        <v>7</v>
      </c>
      <c r="AI77" s="27">
        <v>1</v>
      </c>
      <c r="AJ77" s="27">
        <f t="shared" si="20"/>
        <v>25</v>
      </c>
      <c r="AK77" s="27">
        <f t="shared" si="21"/>
        <v>40</v>
      </c>
      <c r="AL77" s="27">
        <f t="shared" si="22"/>
        <v>205</v>
      </c>
      <c r="AO77" s="19">
        <v>73</v>
      </c>
      <c r="AP77" s="27">
        <v>7</v>
      </c>
      <c r="AQ77" s="19">
        <v>12</v>
      </c>
      <c r="AR77" s="16">
        <f t="shared" si="23"/>
        <v>500</v>
      </c>
      <c r="AS77" s="16">
        <f t="shared" si="24"/>
        <v>1500</v>
      </c>
      <c r="AT77" s="16">
        <f t="shared" si="25"/>
        <v>16500</v>
      </c>
      <c r="AW77" s="19">
        <v>73</v>
      </c>
      <c r="AX77" s="27">
        <v>7</v>
      </c>
      <c r="AY77" s="19">
        <v>13</v>
      </c>
      <c r="AZ77" s="16">
        <f t="shared" si="26"/>
        <v>1000</v>
      </c>
      <c r="BA77" s="16">
        <f t="shared" si="27"/>
        <v>3000</v>
      </c>
      <c r="BB77" s="16">
        <f t="shared" si="28"/>
        <v>24750</v>
      </c>
    </row>
    <row r="78" spans="33:54" ht="16.5" x14ac:dyDescent="0.2">
      <c r="AG78" s="27">
        <v>74</v>
      </c>
      <c r="AH78" s="27">
        <v>7</v>
      </c>
      <c r="AI78" s="27">
        <v>2</v>
      </c>
      <c r="AJ78" s="27">
        <f t="shared" si="20"/>
        <v>25</v>
      </c>
      <c r="AK78" s="27">
        <f t="shared" si="21"/>
        <v>41</v>
      </c>
      <c r="AL78" s="27">
        <f t="shared" si="22"/>
        <v>210</v>
      </c>
      <c r="AO78" s="19">
        <v>74</v>
      </c>
      <c r="AP78" s="27">
        <v>7</v>
      </c>
      <c r="AQ78" s="19">
        <v>13</v>
      </c>
      <c r="AR78" s="16">
        <f t="shared" si="23"/>
        <v>500</v>
      </c>
      <c r="AS78" s="16">
        <f t="shared" si="24"/>
        <v>1500</v>
      </c>
      <c r="AT78" s="16">
        <f t="shared" si="25"/>
        <v>16500</v>
      </c>
      <c r="AW78" s="19">
        <v>74</v>
      </c>
      <c r="AX78" s="27">
        <v>7</v>
      </c>
      <c r="AY78" s="19">
        <v>14</v>
      </c>
      <c r="AZ78" s="16">
        <f t="shared" si="26"/>
        <v>1000</v>
      </c>
      <c r="BA78" s="16">
        <f t="shared" si="27"/>
        <v>3000</v>
      </c>
      <c r="BB78" s="16">
        <f t="shared" si="28"/>
        <v>24750</v>
      </c>
    </row>
    <row r="79" spans="33:54" ht="16.5" x14ac:dyDescent="0.2">
      <c r="AG79" s="27">
        <v>75</v>
      </c>
      <c r="AH79" s="27">
        <v>7</v>
      </c>
      <c r="AI79" s="27">
        <v>3</v>
      </c>
      <c r="AJ79" s="27">
        <f t="shared" si="20"/>
        <v>25</v>
      </c>
      <c r="AK79" s="27">
        <f t="shared" si="21"/>
        <v>42</v>
      </c>
      <c r="AL79" s="27">
        <f t="shared" si="22"/>
        <v>215</v>
      </c>
      <c r="AO79" s="19">
        <v>75</v>
      </c>
      <c r="AP79" s="27">
        <v>7</v>
      </c>
      <c r="AQ79" s="19">
        <v>14</v>
      </c>
      <c r="AR79" s="16">
        <f t="shared" si="23"/>
        <v>500</v>
      </c>
      <c r="AS79" s="16">
        <f t="shared" si="24"/>
        <v>1500</v>
      </c>
      <c r="AT79" s="16">
        <f t="shared" si="25"/>
        <v>16500</v>
      </c>
      <c r="AW79" s="19">
        <v>75</v>
      </c>
      <c r="AX79" s="27">
        <v>7</v>
      </c>
      <c r="AY79" s="19">
        <v>15</v>
      </c>
      <c r="AZ79" s="16">
        <f t="shared" si="26"/>
        <v>1000</v>
      </c>
      <c r="BA79" s="16">
        <f t="shared" si="27"/>
        <v>3000</v>
      </c>
      <c r="BB79" s="16">
        <f t="shared" si="28"/>
        <v>24750</v>
      </c>
    </row>
    <row r="80" spans="33:54" ht="16.5" x14ac:dyDescent="0.2">
      <c r="AG80" s="27">
        <v>76</v>
      </c>
      <c r="AH80" s="27">
        <v>7</v>
      </c>
      <c r="AI80" s="27">
        <v>4</v>
      </c>
      <c r="AJ80" s="27">
        <f t="shared" si="20"/>
        <v>25</v>
      </c>
      <c r="AK80" s="27">
        <f t="shared" si="21"/>
        <v>42</v>
      </c>
      <c r="AL80" s="27">
        <f t="shared" si="22"/>
        <v>220</v>
      </c>
      <c r="AO80" s="19">
        <v>76</v>
      </c>
      <c r="AP80" s="27">
        <v>7</v>
      </c>
      <c r="AQ80" s="19">
        <v>15</v>
      </c>
      <c r="AR80" s="16">
        <f t="shared" si="23"/>
        <v>500</v>
      </c>
      <c r="AS80" s="16">
        <f t="shared" si="24"/>
        <v>1500</v>
      </c>
      <c r="AT80" s="16">
        <f t="shared" si="25"/>
        <v>16500</v>
      </c>
      <c r="AW80" s="19">
        <v>76</v>
      </c>
      <c r="AX80" s="27">
        <v>8</v>
      </c>
      <c r="AY80" s="19">
        <v>1</v>
      </c>
      <c r="AZ80" s="16">
        <f t="shared" si="26"/>
        <v>1200</v>
      </c>
      <c r="BA80" s="16">
        <f t="shared" si="27"/>
        <v>3600</v>
      </c>
      <c r="BB80" s="16">
        <f t="shared" si="28"/>
        <v>32400</v>
      </c>
    </row>
    <row r="81" spans="33:54" ht="16.5" x14ac:dyDescent="0.2">
      <c r="AG81" s="27">
        <v>77</v>
      </c>
      <c r="AH81" s="27">
        <v>7</v>
      </c>
      <c r="AI81" s="27">
        <v>5</v>
      </c>
      <c r="AJ81" s="27">
        <f t="shared" si="20"/>
        <v>25</v>
      </c>
      <c r="AK81" s="27">
        <f t="shared" si="21"/>
        <v>43</v>
      </c>
      <c r="AL81" s="27">
        <f t="shared" si="22"/>
        <v>225</v>
      </c>
      <c r="AO81" s="19">
        <v>77</v>
      </c>
      <c r="AP81" s="27">
        <v>8</v>
      </c>
      <c r="AQ81" s="19">
        <v>1</v>
      </c>
      <c r="AR81" s="16">
        <f t="shared" si="23"/>
        <v>600</v>
      </c>
      <c r="AS81" s="16">
        <f t="shared" si="24"/>
        <v>1800</v>
      </c>
      <c r="AT81" s="16">
        <f t="shared" si="25"/>
        <v>21600</v>
      </c>
      <c r="AW81" s="19">
        <v>77</v>
      </c>
      <c r="AX81" s="27">
        <v>8</v>
      </c>
      <c r="AY81" s="19">
        <v>2</v>
      </c>
      <c r="AZ81" s="16">
        <f t="shared" si="26"/>
        <v>1200</v>
      </c>
      <c r="BA81" s="16">
        <f t="shared" si="27"/>
        <v>3600</v>
      </c>
      <c r="BB81" s="16">
        <f t="shared" si="28"/>
        <v>32400</v>
      </c>
    </row>
    <row r="82" spans="33:54" ht="16.5" x14ac:dyDescent="0.2">
      <c r="AG82" s="27">
        <v>78</v>
      </c>
      <c r="AH82" s="27">
        <v>7</v>
      </c>
      <c r="AI82" s="27">
        <v>6</v>
      </c>
      <c r="AJ82" s="27">
        <f t="shared" si="20"/>
        <v>25</v>
      </c>
      <c r="AK82" s="27">
        <f t="shared" si="21"/>
        <v>44</v>
      </c>
      <c r="AL82" s="27">
        <f t="shared" si="22"/>
        <v>230</v>
      </c>
      <c r="AO82" s="19">
        <v>78</v>
      </c>
      <c r="AP82" s="27">
        <v>8</v>
      </c>
      <c r="AQ82" s="19">
        <v>2</v>
      </c>
      <c r="AR82" s="16">
        <f t="shared" si="23"/>
        <v>600</v>
      </c>
      <c r="AS82" s="16">
        <f t="shared" si="24"/>
        <v>1800</v>
      </c>
      <c r="AT82" s="16">
        <f t="shared" si="25"/>
        <v>21600</v>
      </c>
      <c r="AW82" s="19">
        <v>78</v>
      </c>
      <c r="AX82" s="27">
        <v>8</v>
      </c>
      <c r="AY82" s="19">
        <v>3</v>
      </c>
      <c r="AZ82" s="16">
        <f t="shared" si="26"/>
        <v>1200</v>
      </c>
      <c r="BA82" s="16">
        <f t="shared" si="27"/>
        <v>3600</v>
      </c>
      <c r="BB82" s="16">
        <f t="shared" si="28"/>
        <v>32400</v>
      </c>
    </row>
    <row r="83" spans="33:54" ht="16.5" x14ac:dyDescent="0.2">
      <c r="AG83" s="27">
        <v>79</v>
      </c>
      <c r="AH83" s="27">
        <v>7</v>
      </c>
      <c r="AI83" s="27">
        <v>7</v>
      </c>
      <c r="AJ83" s="27">
        <f t="shared" si="20"/>
        <v>25</v>
      </c>
      <c r="AK83" s="27">
        <f t="shared" si="21"/>
        <v>44</v>
      </c>
      <c r="AL83" s="27">
        <f t="shared" si="22"/>
        <v>235</v>
      </c>
      <c r="AO83" s="19">
        <v>79</v>
      </c>
      <c r="AP83" s="27">
        <v>8</v>
      </c>
      <c r="AQ83" s="19">
        <v>3</v>
      </c>
      <c r="AR83" s="16">
        <f t="shared" si="23"/>
        <v>600</v>
      </c>
      <c r="AS83" s="16">
        <f t="shared" si="24"/>
        <v>1800</v>
      </c>
      <c r="AT83" s="16">
        <f t="shared" si="25"/>
        <v>21600</v>
      </c>
      <c r="AW83" s="19">
        <v>79</v>
      </c>
      <c r="AX83" s="27">
        <v>8</v>
      </c>
      <c r="AY83" s="19">
        <v>4</v>
      </c>
      <c r="AZ83" s="16">
        <f t="shared" si="26"/>
        <v>1200</v>
      </c>
      <c r="BA83" s="16">
        <f t="shared" si="27"/>
        <v>3600</v>
      </c>
      <c r="BB83" s="16">
        <f t="shared" si="28"/>
        <v>32400</v>
      </c>
    </row>
    <row r="84" spans="33:54" ht="16.5" x14ac:dyDescent="0.2">
      <c r="AG84" s="27">
        <v>80</v>
      </c>
      <c r="AH84" s="27">
        <v>7</v>
      </c>
      <c r="AI84" s="27">
        <v>8</v>
      </c>
      <c r="AJ84" s="27">
        <f t="shared" si="20"/>
        <v>25</v>
      </c>
      <c r="AK84" s="27">
        <f t="shared" si="21"/>
        <v>45</v>
      </c>
      <c r="AL84" s="27">
        <f t="shared" si="22"/>
        <v>240</v>
      </c>
      <c r="AO84" s="19">
        <v>80</v>
      </c>
      <c r="AP84" s="27">
        <v>8</v>
      </c>
      <c r="AQ84" s="19">
        <v>4</v>
      </c>
      <c r="AR84" s="16">
        <f t="shared" si="23"/>
        <v>600</v>
      </c>
      <c r="AS84" s="16">
        <f t="shared" si="24"/>
        <v>1800</v>
      </c>
      <c r="AT84" s="16">
        <f t="shared" si="25"/>
        <v>21600</v>
      </c>
      <c r="AW84" s="19">
        <v>80</v>
      </c>
      <c r="AX84" s="27">
        <v>8</v>
      </c>
      <c r="AY84" s="19">
        <v>5</v>
      </c>
      <c r="AZ84" s="16">
        <f t="shared" si="26"/>
        <v>1200</v>
      </c>
      <c r="BA84" s="16">
        <f t="shared" si="27"/>
        <v>3600</v>
      </c>
      <c r="BB84" s="16">
        <f t="shared" si="28"/>
        <v>32400</v>
      </c>
    </row>
    <row r="85" spans="33:54" ht="16.5" x14ac:dyDescent="0.2">
      <c r="AG85" s="27">
        <v>81</v>
      </c>
      <c r="AH85" s="27">
        <v>7</v>
      </c>
      <c r="AI85" s="27">
        <v>9</v>
      </c>
      <c r="AJ85" s="27">
        <f t="shared" si="20"/>
        <v>25</v>
      </c>
      <c r="AK85" s="27">
        <f t="shared" si="21"/>
        <v>46</v>
      </c>
      <c r="AL85" s="27">
        <f t="shared" si="22"/>
        <v>245</v>
      </c>
      <c r="AO85" s="19">
        <v>81</v>
      </c>
      <c r="AP85" s="27">
        <v>8</v>
      </c>
      <c r="AQ85" s="19">
        <v>5</v>
      </c>
      <c r="AR85" s="16">
        <f t="shared" si="23"/>
        <v>600</v>
      </c>
      <c r="AS85" s="16">
        <f t="shared" si="24"/>
        <v>1800</v>
      </c>
      <c r="AT85" s="16">
        <f t="shared" si="25"/>
        <v>21600</v>
      </c>
      <c r="AW85" s="19">
        <v>81</v>
      </c>
      <c r="AX85" s="27">
        <v>8</v>
      </c>
      <c r="AY85" s="19">
        <v>6</v>
      </c>
      <c r="AZ85" s="16">
        <f t="shared" si="26"/>
        <v>1200</v>
      </c>
      <c r="BA85" s="16">
        <f t="shared" si="27"/>
        <v>3600</v>
      </c>
      <c r="BB85" s="16">
        <f t="shared" si="28"/>
        <v>32400</v>
      </c>
    </row>
    <row r="86" spans="33:54" ht="16.5" x14ac:dyDescent="0.2">
      <c r="AG86" s="27">
        <v>82</v>
      </c>
      <c r="AH86" s="27">
        <v>7</v>
      </c>
      <c r="AI86" s="27">
        <v>10</v>
      </c>
      <c r="AJ86" s="27">
        <f t="shared" si="20"/>
        <v>25</v>
      </c>
      <c r="AK86" s="27">
        <f t="shared" si="21"/>
        <v>46</v>
      </c>
      <c r="AL86" s="27">
        <f t="shared" si="22"/>
        <v>250</v>
      </c>
      <c r="AO86" s="19">
        <v>82</v>
      </c>
      <c r="AP86" s="27">
        <v>8</v>
      </c>
      <c r="AQ86" s="19">
        <v>6</v>
      </c>
      <c r="AR86" s="16">
        <f t="shared" si="23"/>
        <v>600</v>
      </c>
      <c r="AS86" s="16">
        <f t="shared" si="24"/>
        <v>1800</v>
      </c>
      <c r="AT86" s="16">
        <f t="shared" si="25"/>
        <v>21600</v>
      </c>
      <c r="AW86" s="19">
        <v>82</v>
      </c>
      <c r="AX86" s="27">
        <v>8</v>
      </c>
      <c r="AY86" s="19">
        <v>7</v>
      </c>
      <c r="AZ86" s="16">
        <f t="shared" si="26"/>
        <v>1200</v>
      </c>
      <c r="BA86" s="16">
        <f t="shared" si="27"/>
        <v>3600</v>
      </c>
      <c r="BB86" s="16">
        <f t="shared" si="28"/>
        <v>32400</v>
      </c>
    </row>
    <row r="87" spans="33:54" ht="16.5" x14ac:dyDescent="0.2">
      <c r="AG87" s="27">
        <v>83</v>
      </c>
      <c r="AH87" s="27">
        <v>7</v>
      </c>
      <c r="AI87" s="27">
        <v>11</v>
      </c>
      <c r="AJ87" s="27">
        <f t="shared" si="20"/>
        <v>25</v>
      </c>
      <c r="AK87" s="27">
        <f t="shared" si="21"/>
        <v>47</v>
      </c>
      <c r="AL87" s="27">
        <f t="shared" si="22"/>
        <v>255</v>
      </c>
      <c r="AO87" s="19">
        <v>83</v>
      </c>
      <c r="AP87" s="27">
        <v>8</v>
      </c>
      <c r="AQ87" s="19">
        <v>7</v>
      </c>
      <c r="AR87" s="16">
        <f t="shared" si="23"/>
        <v>600</v>
      </c>
      <c r="AS87" s="16">
        <f t="shared" si="24"/>
        <v>1800</v>
      </c>
      <c r="AT87" s="16">
        <f t="shared" si="25"/>
        <v>21600</v>
      </c>
      <c r="AW87" s="19">
        <v>83</v>
      </c>
      <c r="AX87" s="27">
        <v>8</v>
      </c>
      <c r="AY87" s="19">
        <v>8</v>
      </c>
      <c r="AZ87" s="16">
        <f t="shared" si="26"/>
        <v>1200</v>
      </c>
      <c r="BA87" s="16">
        <f t="shared" si="27"/>
        <v>3600</v>
      </c>
      <c r="BB87" s="16">
        <f t="shared" si="28"/>
        <v>32400</v>
      </c>
    </row>
    <row r="88" spans="33:54" ht="16.5" x14ac:dyDescent="0.2">
      <c r="AG88" s="27">
        <v>84</v>
      </c>
      <c r="AH88" s="27">
        <v>7</v>
      </c>
      <c r="AI88" s="27">
        <v>12</v>
      </c>
      <c r="AJ88" s="27">
        <f t="shared" si="20"/>
        <v>25</v>
      </c>
      <c r="AK88" s="27">
        <f t="shared" si="21"/>
        <v>48</v>
      </c>
      <c r="AL88" s="27">
        <f t="shared" si="22"/>
        <v>260</v>
      </c>
      <c r="AO88" s="19">
        <v>84</v>
      </c>
      <c r="AP88" s="27">
        <v>8</v>
      </c>
      <c r="AQ88" s="19">
        <v>8</v>
      </c>
      <c r="AR88" s="16">
        <f t="shared" si="23"/>
        <v>600</v>
      </c>
      <c r="AS88" s="16">
        <f t="shared" si="24"/>
        <v>1800</v>
      </c>
      <c r="AT88" s="16">
        <f t="shared" si="25"/>
        <v>21600</v>
      </c>
      <c r="AW88" s="19">
        <v>84</v>
      </c>
      <c r="AX88" s="27">
        <v>8</v>
      </c>
      <c r="AY88" s="19">
        <v>9</v>
      </c>
      <c r="AZ88" s="16">
        <f t="shared" si="26"/>
        <v>1200</v>
      </c>
      <c r="BA88" s="16">
        <f t="shared" si="27"/>
        <v>3600</v>
      </c>
      <c r="BB88" s="16">
        <f t="shared" si="28"/>
        <v>32400</v>
      </c>
    </row>
    <row r="89" spans="33:54" ht="16.5" x14ac:dyDescent="0.2">
      <c r="AG89" s="27">
        <v>85</v>
      </c>
      <c r="AH89" s="27">
        <v>7</v>
      </c>
      <c r="AI89" s="27">
        <v>13</v>
      </c>
      <c r="AJ89" s="27">
        <f t="shared" si="20"/>
        <v>25</v>
      </c>
      <c r="AK89" s="27">
        <f t="shared" si="21"/>
        <v>48</v>
      </c>
      <c r="AL89" s="27">
        <f t="shared" si="22"/>
        <v>265</v>
      </c>
      <c r="AO89" s="19">
        <v>85</v>
      </c>
      <c r="AP89" s="27">
        <v>8</v>
      </c>
      <c r="AQ89" s="19">
        <v>9</v>
      </c>
      <c r="AR89" s="16">
        <f t="shared" si="23"/>
        <v>600</v>
      </c>
      <c r="AS89" s="16">
        <f t="shared" si="24"/>
        <v>1800</v>
      </c>
      <c r="AT89" s="16">
        <f t="shared" si="25"/>
        <v>21600</v>
      </c>
      <c r="AW89" s="19">
        <v>85</v>
      </c>
      <c r="AX89" s="27">
        <v>8</v>
      </c>
      <c r="AY89" s="19">
        <v>10</v>
      </c>
      <c r="AZ89" s="16">
        <f t="shared" si="26"/>
        <v>1200</v>
      </c>
      <c r="BA89" s="16">
        <f t="shared" si="27"/>
        <v>3600</v>
      </c>
      <c r="BB89" s="16">
        <f t="shared" si="28"/>
        <v>32400</v>
      </c>
    </row>
    <row r="90" spans="33:54" ht="16.5" x14ac:dyDescent="0.2">
      <c r="AG90" s="27">
        <v>86</v>
      </c>
      <c r="AH90" s="27">
        <v>7</v>
      </c>
      <c r="AI90" s="27">
        <v>14</v>
      </c>
      <c r="AJ90" s="27">
        <f t="shared" si="20"/>
        <v>25</v>
      </c>
      <c r="AK90" s="27">
        <f t="shared" si="21"/>
        <v>49</v>
      </c>
      <c r="AL90" s="27">
        <f t="shared" si="22"/>
        <v>270</v>
      </c>
      <c r="AO90" s="19">
        <v>86</v>
      </c>
      <c r="AP90" s="27">
        <v>8</v>
      </c>
      <c r="AQ90" s="19">
        <v>10</v>
      </c>
      <c r="AR90" s="16">
        <f t="shared" si="23"/>
        <v>600</v>
      </c>
      <c r="AS90" s="16">
        <f t="shared" si="24"/>
        <v>1800</v>
      </c>
      <c r="AT90" s="16">
        <f t="shared" si="25"/>
        <v>21600</v>
      </c>
      <c r="AW90" s="19">
        <v>86</v>
      </c>
      <c r="AX90" s="27">
        <v>8</v>
      </c>
      <c r="AY90" s="19">
        <v>11</v>
      </c>
      <c r="AZ90" s="16">
        <f t="shared" si="26"/>
        <v>1200</v>
      </c>
      <c r="BA90" s="16">
        <f t="shared" si="27"/>
        <v>3600</v>
      </c>
      <c r="BB90" s="16">
        <f t="shared" si="28"/>
        <v>32400</v>
      </c>
    </row>
    <row r="91" spans="33:54" ht="16.5" x14ac:dyDescent="0.2">
      <c r="AG91" s="27">
        <v>87</v>
      </c>
      <c r="AH91" s="27">
        <v>7</v>
      </c>
      <c r="AI91" s="27">
        <v>15</v>
      </c>
      <c r="AJ91" s="27">
        <f t="shared" si="20"/>
        <v>25</v>
      </c>
      <c r="AK91" s="27">
        <f t="shared" si="21"/>
        <v>50</v>
      </c>
      <c r="AL91" s="27">
        <f t="shared" si="22"/>
        <v>275</v>
      </c>
      <c r="AO91" s="19">
        <v>87</v>
      </c>
      <c r="AP91" s="27">
        <v>8</v>
      </c>
      <c r="AQ91" s="19">
        <v>11</v>
      </c>
      <c r="AR91" s="16">
        <f t="shared" si="23"/>
        <v>600</v>
      </c>
      <c r="AS91" s="16">
        <f t="shared" si="24"/>
        <v>1800</v>
      </c>
      <c r="AT91" s="16">
        <f t="shared" si="25"/>
        <v>21600</v>
      </c>
      <c r="AW91" s="19">
        <v>87</v>
      </c>
      <c r="AX91" s="27">
        <v>8</v>
      </c>
      <c r="AY91" s="19">
        <v>12</v>
      </c>
      <c r="AZ91" s="16">
        <f t="shared" si="26"/>
        <v>1200</v>
      </c>
      <c r="BA91" s="16">
        <f t="shared" si="27"/>
        <v>3600</v>
      </c>
      <c r="BB91" s="16">
        <f t="shared" si="28"/>
        <v>32400</v>
      </c>
    </row>
    <row r="92" spans="33:54" ht="16.5" x14ac:dyDescent="0.2">
      <c r="AG92" s="27">
        <v>88</v>
      </c>
      <c r="AH92" s="27">
        <v>8</v>
      </c>
      <c r="AI92" s="27">
        <v>1</v>
      </c>
      <c r="AJ92" s="27">
        <f t="shared" si="20"/>
        <v>30</v>
      </c>
      <c r="AK92" s="27">
        <f t="shared" si="21"/>
        <v>50</v>
      </c>
      <c r="AL92" s="27">
        <f t="shared" si="22"/>
        <v>280</v>
      </c>
      <c r="AO92" s="19">
        <v>88</v>
      </c>
      <c r="AP92" s="27">
        <v>8</v>
      </c>
      <c r="AQ92" s="19">
        <v>12</v>
      </c>
      <c r="AR92" s="16">
        <f t="shared" si="23"/>
        <v>600</v>
      </c>
      <c r="AS92" s="16">
        <f t="shared" si="24"/>
        <v>1800</v>
      </c>
      <c r="AT92" s="16">
        <f t="shared" si="25"/>
        <v>21600</v>
      </c>
      <c r="AW92" s="19">
        <v>88</v>
      </c>
      <c r="AX92" s="27">
        <v>8</v>
      </c>
      <c r="AY92" s="19">
        <v>13</v>
      </c>
      <c r="AZ92" s="16">
        <f t="shared" si="26"/>
        <v>1200</v>
      </c>
      <c r="BA92" s="16">
        <f t="shared" si="27"/>
        <v>3600</v>
      </c>
      <c r="BB92" s="16">
        <f t="shared" si="28"/>
        <v>32400</v>
      </c>
    </row>
    <row r="93" spans="33:54" ht="16.5" x14ac:dyDescent="0.2">
      <c r="AG93" s="27">
        <v>89</v>
      </c>
      <c r="AH93" s="27">
        <v>8</v>
      </c>
      <c r="AI93" s="27">
        <v>2</v>
      </c>
      <c r="AJ93" s="27">
        <f t="shared" si="20"/>
        <v>30</v>
      </c>
      <c r="AK93" s="27">
        <f t="shared" si="21"/>
        <v>51</v>
      </c>
      <c r="AL93" s="27">
        <f t="shared" si="22"/>
        <v>286</v>
      </c>
      <c r="AO93" s="19">
        <v>89</v>
      </c>
      <c r="AP93" s="27">
        <v>8</v>
      </c>
      <c r="AQ93" s="19">
        <v>13</v>
      </c>
      <c r="AR93" s="16">
        <f t="shared" si="23"/>
        <v>600</v>
      </c>
      <c r="AS93" s="16">
        <f t="shared" si="24"/>
        <v>1800</v>
      </c>
      <c r="AT93" s="16">
        <f t="shared" si="25"/>
        <v>21600</v>
      </c>
      <c r="AW93" s="19">
        <v>89</v>
      </c>
      <c r="AX93" s="27">
        <v>8</v>
      </c>
      <c r="AY93" s="19">
        <v>14</v>
      </c>
      <c r="AZ93" s="16">
        <f t="shared" si="26"/>
        <v>1200</v>
      </c>
      <c r="BA93" s="16">
        <f t="shared" si="27"/>
        <v>3600</v>
      </c>
      <c r="BB93" s="16">
        <f t="shared" si="28"/>
        <v>32400</v>
      </c>
    </row>
    <row r="94" spans="33:54" ht="16.5" x14ac:dyDescent="0.2">
      <c r="AG94" s="27">
        <v>90</v>
      </c>
      <c r="AH94" s="27">
        <v>8</v>
      </c>
      <c r="AI94" s="27">
        <v>3</v>
      </c>
      <c r="AJ94" s="27">
        <f t="shared" si="20"/>
        <v>30</v>
      </c>
      <c r="AK94" s="27">
        <f t="shared" si="21"/>
        <v>52</v>
      </c>
      <c r="AL94" s="27">
        <f t="shared" si="22"/>
        <v>292</v>
      </c>
      <c r="AO94" s="19">
        <v>90</v>
      </c>
      <c r="AP94" s="27">
        <v>8</v>
      </c>
      <c r="AQ94" s="19">
        <v>14</v>
      </c>
      <c r="AR94" s="16">
        <f t="shared" si="23"/>
        <v>600</v>
      </c>
      <c r="AS94" s="16">
        <f t="shared" si="24"/>
        <v>1800</v>
      </c>
      <c r="AT94" s="16">
        <f t="shared" si="25"/>
        <v>21600</v>
      </c>
      <c r="AW94" s="19">
        <v>90</v>
      </c>
      <c r="AX94" s="27">
        <v>8</v>
      </c>
      <c r="AY94" s="19">
        <v>15</v>
      </c>
      <c r="AZ94" s="16">
        <f t="shared" si="26"/>
        <v>1200</v>
      </c>
      <c r="BA94" s="16">
        <f t="shared" si="27"/>
        <v>3600</v>
      </c>
      <c r="BB94" s="16">
        <f t="shared" si="28"/>
        <v>32400</v>
      </c>
    </row>
    <row r="95" spans="33:54" ht="16.5" x14ac:dyDescent="0.2">
      <c r="AG95" s="27">
        <v>91</v>
      </c>
      <c r="AH95" s="27">
        <v>8</v>
      </c>
      <c r="AI95" s="27">
        <v>4</v>
      </c>
      <c r="AJ95" s="27">
        <f t="shared" si="20"/>
        <v>30</v>
      </c>
      <c r="AK95" s="27">
        <f t="shared" si="21"/>
        <v>52</v>
      </c>
      <c r="AL95" s="27">
        <f t="shared" si="22"/>
        <v>297</v>
      </c>
      <c r="AO95" s="19">
        <v>91</v>
      </c>
      <c r="AP95" s="27">
        <v>8</v>
      </c>
      <c r="AQ95" s="19">
        <v>15</v>
      </c>
      <c r="AR95" s="16">
        <f t="shared" si="23"/>
        <v>600</v>
      </c>
      <c r="AS95" s="16">
        <f t="shared" si="24"/>
        <v>1800</v>
      </c>
      <c r="AT95" s="16">
        <f t="shared" si="25"/>
        <v>21600</v>
      </c>
      <c r="AW95" s="19">
        <v>91</v>
      </c>
      <c r="AX95" s="27">
        <v>9</v>
      </c>
      <c r="AY95" s="19">
        <v>1</v>
      </c>
      <c r="AZ95" s="16">
        <f t="shared" si="26"/>
        <v>1440</v>
      </c>
      <c r="BA95" s="16">
        <f t="shared" si="27"/>
        <v>4320</v>
      </c>
      <c r="BB95" s="16">
        <f t="shared" si="28"/>
        <v>42120</v>
      </c>
    </row>
    <row r="96" spans="33:54" ht="16.5" x14ac:dyDescent="0.2">
      <c r="AG96" s="27">
        <v>92</v>
      </c>
      <c r="AH96" s="27">
        <v>8</v>
      </c>
      <c r="AI96" s="27">
        <v>5</v>
      </c>
      <c r="AJ96" s="27">
        <f t="shared" si="20"/>
        <v>30</v>
      </c>
      <c r="AK96" s="27">
        <f t="shared" si="21"/>
        <v>53</v>
      </c>
      <c r="AL96" s="27">
        <f t="shared" si="22"/>
        <v>303</v>
      </c>
      <c r="AO96" s="19">
        <v>92</v>
      </c>
      <c r="AP96" s="27">
        <v>9</v>
      </c>
      <c r="AQ96" s="19">
        <v>1</v>
      </c>
      <c r="AR96" s="16">
        <f t="shared" si="23"/>
        <v>720</v>
      </c>
      <c r="AS96" s="16">
        <f t="shared" si="24"/>
        <v>2160</v>
      </c>
      <c r="AT96" s="16">
        <f t="shared" si="25"/>
        <v>28080</v>
      </c>
      <c r="AW96" s="19">
        <v>92</v>
      </c>
      <c r="AX96" s="27">
        <v>9</v>
      </c>
      <c r="AY96" s="19">
        <v>2</v>
      </c>
      <c r="AZ96" s="16">
        <f t="shared" si="26"/>
        <v>1440</v>
      </c>
      <c r="BA96" s="16">
        <f t="shared" si="27"/>
        <v>4320</v>
      </c>
      <c r="BB96" s="16">
        <f t="shared" si="28"/>
        <v>42120</v>
      </c>
    </row>
    <row r="97" spans="33:54" ht="16.5" x14ac:dyDescent="0.2">
      <c r="AG97" s="27">
        <v>93</v>
      </c>
      <c r="AH97" s="27">
        <v>8</v>
      </c>
      <c r="AI97" s="27">
        <v>6</v>
      </c>
      <c r="AJ97" s="27">
        <f t="shared" si="20"/>
        <v>30</v>
      </c>
      <c r="AK97" s="27">
        <f t="shared" si="21"/>
        <v>54</v>
      </c>
      <c r="AL97" s="27">
        <f t="shared" si="22"/>
        <v>309</v>
      </c>
      <c r="AO97" s="19">
        <v>93</v>
      </c>
      <c r="AP97" s="27">
        <v>9</v>
      </c>
      <c r="AQ97" s="19">
        <v>2</v>
      </c>
      <c r="AR97" s="16">
        <f t="shared" si="23"/>
        <v>720</v>
      </c>
      <c r="AS97" s="16">
        <f t="shared" si="24"/>
        <v>2160</v>
      </c>
      <c r="AT97" s="16">
        <f t="shared" si="25"/>
        <v>28080</v>
      </c>
      <c r="AW97" s="19">
        <v>93</v>
      </c>
      <c r="AX97" s="27">
        <v>9</v>
      </c>
      <c r="AY97" s="19">
        <v>3</v>
      </c>
      <c r="AZ97" s="16">
        <f t="shared" si="26"/>
        <v>1440</v>
      </c>
      <c r="BA97" s="16">
        <f t="shared" si="27"/>
        <v>4320</v>
      </c>
      <c r="BB97" s="16">
        <f t="shared" si="28"/>
        <v>42120</v>
      </c>
    </row>
    <row r="98" spans="33:54" ht="16.5" x14ac:dyDescent="0.2">
      <c r="AG98" s="27">
        <v>94</v>
      </c>
      <c r="AH98" s="27">
        <v>8</v>
      </c>
      <c r="AI98" s="27">
        <v>7</v>
      </c>
      <c r="AJ98" s="27">
        <f t="shared" si="20"/>
        <v>30</v>
      </c>
      <c r="AK98" s="27">
        <f t="shared" si="21"/>
        <v>54</v>
      </c>
      <c r="AL98" s="27">
        <f t="shared" si="22"/>
        <v>314</v>
      </c>
      <c r="AO98" s="19">
        <v>94</v>
      </c>
      <c r="AP98" s="27">
        <v>9</v>
      </c>
      <c r="AQ98" s="19">
        <v>3</v>
      </c>
      <c r="AR98" s="16">
        <f t="shared" si="23"/>
        <v>720</v>
      </c>
      <c r="AS98" s="16">
        <f t="shared" si="24"/>
        <v>2160</v>
      </c>
      <c r="AT98" s="16">
        <f t="shared" si="25"/>
        <v>28080</v>
      </c>
      <c r="AW98" s="19">
        <v>94</v>
      </c>
      <c r="AX98" s="27">
        <v>9</v>
      </c>
      <c r="AY98" s="19">
        <v>4</v>
      </c>
      <c r="AZ98" s="16">
        <f t="shared" si="26"/>
        <v>1440</v>
      </c>
      <c r="BA98" s="16">
        <f t="shared" si="27"/>
        <v>4320</v>
      </c>
      <c r="BB98" s="16">
        <f t="shared" si="28"/>
        <v>42120</v>
      </c>
    </row>
    <row r="99" spans="33:54" ht="16.5" x14ac:dyDescent="0.2">
      <c r="AG99" s="27">
        <v>95</v>
      </c>
      <c r="AH99" s="27">
        <v>8</v>
      </c>
      <c r="AI99" s="27">
        <v>8</v>
      </c>
      <c r="AJ99" s="27">
        <f t="shared" si="20"/>
        <v>30</v>
      </c>
      <c r="AK99" s="27">
        <f t="shared" si="21"/>
        <v>55</v>
      </c>
      <c r="AL99" s="27">
        <f t="shared" si="22"/>
        <v>320</v>
      </c>
      <c r="AO99" s="19">
        <v>95</v>
      </c>
      <c r="AP99" s="27">
        <v>9</v>
      </c>
      <c r="AQ99" s="19">
        <v>4</v>
      </c>
      <c r="AR99" s="16">
        <f t="shared" si="23"/>
        <v>720</v>
      </c>
      <c r="AS99" s="16">
        <f t="shared" si="24"/>
        <v>2160</v>
      </c>
      <c r="AT99" s="16">
        <f t="shared" si="25"/>
        <v>28080</v>
      </c>
      <c r="AW99" s="19">
        <v>95</v>
      </c>
      <c r="AX99" s="27">
        <v>9</v>
      </c>
      <c r="AY99" s="19">
        <v>5</v>
      </c>
      <c r="AZ99" s="16">
        <f t="shared" si="26"/>
        <v>1440</v>
      </c>
      <c r="BA99" s="16">
        <f t="shared" si="27"/>
        <v>4320</v>
      </c>
      <c r="BB99" s="16">
        <f t="shared" si="28"/>
        <v>42120</v>
      </c>
    </row>
    <row r="100" spans="33:54" ht="16.5" x14ac:dyDescent="0.2">
      <c r="AG100" s="27">
        <v>96</v>
      </c>
      <c r="AH100" s="27">
        <v>8</v>
      </c>
      <c r="AI100" s="27">
        <v>9</v>
      </c>
      <c r="AJ100" s="27">
        <f t="shared" si="20"/>
        <v>30</v>
      </c>
      <c r="AK100" s="27">
        <f t="shared" si="21"/>
        <v>56</v>
      </c>
      <c r="AL100" s="27">
        <f t="shared" si="22"/>
        <v>326</v>
      </c>
      <c r="AO100" s="19">
        <v>96</v>
      </c>
      <c r="AP100" s="27">
        <v>9</v>
      </c>
      <c r="AQ100" s="19">
        <v>5</v>
      </c>
      <c r="AR100" s="16">
        <f t="shared" si="23"/>
        <v>720</v>
      </c>
      <c r="AS100" s="16">
        <f t="shared" si="24"/>
        <v>2160</v>
      </c>
      <c r="AT100" s="16">
        <f t="shared" si="25"/>
        <v>28080</v>
      </c>
      <c r="AW100" s="19">
        <v>96</v>
      </c>
      <c r="AX100" s="27">
        <v>9</v>
      </c>
      <c r="AY100" s="19">
        <v>6</v>
      </c>
      <c r="AZ100" s="16">
        <f t="shared" si="26"/>
        <v>1440</v>
      </c>
      <c r="BA100" s="16">
        <f t="shared" si="27"/>
        <v>4320</v>
      </c>
      <c r="BB100" s="16">
        <f t="shared" si="28"/>
        <v>42120</v>
      </c>
    </row>
    <row r="101" spans="33:54" ht="16.5" x14ac:dyDescent="0.2">
      <c r="AG101" s="27">
        <v>97</v>
      </c>
      <c r="AH101" s="27">
        <v>8</v>
      </c>
      <c r="AI101" s="27">
        <v>10</v>
      </c>
      <c r="AJ101" s="27">
        <f t="shared" si="20"/>
        <v>30</v>
      </c>
      <c r="AK101" s="27">
        <f t="shared" si="21"/>
        <v>56</v>
      </c>
      <c r="AL101" s="27">
        <f t="shared" si="22"/>
        <v>331</v>
      </c>
      <c r="AO101" s="19">
        <v>97</v>
      </c>
      <c r="AP101" s="27">
        <v>9</v>
      </c>
      <c r="AQ101" s="19">
        <v>6</v>
      </c>
      <c r="AR101" s="16">
        <f t="shared" si="23"/>
        <v>720</v>
      </c>
      <c r="AS101" s="16">
        <f t="shared" si="24"/>
        <v>2160</v>
      </c>
      <c r="AT101" s="16">
        <f t="shared" si="25"/>
        <v>28080</v>
      </c>
      <c r="AW101" s="19">
        <v>97</v>
      </c>
      <c r="AX101" s="27">
        <v>9</v>
      </c>
      <c r="AY101" s="19">
        <v>7</v>
      </c>
      <c r="AZ101" s="16">
        <f t="shared" si="26"/>
        <v>1440</v>
      </c>
      <c r="BA101" s="16">
        <f t="shared" si="27"/>
        <v>4320</v>
      </c>
      <c r="BB101" s="16">
        <f t="shared" si="28"/>
        <v>42120</v>
      </c>
    </row>
    <row r="102" spans="33:54" ht="16.5" x14ac:dyDescent="0.2">
      <c r="AG102" s="27">
        <v>98</v>
      </c>
      <c r="AH102" s="27">
        <v>8</v>
      </c>
      <c r="AI102" s="27">
        <v>11</v>
      </c>
      <c r="AJ102" s="27">
        <f t="shared" si="20"/>
        <v>30</v>
      </c>
      <c r="AK102" s="27">
        <f t="shared" si="21"/>
        <v>57</v>
      </c>
      <c r="AL102" s="27">
        <f t="shared" si="22"/>
        <v>337</v>
      </c>
      <c r="AO102" s="19">
        <v>98</v>
      </c>
      <c r="AP102" s="27">
        <v>9</v>
      </c>
      <c r="AQ102" s="19">
        <v>7</v>
      </c>
      <c r="AR102" s="16">
        <f t="shared" si="23"/>
        <v>720</v>
      </c>
      <c r="AS102" s="16">
        <f t="shared" si="24"/>
        <v>2160</v>
      </c>
      <c r="AT102" s="16">
        <f t="shared" si="25"/>
        <v>28080</v>
      </c>
      <c r="AW102" s="19">
        <v>98</v>
      </c>
      <c r="AX102" s="27">
        <v>9</v>
      </c>
      <c r="AY102" s="19">
        <v>8</v>
      </c>
      <c r="AZ102" s="16">
        <f t="shared" si="26"/>
        <v>1440</v>
      </c>
      <c r="BA102" s="16">
        <f t="shared" si="27"/>
        <v>4320</v>
      </c>
      <c r="BB102" s="16">
        <f t="shared" si="28"/>
        <v>42120</v>
      </c>
    </row>
    <row r="103" spans="33:54" ht="16.5" x14ac:dyDescent="0.2">
      <c r="AG103" s="27">
        <v>99</v>
      </c>
      <c r="AH103" s="27">
        <v>8</v>
      </c>
      <c r="AI103" s="27">
        <v>12</v>
      </c>
      <c r="AJ103" s="27">
        <f t="shared" si="20"/>
        <v>30</v>
      </c>
      <c r="AK103" s="27">
        <f t="shared" si="21"/>
        <v>58</v>
      </c>
      <c r="AL103" s="27">
        <f t="shared" si="22"/>
        <v>343</v>
      </c>
      <c r="AO103" s="19">
        <v>99</v>
      </c>
      <c r="AP103" s="27">
        <v>9</v>
      </c>
      <c r="AQ103" s="19">
        <v>8</v>
      </c>
      <c r="AR103" s="16">
        <f t="shared" si="23"/>
        <v>720</v>
      </c>
      <c r="AS103" s="16">
        <f t="shared" si="24"/>
        <v>2160</v>
      </c>
      <c r="AT103" s="16">
        <f t="shared" si="25"/>
        <v>28080</v>
      </c>
      <c r="AW103" s="19">
        <v>99</v>
      </c>
      <c r="AX103" s="27">
        <v>9</v>
      </c>
      <c r="AY103" s="19">
        <v>9</v>
      </c>
      <c r="AZ103" s="16">
        <f t="shared" si="26"/>
        <v>1440</v>
      </c>
      <c r="BA103" s="16">
        <f t="shared" si="27"/>
        <v>4320</v>
      </c>
      <c r="BB103" s="16">
        <f t="shared" si="28"/>
        <v>42120</v>
      </c>
    </row>
    <row r="104" spans="33:54" ht="16.5" x14ac:dyDescent="0.2">
      <c r="AG104" s="27">
        <v>100</v>
      </c>
      <c r="AH104" s="27">
        <v>8</v>
      </c>
      <c r="AI104" s="27">
        <v>13</v>
      </c>
      <c r="AJ104" s="27">
        <f t="shared" si="20"/>
        <v>30</v>
      </c>
      <c r="AK104" s="27">
        <f t="shared" si="21"/>
        <v>58</v>
      </c>
      <c r="AL104" s="27">
        <f t="shared" si="22"/>
        <v>348</v>
      </c>
      <c r="AO104" s="19">
        <v>100</v>
      </c>
      <c r="AP104" s="27">
        <v>9</v>
      </c>
      <c r="AQ104" s="19">
        <v>9</v>
      </c>
      <c r="AR104" s="16">
        <f t="shared" si="23"/>
        <v>720</v>
      </c>
      <c r="AS104" s="16">
        <f t="shared" si="24"/>
        <v>2160</v>
      </c>
      <c r="AT104" s="16">
        <f t="shared" si="25"/>
        <v>28080</v>
      </c>
      <c r="AW104" s="19">
        <v>100</v>
      </c>
      <c r="AX104" s="27">
        <v>9</v>
      </c>
      <c r="AY104" s="19">
        <v>10</v>
      </c>
      <c r="AZ104" s="16">
        <f t="shared" si="26"/>
        <v>1440</v>
      </c>
      <c r="BA104" s="16">
        <f t="shared" si="27"/>
        <v>4320</v>
      </c>
      <c r="BB104" s="16">
        <f t="shared" si="28"/>
        <v>42120</v>
      </c>
    </row>
    <row r="105" spans="33:54" ht="16.5" x14ac:dyDescent="0.2">
      <c r="AG105" s="27">
        <v>101</v>
      </c>
      <c r="AH105" s="27">
        <v>8</v>
      </c>
      <c r="AI105" s="27">
        <v>14</v>
      </c>
      <c r="AJ105" s="27">
        <f t="shared" si="20"/>
        <v>30</v>
      </c>
      <c r="AK105" s="27">
        <f t="shared" si="21"/>
        <v>59</v>
      </c>
      <c r="AL105" s="27">
        <f t="shared" si="22"/>
        <v>354</v>
      </c>
      <c r="AO105" s="19">
        <v>101</v>
      </c>
      <c r="AP105" s="27">
        <v>9</v>
      </c>
      <c r="AQ105" s="19">
        <v>10</v>
      </c>
      <c r="AR105" s="16">
        <f t="shared" si="23"/>
        <v>720</v>
      </c>
      <c r="AS105" s="16">
        <f t="shared" si="24"/>
        <v>2160</v>
      </c>
      <c r="AT105" s="16">
        <f t="shared" si="25"/>
        <v>28080</v>
      </c>
      <c r="AW105" s="19">
        <v>101</v>
      </c>
      <c r="AX105" s="27">
        <v>9</v>
      </c>
      <c r="AY105" s="19">
        <v>11</v>
      </c>
      <c r="AZ105" s="16">
        <f t="shared" si="26"/>
        <v>1440</v>
      </c>
      <c r="BA105" s="16">
        <f t="shared" si="27"/>
        <v>4320</v>
      </c>
      <c r="BB105" s="16">
        <f t="shared" si="28"/>
        <v>42120</v>
      </c>
    </row>
    <row r="106" spans="33:54" ht="16.5" x14ac:dyDescent="0.2">
      <c r="AG106" s="27">
        <v>102</v>
      </c>
      <c r="AH106" s="27">
        <v>8</v>
      </c>
      <c r="AI106" s="27">
        <v>15</v>
      </c>
      <c r="AJ106" s="27">
        <f t="shared" si="20"/>
        <v>30</v>
      </c>
      <c r="AK106" s="27">
        <f t="shared" si="21"/>
        <v>60</v>
      </c>
      <c r="AL106" s="27">
        <f t="shared" si="22"/>
        <v>360</v>
      </c>
      <c r="AO106" s="19">
        <v>102</v>
      </c>
      <c r="AP106" s="27">
        <v>9</v>
      </c>
      <c r="AQ106" s="19">
        <v>11</v>
      </c>
      <c r="AR106" s="16">
        <f t="shared" si="23"/>
        <v>720</v>
      </c>
      <c r="AS106" s="16">
        <f t="shared" si="24"/>
        <v>2160</v>
      </c>
      <c r="AT106" s="16">
        <f t="shared" si="25"/>
        <v>28080</v>
      </c>
      <c r="AW106" s="19">
        <v>102</v>
      </c>
      <c r="AX106" s="27">
        <v>9</v>
      </c>
      <c r="AY106" s="19">
        <v>12</v>
      </c>
      <c r="AZ106" s="16">
        <f t="shared" si="26"/>
        <v>1440</v>
      </c>
      <c r="BA106" s="16">
        <f t="shared" si="27"/>
        <v>4320</v>
      </c>
      <c r="BB106" s="16">
        <f t="shared" si="28"/>
        <v>42120</v>
      </c>
    </row>
    <row r="107" spans="33:54" ht="16.5" x14ac:dyDescent="0.2">
      <c r="AG107" s="27">
        <v>103</v>
      </c>
      <c r="AH107" s="27">
        <v>9</v>
      </c>
      <c r="AI107" s="27">
        <v>1</v>
      </c>
      <c r="AJ107" s="27">
        <f t="shared" si="20"/>
        <v>36</v>
      </c>
      <c r="AK107" s="27">
        <f t="shared" si="21"/>
        <v>60</v>
      </c>
      <c r="AL107" s="27">
        <f t="shared" si="22"/>
        <v>367</v>
      </c>
      <c r="AO107" s="19">
        <v>103</v>
      </c>
      <c r="AP107" s="27">
        <v>9</v>
      </c>
      <c r="AQ107" s="19">
        <v>12</v>
      </c>
      <c r="AR107" s="16">
        <f t="shared" si="23"/>
        <v>720</v>
      </c>
      <c r="AS107" s="16">
        <f t="shared" si="24"/>
        <v>2160</v>
      </c>
      <c r="AT107" s="16">
        <f t="shared" si="25"/>
        <v>28080</v>
      </c>
      <c r="AW107" s="19">
        <v>103</v>
      </c>
      <c r="AX107" s="27">
        <v>9</v>
      </c>
      <c r="AY107" s="19">
        <v>13</v>
      </c>
      <c r="AZ107" s="16">
        <f t="shared" si="26"/>
        <v>1440</v>
      </c>
      <c r="BA107" s="16">
        <f t="shared" si="27"/>
        <v>4320</v>
      </c>
      <c r="BB107" s="16">
        <f t="shared" si="28"/>
        <v>42120</v>
      </c>
    </row>
    <row r="108" spans="33:54" ht="16.5" x14ac:dyDescent="0.2">
      <c r="AG108" s="27">
        <v>104</v>
      </c>
      <c r="AH108" s="27">
        <v>9</v>
      </c>
      <c r="AI108" s="27">
        <v>2</v>
      </c>
      <c r="AJ108" s="27">
        <f t="shared" si="20"/>
        <v>36</v>
      </c>
      <c r="AK108" s="27">
        <f t="shared" si="21"/>
        <v>61</v>
      </c>
      <c r="AL108" s="27">
        <f t="shared" si="22"/>
        <v>374</v>
      </c>
      <c r="AO108" s="19">
        <v>104</v>
      </c>
      <c r="AP108" s="27">
        <v>9</v>
      </c>
      <c r="AQ108" s="19">
        <v>13</v>
      </c>
      <c r="AR108" s="16">
        <f t="shared" si="23"/>
        <v>720</v>
      </c>
      <c r="AS108" s="16">
        <f t="shared" si="24"/>
        <v>2160</v>
      </c>
      <c r="AT108" s="16">
        <f t="shared" si="25"/>
        <v>28080</v>
      </c>
      <c r="AW108" s="19">
        <v>104</v>
      </c>
      <c r="AX108" s="27">
        <v>9</v>
      </c>
      <c r="AY108" s="19">
        <v>14</v>
      </c>
      <c r="AZ108" s="16">
        <f t="shared" si="26"/>
        <v>1440</v>
      </c>
      <c r="BA108" s="16">
        <f t="shared" si="27"/>
        <v>4320</v>
      </c>
      <c r="BB108" s="16">
        <f t="shared" si="28"/>
        <v>42120</v>
      </c>
    </row>
    <row r="109" spans="33:54" ht="16.5" x14ac:dyDescent="0.2">
      <c r="AG109" s="27">
        <v>105</v>
      </c>
      <c r="AH109" s="27">
        <v>9</v>
      </c>
      <c r="AI109" s="27">
        <v>3</v>
      </c>
      <c r="AJ109" s="27">
        <f t="shared" si="20"/>
        <v>36</v>
      </c>
      <c r="AK109" s="27">
        <f t="shared" si="21"/>
        <v>62</v>
      </c>
      <c r="AL109" s="27">
        <f t="shared" si="22"/>
        <v>381</v>
      </c>
      <c r="AO109" s="19">
        <v>105</v>
      </c>
      <c r="AP109" s="27">
        <v>9</v>
      </c>
      <c r="AQ109" s="19">
        <v>14</v>
      </c>
      <c r="AR109" s="16">
        <f t="shared" si="23"/>
        <v>720</v>
      </c>
      <c r="AS109" s="16">
        <f t="shared" si="24"/>
        <v>2160</v>
      </c>
      <c r="AT109" s="16">
        <f t="shared" si="25"/>
        <v>28080</v>
      </c>
      <c r="AW109" s="19">
        <v>105</v>
      </c>
      <c r="AX109" s="27">
        <v>9</v>
      </c>
      <c r="AY109" s="19">
        <v>15</v>
      </c>
      <c r="AZ109" s="16">
        <f t="shared" si="26"/>
        <v>1440</v>
      </c>
      <c r="BA109" s="16">
        <f t="shared" si="27"/>
        <v>4320</v>
      </c>
      <c r="BB109" s="16">
        <f t="shared" si="28"/>
        <v>42120</v>
      </c>
    </row>
    <row r="110" spans="33:54" ht="16.5" x14ac:dyDescent="0.2">
      <c r="AG110" s="27">
        <v>106</v>
      </c>
      <c r="AH110" s="27">
        <v>9</v>
      </c>
      <c r="AI110" s="27">
        <v>4</v>
      </c>
      <c r="AJ110" s="27">
        <f t="shared" si="20"/>
        <v>36</v>
      </c>
      <c r="AK110" s="27">
        <f t="shared" si="21"/>
        <v>63</v>
      </c>
      <c r="AL110" s="27">
        <f t="shared" si="22"/>
        <v>388</v>
      </c>
      <c r="AO110" s="19">
        <v>106</v>
      </c>
      <c r="AP110" s="27">
        <v>9</v>
      </c>
      <c r="AQ110" s="19">
        <v>15</v>
      </c>
      <c r="AR110" s="16">
        <f t="shared" si="23"/>
        <v>720</v>
      </c>
      <c r="AS110" s="16">
        <f t="shared" si="24"/>
        <v>2160</v>
      </c>
      <c r="AT110" s="16">
        <f t="shared" si="25"/>
        <v>28080</v>
      </c>
      <c r="AW110" s="19">
        <v>106</v>
      </c>
      <c r="AX110" s="27">
        <v>10</v>
      </c>
      <c r="AY110" s="19">
        <v>1</v>
      </c>
      <c r="AZ110" s="16">
        <f t="shared" si="26"/>
        <v>1760</v>
      </c>
      <c r="BA110" s="16">
        <f t="shared" si="27"/>
        <v>5400</v>
      </c>
      <c r="BB110" s="16">
        <f t="shared" si="28"/>
        <v>55440</v>
      </c>
    </row>
    <row r="111" spans="33:54" ht="16.5" x14ac:dyDescent="0.2">
      <c r="AG111" s="27">
        <v>107</v>
      </c>
      <c r="AH111" s="27">
        <v>9</v>
      </c>
      <c r="AI111" s="27">
        <v>5</v>
      </c>
      <c r="AJ111" s="27">
        <f t="shared" si="20"/>
        <v>36</v>
      </c>
      <c r="AK111" s="27">
        <f t="shared" si="21"/>
        <v>64</v>
      </c>
      <c r="AL111" s="27">
        <f t="shared" si="22"/>
        <v>396</v>
      </c>
      <c r="AO111" s="19">
        <v>107</v>
      </c>
      <c r="AP111" s="27">
        <v>10</v>
      </c>
      <c r="AQ111" s="19">
        <v>1</v>
      </c>
      <c r="AR111" s="16">
        <f t="shared" si="23"/>
        <v>880</v>
      </c>
      <c r="AS111" s="16">
        <f t="shared" si="24"/>
        <v>2700</v>
      </c>
      <c r="AT111" s="16">
        <f t="shared" si="25"/>
        <v>36960</v>
      </c>
      <c r="AW111" s="19">
        <v>107</v>
      </c>
      <c r="AX111" s="27">
        <v>10</v>
      </c>
      <c r="AY111" s="19">
        <v>2</v>
      </c>
      <c r="AZ111" s="16">
        <f t="shared" si="26"/>
        <v>1760</v>
      </c>
      <c r="BA111" s="16">
        <f t="shared" si="27"/>
        <v>5400</v>
      </c>
      <c r="BB111" s="16">
        <f t="shared" si="28"/>
        <v>55440</v>
      </c>
    </row>
    <row r="112" spans="33:54" ht="16.5" x14ac:dyDescent="0.2">
      <c r="AG112" s="27">
        <v>108</v>
      </c>
      <c r="AH112" s="27">
        <v>9</v>
      </c>
      <c r="AI112" s="27">
        <v>6</v>
      </c>
      <c r="AJ112" s="27">
        <f t="shared" si="20"/>
        <v>36</v>
      </c>
      <c r="AK112" s="27">
        <f t="shared" si="21"/>
        <v>64</v>
      </c>
      <c r="AL112" s="27">
        <f t="shared" si="22"/>
        <v>403</v>
      </c>
      <c r="AO112" s="19">
        <v>108</v>
      </c>
      <c r="AP112" s="27">
        <v>10</v>
      </c>
      <c r="AQ112" s="19">
        <v>2</v>
      </c>
      <c r="AR112" s="16">
        <f t="shared" si="23"/>
        <v>880</v>
      </c>
      <c r="AS112" s="16">
        <f t="shared" si="24"/>
        <v>2700</v>
      </c>
      <c r="AT112" s="16">
        <f t="shared" si="25"/>
        <v>36960</v>
      </c>
      <c r="AW112" s="19">
        <v>108</v>
      </c>
      <c r="AX112" s="27">
        <v>10</v>
      </c>
      <c r="AY112" s="19">
        <v>3</v>
      </c>
      <c r="AZ112" s="16">
        <f t="shared" si="26"/>
        <v>1760</v>
      </c>
      <c r="BA112" s="16">
        <f t="shared" si="27"/>
        <v>5400</v>
      </c>
      <c r="BB112" s="16">
        <f t="shared" si="28"/>
        <v>55440</v>
      </c>
    </row>
    <row r="113" spans="33:54" ht="16.5" x14ac:dyDescent="0.2">
      <c r="AG113" s="27">
        <v>109</v>
      </c>
      <c r="AH113" s="27">
        <v>9</v>
      </c>
      <c r="AI113" s="27">
        <v>7</v>
      </c>
      <c r="AJ113" s="27">
        <f t="shared" si="20"/>
        <v>36</v>
      </c>
      <c r="AK113" s="27">
        <f t="shared" si="21"/>
        <v>65</v>
      </c>
      <c r="AL113" s="27">
        <f t="shared" si="22"/>
        <v>410</v>
      </c>
      <c r="AO113" s="19">
        <v>109</v>
      </c>
      <c r="AP113" s="27">
        <v>10</v>
      </c>
      <c r="AQ113" s="19">
        <v>3</v>
      </c>
      <c r="AR113" s="16">
        <f t="shared" si="23"/>
        <v>880</v>
      </c>
      <c r="AS113" s="16">
        <f t="shared" si="24"/>
        <v>2700</v>
      </c>
      <c r="AT113" s="16">
        <f t="shared" si="25"/>
        <v>36960</v>
      </c>
      <c r="AW113" s="19">
        <v>109</v>
      </c>
      <c r="AX113" s="27">
        <v>10</v>
      </c>
      <c r="AY113" s="19">
        <v>4</v>
      </c>
      <c r="AZ113" s="16">
        <f t="shared" si="26"/>
        <v>1760</v>
      </c>
      <c r="BA113" s="16">
        <f t="shared" si="27"/>
        <v>5400</v>
      </c>
      <c r="BB113" s="16">
        <f t="shared" si="28"/>
        <v>55440</v>
      </c>
    </row>
    <row r="114" spans="33:54" ht="16.5" x14ac:dyDescent="0.2">
      <c r="AG114" s="27">
        <v>110</v>
      </c>
      <c r="AH114" s="27">
        <v>9</v>
      </c>
      <c r="AI114" s="27">
        <v>8</v>
      </c>
      <c r="AJ114" s="27">
        <f t="shared" si="20"/>
        <v>36</v>
      </c>
      <c r="AK114" s="27">
        <f t="shared" si="21"/>
        <v>66</v>
      </c>
      <c r="AL114" s="27">
        <f t="shared" si="22"/>
        <v>417</v>
      </c>
      <c r="AO114" s="19">
        <v>110</v>
      </c>
      <c r="AP114" s="27">
        <v>10</v>
      </c>
      <c r="AQ114" s="19">
        <v>4</v>
      </c>
      <c r="AR114" s="16">
        <f t="shared" si="23"/>
        <v>880</v>
      </c>
      <c r="AS114" s="16">
        <f t="shared" si="24"/>
        <v>2700</v>
      </c>
      <c r="AT114" s="16">
        <f t="shared" si="25"/>
        <v>36960</v>
      </c>
      <c r="AW114" s="19">
        <v>110</v>
      </c>
      <c r="AX114" s="27">
        <v>10</v>
      </c>
      <c r="AY114" s="19">
        <v>5</v>
      </c>
      <c r="AZ114" s="16">
        <f t="shared" si="26"/>
        <v>1760</v>
      </c>
      <c r="BA114" s="16">
        <f t="shared" si="27"/>
        <v>5400</v>
      </c>
      <c r="BB114" s="16">
        <f t="shared" si="28"/>
        <v>55440</v>
      </c>
    </row>
    <row r="115" spans="33:54" ht="16.5" x14ac:dyDescent="0.2">
      <c r="AG115" s="27">
        <v>111</v>
      </c>
      <c r="AH115" s="27">
        <v>9</v>
      </c>
      <c r="AI115" s="27">
        <v>9</v>
      </c>
      <c r="AJ115" s="27">
        <f t="shared" si="20"/>
        <v>36</v>
      </c>
      <c r="AK115" s="27">
        <f t="shared" si="21"/>
        <v>67</v>
      </c>
      <c r="AL115" s="27">
        <f t="shared" si="22"/>
        <v>424</v>
      </c>
      <c r="AO115" s="19">
        <v>111</v>
      </c>
      <c r="AP115" s="27">
        <v>10</v>
      </c>
      <c r="AQ115" s="19">
        <v>5</v>
      </c>
      <c r="AR115" s="16">
        <f t="shared" si="23"/>
        <v>880</v>
      </c>
      <c r="AS115" s="16">
        <f t="shared" si="24"/>
        <v>2700</v>
      </c>
      <c r="AT115" s="16">
        <f t="shared" si="25"/>
        <v>36960</v>
      </c>
      <c r="AW115" s="19">
        <v>111</v>
      </c>
      <c r="AX115" s="27">
        <v>10</v>
      </c>
      <c r="AY115" s="19">
        <v>6</v>
      </c>
      <c r="AZ115" s="16">
        <f t="shared" si="26"/>
        <v>1760</v>
      </c>
      <c r="BA115" s="16">
        <f t="shared" si="27"/>
        <v>5400</v>
      </c>
      <c r="BB115" s="16">
        <f t="shared" si="28"/>
        <v>55440</v>
      </c>
    </row>
    <row r="116" spans="33:54" ht="16.5" x14ac:dyDescent="0.2">
      <c r="AG116" s="27">
        <v>112</v>
      </c>
      <c r="AH116" s="27">
        <v>9</v>
      </c>
      <c r="AI116" s="27">
        <v>10</v>
      </c>
      <c r="AJ116" s="27">
        <f t="shared" si="20"/>
        <v>36</v>
      </c>
      <c r="AK116" s="27">
        <f t="shared" si="21"/>
        <v>68</v>
      </c>
      <c r="AL116" s="27">
        <f t="shared" si="22"/>
        <v>432</v>
      </c>
      <c r="AO116" s="19">
        <v>112</v>
      </c>
      <c r="AP116" s="27">
        <v>10</v>
      </c>
      <c r="AQ116" s="19">
        <v>6</v>
      </c>
      <c r="AR116" s="16">
        <f t="shared" si="23"/>
        <v>880</v>
      </c>
      <c r="AS116" s="16">
        <f t="shared" si="24"/>
        <v>2700</v>
      </c>
      <c r="AT116" s="16">
        <f t="shared" si="25"/>
        <v>36960</v>
      </c>
      <c r="AW116" s="19">
        <v>112</v>
      </c>
      <c r="AX116" s="27">
        <v>10</v>
      </c>
      <c r="AY116" s="19">
        <v>7</v>
      </c>
      <c r="AZ116" s="16">
        <f t="shared" si="26"/>
        <v>1760</v>
      </c>
      <c r="BA116" s="16">
        <f t="shared" si="27"/>
        <v>5400</v>
      </c>
      <c r="BB116" s="16">
        <f t="shared" si="28"/>
        <v>55440</v>
      </c>
    </row>
    <row r="117" spans="33:54" ht="16.5" x14ac:dyDescent="0.2">
      <c r="AG117" s="27">
        <v>113</v>
      </c>
      <c r="AH117" s="27">
        <v>9</v>
      </c>
      <c r="AI117" s="27">
        <v>11</v>
      </c>
      <c r="AJ117" s="27">
        <f t="shared" si="20"/>
        <v>36</v>
      </c>
      <c r="AK117" s="27">
        <f t="shared" si="21"/>
        <v>68</v>
      </c>
      <c r="AL117" s="27">
        <f t="shared" si="22"/>
        <v>439</v>
      </c>
      <c r="AO117" s="19">
        <v>113</v>
      </c>
      <c r="AP117" s="27">
        <v>10</v>
      </c>
      <c r="AQ117" s="19">
        <v>7</v>
      </c>
      <c r="AR117" s="16">
        <f t="shared" si="23"/>
        <v>880</v>
      </c>
      <c r="AS117" s="16">
        <f t="shared" si="24"/>
        <v>2700</v>
      </c>
      <c r="AT117" s="16">
        <f t="shared" si="25"/>
        <v>36960</v>
      </c>
      <c r="AW117" s="19">
        <v>113</v>
      </c>
      <c r="AX117" s="27">
        <v>10</v>
      </c>
      <c r="AY117" s="19">
        <v>8</v>
      </c>
      <c r="AZ117" s="16">
        <f t="shared" si="26"/>
        <v>1760</v>
      </c>
      <c r="BA117" s="16">
        <f t="shared" si="27"/>
        <v>5400</v>
      </c>
      <c r="BB117" s="16">
        <f t="shared" si="28"/>
        <v>55440</v>
      </c>
    </row>
    <row r="118" spans="33:54" ht="16.5" x14ac:dyDescent="0.2">
      <c r="AG118" s="27">
        <v>114</v>
      </c>
      <c r="AH118" s="27">
        <v>9</v>
      </c>
      <c r="AI118" s="27">
        <v>12</v>
      </c>
      <c r="AJ118" s="27">
        <f t="shared" si="20"/>
        <v>36</v>
      </c>
      <c r="AK118" s="27">
        <f t="shared" si="21"/>
        <v>69</v>
      </c>
      <c r="AL118" s="27">
        <f t="shared" si="22"/>
        <v>446</v>
      </c>
      <c r="AO118" s="19">
        <v>114</v>
      </c>
      <c r="AP118" s="27">
        <v>10</v>
      </c>
      <c r="AQ118" s="19">
        <v>8</v>
      </c>
      <c r="AR118" s="16">
        <f t="shared" si="23"/>
        <v>880</v>
      </c>
      <c r="AS118" s="16">
        <f t="shared" si="24"/>
        <v>2700</v>
      </c>
      <c r="AT118" s="16">
        <f t="shared" si="25"/>
        <v>36960</v>
      </c>
      <c r="AW118" s="19">
        <v>114</v>
      </c>
      <c r="AX118" s="27">
        <v>10</v>
      </c>
      <c r="AY118" s="19">
        <v>9</v>
      </c>
      <c r="AZ118" s="16">
        <f t="shared" si="26"/>
        <v>1760</v>
      </c>
      <c r="BA118" s="16">
        <f t="shared" si="27"/>
        <v>5400</v>
      </c>
      <c r="BB118" s="16">
        <f t="shared" si="28"/>
        <v>55440</v>
      </c>
    </row>
    <row r="119" spans="33:54" ht="16.5" x14ac:dyDescent="0.2">
      <c r="AG119" s="27">
        <v>115</v>
      </c>
      <c r="AH119" s="27">
        <v>9</v>
      </c>
      <c r="AI119" s="27">
        <v>13</v>
      </c>
      <c r="AJ119" s="27">
        <f t="shared" si="20"/>
        <v>36</v>
      </c>
      <c r="AK119" s="27">
        <f t="shared" si="21"/>
        <v>70</v>
      </c>
      <c r="AL119" s="27">
        <f t="shared" si="22"/>
        <v>453</v>
      </c>
      <c r="AO119" s="19">
        <v>115</v>
      </c>
      <c r="AP119" s="27">
        <v>10</v>
      </c>
      <c r="AQ119" s="19">
        <v>9</v>
      </c>
      <c r="AR119" s="16">
        <f t="shared" si="23"/>
        <v>880</v>
      </c>
      <c r="AS119" s="16">
        <f t="shared" si="24"/>
        <v>2700</v>
      </c>
      <c r="AT119" s="16">
        <f t="shared" si="25"/>
        <v>36960</v>
      </c>
      <c r="AW119" s="19">
        <v>115</v>
      </c>
      <c r="AX119" s="27">
        <v>10</v>
      </c>
      <c r="AY119" s="19">
        <v>10</v>
      </c>
      <c r="AZ119" s="16">
        <f t="shared" si="26"/>
        <v>1760</v>
      </c>
      <c r="BA119" s="16">
        <f t="shared" si="27"/>
        <v>5400</v>
      </c>
      <c r="BB119" s="16">
        <f t="shared" si="28"/>
        <v>55440</v>
      </c>
    </row>
    <row r="120" spans="33:54" ht="16.5" x14ac:dyDescent="0.2">
      <c r="AG120" s="27">
        <v>116</v>
      </c>
      <c r="AH120" s="27">
        <v>9</v>
      </c>
      <c r="AI120" s="27">
        <v>14</v>
      </c>
      <c r="AJ120" s="27">
        <f t="shared" si="20"/>
        <v>36</v>
      </c>
      <c r="AK120" s="27">
        <f t="shared" si="21"/>
        <v>71</v>
      </c>
      <c r="AL120" s="27">
        <f t="shared" si="22"/>
        <v>460</v>
      </c>
      <c r="AO120" s="19">
        <v>116</v>
      </c>
      <c r="AP120" s="27">
        <v>10</v>
      </c>
      <c r="AQ120" s="19">
        <v>10</v>
      </c>
      <c r="AR120" s="16">
        <f t="shared" si="23"/>
        <v>880</v>
      </c>
      <c r="AS120" s="16">
        <f t="shared" si="24"/>
        <v>2700</v>
      </c>
      <c r="AT120" s="16">
        <f t="shared" si="25"/>
        <v>36960</v>
      </c>
      <c r="AW120" s="19">
        <v>116</v>
      </c>
      <c r="AX120" s="27">
        <v>10</v>
      </c>
      <c r="AY120" s="19">
        <v>11</v>
      </c>
      <c r="AZ120" s="16">
        <f t="shared" si="26"/>
        <v>1760</v>
      </c>
      <c r="BA120" s="16">
        <f t="shared" si="27"/>
        <v>5400</v>
      </c>
      <c r="BB120" s="16">
        <f t="shared" si="28"/>
        <v>55440</v>
      </c>
    </row>
    <row r="121" spans="33:54" ht="16.5" x14ac:dyDescent="0.2">
      <c r="AG121" s="27">
        <v>117</v>
      </c>
      <c r="AH121" s="27">
        <v>9</v>
      </c>
      <c r="AI121" s="27">
        <v>15</v>
      </c>
      <c r="AJ121" s="27">
        <f t="shared" si="20"/>
        <v>36</v>
      </c>
      <c r="AK121" s="27">
        <f t="shared" si="21"/>
        <v>72</v>
      </c>
      <c r="AL121" s="27">
        <f t="shared" si="22"/>
        <v>468</v>
      </c>
      <c r="AO121" s="19">
        <v>117</v>
      </c>
      <c r="AP121" s="27">
        <v>10</v>
      </c>
      <c r="AQ121" s="19">
        <v>11</v>
      </c>
      <c r="AR121" s="16">
        <f t="shared" si="23"/>
        <v>880</v>
      </c>
      <c r="AS121" s="16">
        <f t="shared" si="24"/>
        <v>2700</v>
      </c>
      <c r="AT121" s="16">
        <f t="shared" si="25"/>
        <v>36960</v>
      </c>
      <c r="AW121" s="19">
        <v>117</v>
      </c>
      <c r="AX121" s="27">
        <v>10</v>
      </c>
      <c r="AY121" s="19">
        <v>12</v>
      </c>
      <c r="AZ121" s="16">
        <f t="shared" si="26"/>
        <v>1760</v>
      </c>
      <c r="BA121" s="16">
        <f t="shared" si="27"/>
        <v>5400</v>
      </c>
      <c r="BB121" s="16">
        <f t="shared" si="28"/>
        <v>55440</v>
      </c>
    </row>
    <row r="122" spans="33:54" ht="16.5" x14ac:dyDescent="0.2">
      <c r="AG122" s="27">
        <v>118</v>
      </c>
      <c r="AH122" s="27">
        <v>10</v>
      </c>
      <c r="AI122" s="27">
        <v>1</v>
      </c>
      <c r="AJ122" s="27">
        <f t="shared" si="20"/>
        <v>44</v>
      </c>
      <c r="AK122" s="27">
        <f t="shared" si="21"/>
        <v>73</v>
      </c>
      <c r="AL122" s="27">
        <f t="shared" si="22"/>
        <v>477</v>
      </c>
      <c r="AO122" s="19">
        <v>118</v>
      </c>
      <c r="AP122" s="27">
        <v>10</v>
      </c>
      <c r="AQ122" s="19">
        <v>12</v>
      </c>
      <c r="AR122" s="16">
        <f t="shared" si="23"/>
        <v>880</v>
      </c>
      <c r="AS122" s="16">
        <f t="shared" si="24"/>
        <v>2700</v>
      </c>
      <c r="AT122" s="16">
        <f t="shared" si="25"/>
        <v>36960</v>
      </c>
      <c r="AW122" s="19">
        <v>118</v>
      </c>
      <c r="AX122" s="27">
        <v>10</v>
      </c>
      <c r="AY122" s="19">
        <v>13</v>
      </c>
      <c r="AZ122" s="16">
        <f t="shared" si="26"/>
        <v>1760</v>
      </c>
      <c r="BA122" s="16">
        <f t="shared" si="27"/>
        <v>5400</v>
      </c>
      <c r="BB122" s="16">
        <f t="shared" si="28"/>
        <v>55440</v>
      </c>
    </row>
    <row r="123" spans="33:54" ht="16.5" x14ac:dyDescent="0.2">
      <c r="AG123" s="27">
        <v>119</v>
      </c>
      <c r="AH123" s="27">
        <v>10</v>
      </c>
      <c r="AI123" s="27">
        <v>2</v>
      </c>
      <c r="AJ123" s="27">
        <f t="shared" si="20"/>
        <v>44</v>
      </c>
      <c r="AK123" s="27">
        <f t="shared" si="21"/>
        <v>74</v>
      </c>
      <c r="AL123" s="27">
        <f t="shared" si="22"/>
        <v>487</v>
      </c>
      <c r="AO123" s="19">
        <v>119</v>
      </c>
      <c r="AP123" s="27">
        <v>10</v>
      </c>
      <c r="AQ123" s="19">
        <v>13</v>
      </c>
      <c r="AR123" s="16">
        <f t="shared" si="23"/>
        <v>880</v>
      </c>
      <c r="AS123" s="16">
        <f t="shared" si="24"/>
        <v>2700</v>
      </c>
      <c r="AT123" s="16">
        <f t="shared" si="25"/>
        <v>36960</v>
      </c>
      <c r="AW123" s="19">
        <v>119</v>
      </c>
      <c r="AX123" s="27">
        <v>10</v>
      </c>
      <c r="AY123" s="19">
        <v>14</v>
      </c>
      <c r="AZ123" s="16">
        <f t="shared" si="26"/>
        <v>1760</v>
      </c>
      <c r="BA123" s="16">
        <f t="shared" si="27"/>
        <v>5400</v>
      </c>
      <c r="BB123" s="16">
        <f t="shared" si="28"/>
        <v>55440</v>
      </c>
    </row>
    <row r="124" spans="33:54" ht="16.5" x14ac:dyDescent="0.2">
      <c r="AG124" s="27">
        <v>120</v>
      </c>
      <c r="AH124" s="27">
        <v>10</v>
      </c>
      <c r="AI124" s="27">
        <v>3</v>
      </c>
      <c r="AJ124" s="27">
        <f t="shared" si="20"/>
        <v>44</v>
      </c>
      <c r="AK124" s="27">
        <f t="shared" si="21"/>
        <v>75</v>
      </c>
      <c r="AL124" s="27">
        <f t="shared" si="22"/>
        <v>497</v>
      </c>
      <c r="AO124" s="19">
        <v>120</v>
      </c>
      <c r="AP124" s="27">
        <v>10</v>
      </c>
      <c r="AQ124" s="19">
        <v>14</v>
      </c>
      <c r="AR124" s="16">
        <f t="shared" si="23"/>
        <v>880</v>
      </c>
      <c r="AS124" s="16">
        <f t="shared" si="24"/>
        <v>2700</v>
      </c>
      <c r="AT124" s="16">
        <f t="shared" si="25"/>
        <v>36960</v>
      </c>
      <c r="AW124" s="19">
        <v>120</v>
      </c>
      <c r="AX124" s="27">
        <v>10</v>
      </c>
      <c r="AY124" s="19">
        <v>15</v>
      </c>
      <c r="AZ124" s="16">
        <f t="shared" si="26"/>
        <v>1760</v>
      </c>
      <c r="BA124" s="16">
        <f t="shared" si="27"/>
        <v>5400</v>
      </c>
      <c r="BB124" s="16">
        <f t="shared" si="28"/>
        <v>55440</v>
      </c>
    </row>
    <row r="125" spans="33:54" ht="16.5" x14ac:dyDescent="0.2">
      <c r="AG125" s="27">
        <v>121</v>
      </c>
      <c r="AH125" s="27">
        <v>10</v>
      </c>
      <c r="AI125" s="27">
        <v>4</v>
      </c>
      <c r="AJ125" s="27">
        <f t="shared" si="20"/>
        <v>44</v>
      </c>
      <c r="AK125" s="27">
        <f t="shared" si="21"/>
        <v>76</v>
      </c>
      <c r="AL125" s="27">
        <f t="shared" si="22"/>
        <v>507</v>
      </c>
      <c r="AO125" s="19">
        <v>121</v>
      </c>
      <c r="AP125" s="27">
        <v>10</v>
      </c>
      <c r="AQ125" s="19">
        <v>15</v>
      </c>
      <c r="AR125" s="16">
        <f t="shared" si="23"/>
        <v>880</v>
      </c>
      <c r="AS125" s="16">
        <f t="shared" si="24"/>
        <v>2700</v>
      </c>
      <c r="AT125" s="16">
        <f t="shared" si="25"/>
        <v>36960</v>
      </c>
      <c r="AW125" s="19">
        <v>121</v>
      </c>
      <c r="AX125" s="27">
        <v>11</v>
      </c>
      <c r="AY125" s="19">
        <v>1</v>
      </c>
      <c r="AZ125" s="16">
        <f t="shared" si="26"/>
        <v>2120</v>
      </c>
      <c r="BA125" s="16">
        <f t="shared" si="27"/>
        <v>6600</v>
      </c>
      <c r="BB125" s="16">
        <f t="shared" si="28"/>
        <v>71550</v>
      </c>
    </row>
    <row r="126" spans="33:54" ht="16.5" x14ac:dyDescent="0.2">
      <c r="AG126" s="27">
        <v>122</v>
      </c>
      <c r="AH126" s="27">
        <v>10</v>
      </c>
      <c r="AI126" s="27">
        <v>5</v>
      </c>
      <c r="AJ126" s="27">
        <f t="shared" si="20"/>
        <v>44</v>
      </c>
      <c r="AK126" s="27">
        <f t="shared" si="21"/>
        <v>78</v>
      </c>
      <c r="AL126" s="27">
        <f t="shared" si="22"/>
        <v>517</v>
      </c>
      <c r="AO126" s="19">
        <v>122</v>
      </c>
      <c r="AP126" s="27">
        <v>11</v>
      </c>
      <c r="AQ126" s="19">
        <v>1</v>
      </c>
      <c r="AR126" s="16">
        <f t="shared" si="23"/>
        <v>1060</v>
      </c>
      <c r="AS126" s="16">
        <f t="shared" si="24"/>
        <v>3300</v>
      </c>
      <c r="AT126" s="16">
        <f t="shared" si="25"/>
        <v>47700</v>
      </c>
      <c r="AW126" s="19">
        <v>122</v>
      </c>
      <c r="AX126" s="27">
        <v>11</v>
      </c>
      <c r="AY126" s="19">
        <v>2</v>
      </c>
      <c r="AZ126" s="16">
        <f t="shared" si="26"/>
        <v>2120</v>
      </c>
      <c r="BA126" s="16">
        <f t="shared" si="27"/>
        <v>6600</v>
      </c>
      <c r="BB126" s="16">
        <f t="shared" si="28"/>
        <v>71550</v>
      </c>
    </row>
    <row r="127" spans="33:54" ht="16.5" x14ac:dyDescent="0.2">
      <c r="AG127" s="27">
        <v>123</v>
      </c>
      <c r="AH127" s="27">
        <v>10</v>
      </c>
      <c r="AI127" s="27">
        <v>6</v>
      </c>
      <c r="AJ127" s="27">
        <f t="shared" si="20"/>
        <v>44</v>
      </c>
      <c r="AK127" s="27">
        <f t="shared" si="21"/>
        <v>79</v>
      </c>
      <c r="AL127" s="27">
        <f t="shared" si="22"/>
        <v>527</v>
      </c>
      <c r="AO127" s="19">
        <v>123</v>
      </c>
      <c r="AP127" s="27">
        <v>11</v>
      </c>
      <c r="AQ127" s="19">
        <v>2</v>
      </c>
      <c r="AR127" s="16">
        <f t="shared" si="23"/>
        <v>1060</v>
      </c>
      <c r="AS127" s="16">
        <f t="shared" si="24"/>
        <v>3300</v>
      </c>
      <c r="AT127" s="16">
        <f t="shared" si="25"/>
        <v>47700</v>
      </c>
      <c r="AW127" s="19">
        <v>123</v>
      </c>
      <c r="AX127" s="27">
        <v>11</v>
      </c>
      <c r="AY127" s="19">
        <v>3</v>
      </c>
      <c r="AZ127" s="16">
        <f t="shared" si="26"/>
        <v>2120</v>
      </c>
      <c r="BA127" s="16">
        <f t="shared" si="27"/>
        <v>6600</v>
      </c>
      <c r="BB127" s="16">
        <f t="shared" si="28"/>
        <v>71550</v>
      </c>
    </row>
    <row r="128" spans="33:54" ht="16.5" x14ac:dyDescent="0.2">
      <c r="AG128" s="27">
        <v>124</v>
      </c>
      <c r="AH128" s="27">
        <v>10</v>
      </c>
      <c r="AI128" s="27">
        <v>7</v>
      </c>
      <c r="AJ128" s="27">
        <f t="shared" si="20"/>
        <v>44</v>
      </c>
      <c r="AK128" s="27">
        <f t="shared" si="21"/>
        <v>80</v>
      </c>
      <c r="AL128" s="27">
        <f t="shared" si="22"/>
        <v>537</v>
      </c>
      <c r="AO128" s="19">
        <v>124</v>
      </c>
      <c r="AP128" s="27">
        <v>11</v>
      </c>
      <c r="AQ128" s="19">
        <v>3</v>
      </c>
      <c r="AR128" s="16">
        <f t="shared" si="23"/>
        <v>1060</v>
      </c>
      <c r="AS128" s="16">
        <f t="shared" si="24"/>
        <v>3300</v>
      </c>
      <c r="AT128" s="16">
        <f t="shared" si="25"/>
        <v>47700</v>
      </c>
      <c r="AW128" s="19">
        <v>124</v>
      </c>
      <c r="AX128" s="27">
        <v>11</v>
      </c>
      <c r="AY128" s="19">
        <v>4</v>
      </c>
      <c r="AZ128" s="16">
        <f t="shared" si="26"/>
        <v>2120</v>
      </c>
      <c r="BA128" s="16">
        <f t="shared" si="27"/>
        <v>6600</v>
      </c>
      <c r="BB128" s="16">
        <f t="shared" si="28"/>
        <v>71550</v>
      </c>
    </row>
    <row r="129" spans="33:54" ht="16.5" x14ac:dyDescent="0.2">
      <c r="AG129" s="27">
        <v>125</v>
      </c>
      <c r="AH129" s="27">
        <v>10</v>
      </c>
      <c r="AI129" s="27">
        <v>8</v>
      </c>
      <c r="AJ129" s="27">
        <f t="shared" si="20"/>
        <v>44</v>
      </c>
      <c r="AK129" s="27">
        <f t="shared" si="21"/>
        <v>81</v>
      </c>
      <c r="AL129" s="27">
        <f t="shared" si="22"/>
        <v>546</v>
      </c>
      <c r="AO129" s="19">
        <v>125</v>
      </c>
      <c r="AP129" s="27">
        <v>11</v>
      </c>
      <c r="AQ129" s="19">
        <v>4</v>
      </c>
      <c r="AR129" s="16">
        <f t="shared" si="23"/>
        <v>1060</v>
      </c>
      <c r="AS129" s="16">
        <f t="shared" si="24"/>
        <v>3300</v>
      </c>
      <c r="AT129" s="16">
        <f t="shared" si="25"/>
        <v>47700</v>
      </c>
      <c r="AW129" s="19">
        <v>125</v>
      </c>
      <c r="AX129" s="27">
        <v>11</v>
      </c>
      <c r="AY129" s="19">
        <v>5</v>
      </c>
      <c r="AZ129" s="16">
        <f t="shared" si="26"/>
        <v>2120</v>
      </c>
      <c r="BA129" s="16">
        <f t="shared" si="27"/>
        <v>6600</v>
      </c>
      <c r="BB129" s="16">
        <f t="shared" si="28"/>
        <v>71550</v>
      </c>
    </row>
    <row r="130" spans="33:54" ht="16.5" x14ac:dyDescent="0.2">
      <c r="AG130" s="27">
        <v>126</v>
      </c>
      <c r="AH130" s="27">
        <v>10</v>
      </c>
      <c r="AI130" s="27">
        <v>9</v>
      </c>
      <c r="AJ130" s="27">
        <f t="shared" si="20"/>
        <v>44</v>
      </c>
      <c r="AK130" s="27">
        <f t="shared" si="21"/>
        <v>82</v>
      </c>
      <c r="AL130" s="27">
        <f t="shared" si="22"/>
        <v>556</v>
      </c>
      <c r="AO130" s="19">
        <v>126</v>
      </c>
      <c r="AP130" s="27">
        <v>11</v>
      </c>
      <c r="AQ130" s="19">
        <v>5</v>
      </c>
      <c r="AR130" s="16">
        <f t="shared" si="23"/>
        <v>1060</v>
      </c>
      <c r="AS130" s="16">
        <f t="shared" si="24"/>
        <v>3300</v>
      </c>
      <c r="AT130" s="16">
        <f t="shared" si="25"/>
        <v>47700</v>
      </c>
      <c r="AW130" s="19">
        <v>126</v>
      </c>
      <c r="AX130" s="27">
        <v>11</v>
      </c>
      <c r="AY130" s="19">
        <v>6</v>
      </c>
      <c r="AZ130" s="16">
        <f t="shared" si="26"/>
        <v>2120</v>
      </c>
      <c r="BA130" s="16">
        <f t="shared" si="27"/>
        <v>6600</v>
      </c>
      <c r="BB130" s="16">
        <f t="shared" si="28"/>
        <v>71550</v>
      </c>
    </row>
    <row r="131" spans="33:54" ht="16.5" x14ac:dyDescent="0.2">
      <c r="AG131" s="27">
        <v>127</v>
      </c>
      <c r="AH131" s="27">
        <v>10</v>
      </c>
      <c r="AI131" s="27">
        <v>10</v>
      </c>
      <c r="AJ131" s="27">
        <f t="shared" si="20"/>
        <v>44</v>
      </c>
      <c r="AK131" s="27">
        <f t="shared" si="21"/>
        <v>84</v>
      </c>
      <c r="AL131" s="27">
        <f t="shared" si="22"/>
        <v>566</v>
      </c>
      <c r="AO131" s="19">
        <v>127</v>
      </c>
      <c r="AP131" s="27">
        <v>11</v>
      </c>
      <c r="AQ131" s="19">
        <v>6</v>
      </c>
      <c r="AR131" s="16">
        <f t="shared" si="23"/>
        <v>1060</v>
      </c>
      <c r="AS131" s="16">
        <f t="shared" si="24"/>
        <v>3300</v>
      </c>
      <c r="AT131" s="16">
        <f t="shared" si="25"/>
        <v>47700</v>
      </c>
      <c r="AW131" s="19">
        <v>127</v>
      </c>
      <c r="AX131" s="27">
        <v>11</v>
      </c>
      <c r="AY131" s="19">
        <v>7</v>
      </c>
      <c r="AZ131" s="16">
        <f t="shared" si="26"/>
        <v>2120</v>
      </c>
      <c r="BA131" s="16">
        <f t="shared" si="27"/>
        <v>6600</v>
      </c>
      <c r="BB131" s="16">
        <f t="shared" si="28"/>
        <v>71550</v>
      </c>
    </row>
    <row r="132" spans="33:54" ht="16.5" x14ac:dyDescent="0.2">
      <c r="AG132" s="27">
        <v>128</v>
      </c>
      <c r="AH132" s="27">
        <v>10</v>
      </c>
      <c r="AI132" s="27">
        <v>11</v>
      </c>
      <c r="AJ132" s="27">
        <f t="shared" si="20"/>
        <v>44</v>
      </c>
      <c r="AK132" s="27">
        <f t="shared" si="21"/>
        <v>85</v>
      </c>
      <c r="AL132" s="27">
        <f t="shared" si="22"/>
        <v>576</v>
      </c>
      <c r="AO132" s="19">
        <v>128</v>
      </c>
      <c r="AP132" s="27">
        <v>11</v>
      </c>
      <c r="AQ132" s="19">
        <v>7</v>
      </c>
      <c r="AR132" s="16">
        <f t="shared" si="23"/>
        <v>1060</v>
      </c>
      <c r="AS132" s="16">
        <f t="shared" si="24"/>
        <v>3300</v>
      </c>
      <c r="AT132" s="16">
        <f t="shared" si="25"/>
        <v>47700</v>
      </c>
      <c r="AW132" s="19">
        <v>128</v>
      </c>
      <c r="AX132" s="27">
        <v>11</v>
      </c>
      <c r="AY132" s="19">
        <v>8</v>
      </c>
      <c r="AZ132" s="16">
        <f t="shared" si="26"/>
        <v>2120</v>
      </c>
      <c r="BA132" s="16">
        <f t="shared" si="27"/>
        <v>6600</v>
      </c>
      <c r="BB132" s="16">
        <f t="shared" si="28"/>
        <v>71550</v>
      </c>
    </row>
    <row r="133" spans="33:54" ht="16.5" x14ac:dyDescent="0.2">
      <c r="AG133" s="27">
        <v>129</v>
      </c>
      <c r="AH133" s="27">
        <v>10</v>
      </c>
      <c r="AI133" s="27">
        <v>12</v>
      </c>
      <c r="AJ133" s="27">
        <f t="shared" ref="AJ133:AJ196" si="29">INDEX($C$6:$C$20,AH133)</f>
        <v>44</v>
      </c>
      <c r="AK133" s="27">
        <f t="shared" si="21"/>
        <v>86</v>
      </c>
      <c r="AL133" s="27">
        <f t="shared" si="22"/>
        <v>586</v>
      </c>
      <c r="AO133" s="19">
        <v>129</v>
      </c>
      <c r="AP133" s="27">
        <v>11</v>
      </c>
      <c r="AQ133" s="19">
        <v>8</v>
      </c>
      <c r="AR133" s="16">
        <f t="shared" si="23"/>
        <v>1060</v>
      </c>
      <c r="AS133" s="16">
        <f t="shared" si="24"/>
        <v>3300</v>
      </c>
      <c r="AT133" s="16">
        <f t="shared" si="25"/>
        <v>47700</v>
      </c>
      <c r="AW133" s="19">
        <v>129</v>
      </c>
      <c r="AX133" s="27">
        <v>11</v>
      </c>
      <c r="AY133" s="19">
        <v>9</v>
      </c>
      <c r="AZ133" s="16">
        <f t="shared" si="26"/>
        <v>2120</v>
      </c>
      <c r="BA133" s="16">
        <f t="shared" si="27"/>
        <v>6600</v>
      </c>
      <c r="BB133" s="16">
        <f t="shared" si="28"/>
        <v>71550</v>
      </c>
    </row>
    <row r="134" spans="33:54" ht="16.5" x14ac:dyDescent="0.2">
      <c r="AG134" s="27">
        <v>130</v>
      </c>
      <c r="AH134" s="27">
        <v>10</v>
      </c>
      <c r="AI134" s="27">
        <v>13</v>
      </c>
      <c r="AJ134" s="27">
        <f t="shared" si="29"/>
        <v>44</v>
      </c>
      <c r="AK134" s="27">
        <f t="shared" ref="AK134:AK197" si="30">INT(INDEX($E$5:$E$20,AH134)+AI134*INDEX($F$6:$F$20,AH134))</f>
        <v>87</v>
      </c>
      <c r="AL134" s="27">
        <f t="shared" ref="AL134:AL197" si="31">INT(INDEX($H$5:$H$20,AH134)+AI134*INDEX($I$6:$I$20,AH134))</f>
        <v>596</v>
      </c>
      <c r="AO134" s="19">
        <v>130</v>
      </c>
      <c r="AP134" s="27">
        <v>11</v>
      </c>
      <c r="AQ134" s="19">
        <v>9</v>
      </c>
      <c r="AR134" s="16">
        <f t="shared" ref="AR134:AR197" si="32">INDEX($N$6:$N$20,AP134)</f>
        <v>1060</v>
      </c>
      <c r="AS134" s="16">
        <f t="shared" ref="AS134:AS197" si="33">INDEX($P$6:$P$20,AP134)</f>
        <v>3300</v>
      </c>
      <c r="AT134" s="16">
        <f t="shared" ref="AT134:AT197" si="34">INDEX($R$6:$R$20,AP134)</f>
        <v>47700</v>
      </c>
      <c r="AW134" s="19">
        <v>130</v>
      </c>
      <c r="AX134" s="27">
        <v>11</v>
      </c>
      <c r="AY134" s="19">
        <v>10</v>
      </c>
      <c r="AZ134" s="16">
        <f t="shared" ref="AZ134:AZ197" si="35">INDEX($Y$6:$Y$20,AX134)</f>
        <v>2120</v>
      </c>
      <c r="BA134" s="16">
        <f t="shared" ref="BA134:BA197" si="36">INDEX($AA$6:$AA$20,AX134)</f>
        <v>6600</v>
      </c>
      <c r="BB134" s="16">
        <f t="shared" ref="BB134:BB197" si="37">INDEX($AC$6:$AC$20,AX134)</f>
        <v>71550</v>
      </c>
    </row>
    <row r="135" spans="33:54" ht="16.5" x14ac:dyDescent="0.2">
      <c r="AG135" s="27">
        <v>131</v>
      </c>
      <c r="AH135" s="27">
        <v>10</v>
      </c>
      <c r="AI135" s="27">
        <v>14</v>
      </c>
      <c r="AJ135" s="27">
        <f t="shared" si="29"/>
        <v>44</v>
      </c>
      <c r="AK135" s="27">
        <f t="shared" si="30"/>
        <v>88</v>
      </c>
      <c r="AL135" s="27">
        <f t="shared" si="31"/>
        <v>606</v>
      </c>
      <c r="AO135" s="19">
        <v>131</v>
      </c>
      <c r="AP135" s="27">
        <v>11</v>
      </c>
      <c r="AQ135" s="19">
        <v>10</v>
      </c>
      <c r="AR135" s="16">
        <f t="shared" si="32"/>
        <v>1060</v>
      </c>
      <c r="AS135" s="16">
        <f t="shared" si="33"/>
        <v>3300</v>
      </c>
      <c r="AT135" s="16">
        <f t="shared" si="34"/>
        <v>47700</v>
      </c>
      <c r="AW135" s="19">
        <v>131</v>
      </c>
      <c r="AX135" s="27">
        <v>11</v>
      </c>
      <c r="AY135" s="19">
        <v>11</v>
      </c>
      <c r="AZ135" s="16">
        <f t="shared" si="35"/>
        <v>2120</v>
      </c>
      <c r="BA135" s="16">
        <f t="shared" si="36"/>
        <v>6600</v>
      </c>
      <c r="BB135" s="16">
        <f t="shared" si="37"/>
        <v>71550</v>
      </c>
    </row>
    <row r="136" spans="33:54" ht="16.5" x14ac:dyDescent="0.2">
      <c r="AG136" s="27">
        <v>132</v>
      </c>
      <c r="AH136" s="27">
        <v>10</v>
      </c>
      <c r="AI136" s="27">
        <v>15</v>
      </c>
      <c r="AJ136" s="27">
        <f t="shared" si="29"/>
        <v>44</v>
      </c>
      <c r="AK136" s="27">
        <f t="shared" si="30"/>
        <v>90</v>
      </c>
      <c r="AL136" s="27">
        <f t="shared" si="31"/>
        <v>616</v>
      </c>
      <c r="AO136" s="19">
        <v>132</v>
      </c>
      <c r="AP136" s="27">
        <v>11</v>
      </c>
      <c r="AQ136" s="19">
        <v>11</v>
      </c>
      <c r="AR136" s="16">
        <f t="shared" si="32"/>
        <v>1060</v>
      </c>
      <c r="AS136" s="16">
        <f t="shared" si="33"/>
        <v>3300</v>
      </c>
      <c r="AT136" s="16">
        <f t="shared" si="34"/>
        <v>47700</v>
      </c>
      <c r="AW136" s="19">
        <v>132</v>
      </c>
      <c r="AX136" s="27">
        <v>11</v>
      </c>
      <c r="AY136" s="19">
        <v>12</v>
      </c>
      <c r="AZ136" s="16">
        <f t="shared" si="35"/>
        <v>2120</v>
      </c>
      <c r="BA136" s="16">
        <f t="shared" si="36"/>
        <v>6600</v>
      </c>
      <c r="BB136" s="16">
        <f t="shared" si="37"/>
        <v>71550</v>
      </c>
    </row>
    <row r="137" spans="33:54" ht="16.5" x14ac:dyDescent="0.2">
      <c r="AG137" s="27">
        <v>133</v>
      </c>
      <c r="AH137" s="27">
        <v>11</v>
      </c>
      <c r="AI137" s="27">
        <v>1</v>
      </c>
      <c r="AJ137" s="27">
        <f t="shared" si="29"/>
        <v>53</v>
      </c>
      <c r="AK137" s="27">
        <f t="shared" si="30"/>
        <v>91</v>
      </c>
      <c r="AL137" s="27">
        <f t="shared" si="31"/>
        <v>627</v>
      </c>
      <c r="AO137" s="19">
        <v>133</v>
      </c>
      <c r="AP137" s="27">
        <v>11</v>
      </c>
      <c r="AQ137" s="19">
        <v>12</v>
      </c>
      <c r="AR137" s="16">
        <f t="shared" si="32"/>
        <v>1060</v>
      </c>
      <c r="AS137" s="16">
        <f t="shared" si="33"/>
        <v>3300</v>
      </c>
      <c r="AT137" s="16">
        <f t="shared" si="34"/>
        <v>47700</v>
      </c>
      <c r="AW137" s="19">
        <v>133</v>
      </c>
      <c r="AX137" s="27">
        <v>11</v>
      </c>
      <c r="AY137" s="19">
        <v>13</v>
      </c>
      <c r="AZ137" s="16">
        <f t="shared" si="35"/>
        <v>2120</v>
      </c>
      <c r="BA137" s="16">
        <f t="shared" si="36"/>
        <v>6600</v>
      </c>
      <c r="BB137" s="16">
        <f t="shared" si="37"/>
        <v>71550</v>
      </c>
    </row>
    <row r="138" spans="33:54" ht="16.5" x14ac:dyDescent="0.2">
      <c r="AG138" s="27">
        <v>134</v>
      </c>
      <c r="AH138" s="27">
        <v>11</v>
      </c>
      <c r="AI138" s="27">
        <v>2</v>
      </c>
      <c r="AJ138" s="27">
        <f t="shared" si="29"/>
        <v>53</v>
      </c>
      <c r="AK138" s="27">
        <f t="shared" si="30"/>
        <v>92</v>
      </c>
      <c r="AL138" s="27">
        <f t="shared" si="31"/>
        <v>639</v>
      </c>
      <c r="AO138" s="19">
        <v>134</v>
      </c>
      <c r="AP138" s="27">
        <v>11</v>
      </c>
      <c r="AQ138" s="19">
        <v>13</v>
      </c>
      <c r="AR138" s="16">
        <f t="shared" si="32"/>
        <v>1060</v>
      </c>
      <c r="AS138" s="16">
        <f t="shared" si="33"/>
        <v>3300</v>
      </c>
      <c r="AT138" s="16">
        <f t="shared" si="34"/>
        <v>47700</v>
      </c>
      <c r="AW138" s="19">
        <v>134</v>
      </c>
      <c r="AX138" s="27">
        <v>11</v>
      </c>
      <c r="AY138" s="19">
        <v>14</v>
      </c>
      <c r="AZ138" s="16">
        <f t="shared" si="35"/>
        <v>2120</v>
      </c>
      <c r="BA138" s="16">
        <f t="shared" si="36"/>
        <v>6600</v>
      </c>
      <c r="BB138" s="16">
        <f t="shared" si="37"/>
        <v>71550</v>
      </c>
    </row>
    <row r="139" spans="33:54" ht="16.5" x14ac:dyDescent="0.2">
      <c r="AG139" s="27">
        <v>135</v>
      </c>
      <c r="AH139" s="27">
        <v>11</v>
      </c>
      <c r="AI139" s="27">
        <v>3</v>
      </c>
      <c r="AJ139" s="27">
        <f t="shared" si="29"/>
        <v>53</v>
      </c>
      <c r="AK139" s="27">
        <f t="shared" si="30"/>
        <v>94</v>
      </c>
      <c r="AL139" s="27">
        <f t="shared" si="31"/>
        <v>651</v>
      </c>
      <c r="AO139" s="19">
        <v>135</v>
      </c>
      <c r="AP139" s="27">
        <v>11</v>
      </c>
      <c r="AQ139" s="19">
        <v>14</v>
      </c>
      <c r="AR139" s="16">
        <f t="shared" si="32"/>
        <v>1060</v>
      </c>
      <c r="AS139" s="16">
        <f t="shared" si="33"/>
        <v>3300</v>
      </c>
      <c r="AT139" s="16">
        <f t="shared" si="34"/>
        <v>47700</v>
      </c>
      <c r="AW139" s="19">
        <v>135</v>
      </c>
      <c r="AX139" s="27">
        <v>11</v>
      </c>
      <c r="AY139" s="19">
        <v>15</v>
      </c>
      <c r="AZ139" s="16">
        <f t="shared" si="35"/>
        <v>2120</v>
      </c>
      <c r="BA139" s="16">
        <f t="shared" si="36"/>
        <v>6600</v>
      </c>
      <c r="BB139" s="16">
        <f t="shared" si="37"/>
        <v>71550</v>
      </c>
    </row>
    <row r="140" spans="33:54" ht="16.5" x14ac:dyDescent="0.2">
      <c r="AG140" s="27">
        <v>136</v>
      </c>
      <c r="AH140" s="27">
        <v>11</v>
      </c>
      <c r="AI140" s="27">
        <v>4</v>
      </c>
      <c r="AJ140" s="27">
        <f t="shared" si="29"/>
        <v>53</v>
      </c>
      <c r="AK140" s="27">
        <f t="shared" si="30"/>
        <v>95</v>
      </c>
      <c r="AL140" s="27">
        <f t="shared" si="31"/>
        <v>663</v>
      </c>
      <c r="AO140" s="19">
        <v>136</v>
      </c>
      <c r="AP140" s="27">
        <v>11</v>
      </c>
      <c r="AQ140" s="19">
        <v>15</v>
      </c>
      <c r="AR140" s="16">
        <f t="shared" si="32"/>
        <v>1060</v>
      </c>
      <c r="AS140" s="16">
        <f t="shared" si="33"/>
        <v>3300</v>
      </c>
      <c r="AT140" s="16">
        <f t="shared" si="34"/>
        <v>47700</v>
      </c>
      <c r="AW140" s="19">
        <v>136</v>
      </c>
      <c r="AX140" s="27">
        <v>12</v>
      </c>
      <c r="AY140" s="19">
        <v>1</v>
      </c>
      <c r="AZ140" s="16">
        <f t="shared" si="35"/>
        <v>2600</v>
      </c>
      <c r="BA140" s="16">
        <f t="shared" si="36"/>
        <v>7800</v>
      </c>
      <c r="BB140" s="16">
        <f t="shared" si="37"/>
        <v>93600</v>
      </c>
    </row>
    <row r="141" spans="33:54" ht="16.5" x14ac:dyDescent="0.2">
      <c r="AG141" s="27">
        <v>137</v>
      </c>
      <c r="AH141" s="27">
        <v>11</v>
      </c>
      <c r="AI141" s="27">
        <v>5</v>
      </c>
      <c r="AJ141" s="27">
        <f t="shared" si="29"/>
        <v>53</v>
      </c>
      <c r="AK141" s="27">
        <f t="shared" si="30"/>
        <v>96</v>
      </c>
      <c r="AL141" s="27">
        <f t="shared" si="31"/>
        <v>675</v>
      </c>
      <c r="AO141" s="19">
        <v>137</v>
      </c>
      <c r="AP141" s="27">
        <v>12</v>
      </c>
      <c r="AQ141" s="19">
        <v>1</v>
      </c>
      <c r="AR141" s="16">
        <f t="shared" si="32"/>
        <v>1300</v>
      </c>
      <c r="AS141" s="16">
        <f t="shared" si="33"/>
        <v>3900</v>
      </c>
      <c r="AT141" s="16">
        <f t="shared" si="34"/>
        <v>62400</v>
      </c>
      <c r="AW141" s="19">
        <v>137</v>
      </c>
      <c r="AX141" s="27">
        <v>12</v>
      </c>
      <c r="AY141" s="19">
        <v>2</v>
      </c>
      <c r="AZ141" s="16">
        <f t="shared" si="35"/>
        <v>2600</v>
      </c>
      <c r="BA141" s="16">
        <f t="shared" si="36"/>
        <v>7800</v>
      </c>
      <c r="BB141" s="16">
        <f t="shared" si="37"/>
        <v>93600</v>
      </c>
    </row>
    <row r="142" spans="33:54" ht="16.5" x14ac:dyDescent="0.2">
      <c r="AG142" s="27">
        <v>138</v>
      </c>
      <c r="AH142" s="27">
        <v>11</v>
      </c>
      <c r="AI142" s="27">
        <v>6</v>
      </c>
      <c r="AJ142" s="27">
        <f t="shared" si="29"/>
        <v>53</v>
      </c>
      <c r="AK142" s="27">
        <f t="shared" si="30"/>
        <v>98</v>
      </c>
      <c r="AL142" s="27">
        <f t="shared" si="31"/>
        <v>687</v>
      </c>
      <c r="AO142" s="19">
        <v>138</v>
      </c>
      <c r="AP142" s="27">
        <v>12</v>
      </c>
      <c r="AQ142" s="19">
        <v>2</v>
      </c>
      <c r="AR142" s="16">
        <f t="shared" si="32"/>
        <v>1300</v>
      </c>
      <c r="AS142" s="16">
        <f t="shared" si="33"/>
        <v>3900</v>
      </c>
      <c r="AT142" s="16">
        <f t="shared" si="34"/>
        <v>62400</v>
      </c>
      <c r="AW142" s="19">
        <v>138</v>
      </c>
      <c r="AX142" s="27">
        <v>12</v>
      </c>
      <c r="AY142" s="19">
        <v>3</v>
      </c>
      <c r="AZ142" s="16">
        <f t="shared" si="35"/>
        <v>2600</v>
      </c>
      <c r="BA142" s="16">
        <f t="shared" si="36"/>
        <v>7800</v>
      </c>
      <c r="BB142" s="16">
        <f t="shared" si="37"/>
        <v>93600</v>
      </c>
    </row>
    <row r="143" spans="33:54" ht="16.5" x14ac:dyDescent="0.2">
      <c r="AG143" s="27">
        <v>139</v>
      </c>
      <c r="AH143" s="27">
        <v>11</v>
      </c>
      <c r="AI143" s="27">
        <v>7</v>
      </c>
      <c r="AJ143" s="27">
        <f t="shared" si="29"/>
        <v>53</v>
      </c>
      <c r="AK143" s="27">
        <f t="shared" si="30"/>
        <v>99</v>
      </c>
      <c r="AL143" s="27">
        <f t="shared" si="31"/>
        <v>699</v>
      </c>
      <c r="AO143" s="19">
        <v>139</v>
      </c>
      <c r="AP143" s="27">
        <v>12</v>
      </c>
      <c r="AQ143" s="19">
        <v>3</v>
      </c>
      <c r="AR143" s="16">
        <f t="shared" si="32"/>
        <v>1300</v>
      </c>
      <c r="AS143" s="16">
        <f t="shared" si="33"/>
        <v>3900</v>
      </c>
      <c r="AT143" s="16">
        <f t="shared" si="34"/>
        <v>62400</v>
      </c>
      <c r="AW143" s="19">
        <v>139</v>
      </c>
      <c r="AX143" s="27">
        <v>12</v>
      </c>
      <c r="AY143" s="19">
        <v>4</v>
      </c>
      <c r="AZ143" s="16">
        <f t="shared" si="35"/>
        <v>2600</v>
      </c>
      <c r="BA143" s="16">
        <f t="shared" si="36"/>
        <v>7800</v>
      </c>
      <c r="BB143" s="16">
        <f t="shared" si="37"/>
        <v>93600</v>
      </c>
    </row>
    <row r="144" spans="33:54" ht="16.5" x14ac:dyDescent="0.2">
      <c r="AG144" s="27">
        <v>140</v>
      </c>
      <c r="AH144" s="27">
        <v>11</v>
      </c>
      <c r="AI144" s="27">
        <v>8</v>
      </c>
      <c r="AJ144" s="27">
        <f t="shared" si="29"/>
        <v>53</v>
      </c>
      <c r="AK144" s="27">
        <f t="shared" si="30"/>
        <v>100</v>
      </c>
      <c r="AL144" s="27">
        <f t="shared" si="31"/>
        <v>711</v>
      </c>
      <c r="AO144" s="19">
        <v>140</v>
      </c>
      <c r="AP144" s="27">
        <v>12</v>
      </c>
      <c r="AQ144" s="19">
        <v>4</v>
      </c>
      <c r="AR144" s="16">
        <f t="shared" si="32"/>
        <v>1300</v>
      </c>
      <c r="AS144" s="16">
        <f t="shared" si="33"/>
        <v>3900</v>
      </c>
      <c r="AT144" s="16">
        <f t="shared" si="34"/>
        <v>62400</v>
      </c>
      <c r="AW144" s="19">
        <v>140</v>
      </c>
      <c r="AX144" s="27">
        <v>12</v>
      </c>
      <c r="AY144" s="19">
        <v>5</v>
      </c>
      <c r="AZ144" s="16">
        <f t="shared" si="35"/>
        <v>2600</v>
      </c>
      <c r="BA144" s="16">
        <f t="shared" si="36"/>
        <v>7800</v>
      </c>
      <c r="BB144" s="16">
        <f t="shared" si="37"/>
        <v>93600</v>
      </c>
    </row>
    <row r="145" spans="33:54" ht="16.5" x14ac:dyDescent="0.2">
      <c r="AG145" s="27">
        <v>141</v>
      </c>
      <c r="AH145" s="27">
        <v>11</v>
      </c>
      <c r="AI145" s="27">
        <v>9</v>
      </c>
      <c r="AJ145" s="27">
        <f t="shared" si="29"/>
        <v>53</v>
      </c>
      <c r="AK145" s="27">
        <f t="shared" si="30"/>
        <v>102</v>
      </c>
      <c r="AL145" s="27">
        <f t="shared" si="31"/>
        <v>723</v>
      </c>
      <c r="AO145" s="19">
        <v>141</v>
      </c>
      <c r="AP145" s="27">
        <v>12</v>
      </c>
      <c r="AQ145" s="19">
        <v>5</v>
      </c>
      <c r="AR145" s="16">
        <f t="shared" si="32"/>
        <v>1300</v>
      </c>
      <c r="AS145" s="16">
        <f t="shared" si="33"/>
        <v>3900</v>
      </c>
      <c r="AT145" s="16">
        <f t="shared" si="34"/>
        <v>62400</v>
      </c>
      <c r="AW145" s="19">
        <v>141</v>
      </c>
      <c r="AX145" s="27">
        <v>12</v>
      </c>
      <c r="AY145" s="19">
        <v>6</v>
      </c>
      <c r="AZ145" s="16">
        <f t="shared" si="35"/>
        <v>2600</v>
      </c>
      <c r="BA145" s="16">
        <f t="shared" si="36"/>
        <v>7800</v>
      </c>
      <c r="BB145" s="16">
        <f t="shared" si="37"/>
        <v>93600</v>
      </c>
    </row>
    <row r="146" spans="33:54" ht="16.5" x14ac:dyDescent="0.2">
      <c r="AG146" s="27">
        <v>142</v>
      </c>
      <c r="AH146" s="27">
        <v>11</v>
      </c>
      <c r="AI146" s="27">
        <v>10</v>
      </c>
      <c r="AJ146" s="27">
        <f t="shared" si="29"/>
        <v>53</v>
      </c>
      <c r="AK146" s="27">
        <f t="shared" si="30"/>
        <v>103</v>
      </c>
      <c r="AL146" s="27">
        <f t="shared" si="31"/>
        <v>735</v>
      </c>
      <c r="AO146" s="19">
        <v>142</v>
      </c>
      <c r="AP146" s="27">
        <v>12</v>
      </c>
      <c r="AQ146" s="19">
        <v>6</v>
      </c>
      <c r="AR146" s="16">
        <f t="shared" si="32"/>
        <v>1300</v>
      </c>
      <c r="AS146" s="16">
        <f t="shared" si="33"/>
        <v>3900</v>
      </c>
      <c r="AT146" s="16">
        <f t="shared" si="34"/>
        <v>62400</v>
      </c>
      <c r="AW146" s="19">
        <v>142</v>
      </c>
      <c r="AX146" s="27">
        <v>12</v>
      </c>
      <c r="AY146" s="19">
        <v>7</v>
      </c>
      <c r="AZ146" s="16">
        <f t="shared" si="35"/>
        <v>2600</v>
      </c>
      <c r="BA146" s="16">
        <f t="shared" si="36"/>
        <v>7800</v>
      </c>
      <c r="BB146" s="16">
        <f t="shared" si="37"/>
        <v>93600</v>
      </c>
    </row>
    <row r="147" spans="33:54" ht="16.5" x14ac:dyDescent="0.2">
      <c r="AG147" s="27">
        <v>143</v>
      </c>
      <c r="AH147" s="27">
        <v>11</v>
      </c>
      <c r="AI147" s="27">
        <v>11</v>
      </c>
      <c r="AJ147" s="27">
        <f t="shared" si="29"/>
        <v>53</v>
      </c>
      <c r="AK147" s="27">
        <f t="shared" si="30"/>
        <v>104</v>
      </c>
      <c r="AL147" s="27">
        <f t="shared" si="31"/>
        <v>747</v>
      </c>
      <c r="AO147" s="19">
        <v>143</v>
      </c>
      <c r="AP147" s="27">
        <v>12</v>
      </c>
      <c r="AQ147" s="19">
        <v>7</v>
      </c>
      <c r="AR147" s="16">
        <f t="shared" si="32"/>
        <v>1300</v>
      </c>
      <c r="AS147" s="16">
        <f t="shared" si="33"/>
        <v>3900</v>
      </c>
      <c r="AT147" s="16">
        <f t="shared" si="34"/>
        <v>62400</v>
      </c>
      <c r="AW147" s="19">
        <v>143</v>
      </c>
      <c r="AX147" s="27">
        <v>12</v>
      </c>
      <c r="AY147" s="19">
        <v>8</v>
      </c>
      <c r="AZ147" s="16">
        <f t="shared" si="35"/>
        <v>2600</v>
      </c>
      <c r="BA147" s="16">
        <f t="shared" si="36"/>
        <v>7800</v>
      </c>
      <c r="BB147" s="16">
        <f t="shared" si="37"/>
        <v>93600</v>
      </c>
    </row>
    <row r="148" spans="33:54" ht="16.5" x14ac:dyDescent="0.2">
      <c r="AG148" s="27">
        <v>144</v>
      </c>
      <c r="AH148" s="27">
        <v>11</v>
      </c>
      <c r="AI148" s="27">
        <v>12</v>
      </c>
      <c r="AJ148" s="27">
        <f t="shared" si="29"/>
        <v>53</v>
      </c>
      <c r="AK148" s="27">
        <f t="shared" si="30"/>
        <v>106</v>
      </c>
      <c r="AL148" s="27">
        <f t="shared" si="31"/>
        <v>759</v>
      </c>
      <c r="AO148" s="19">
        <v>144</v>
      </c>
      <c r="AP148" s="27">
        <v>12</v>
      </c>
      <c r="AQ148" s="19">
        <v>8</v>
      </c>
      <c r="AR148" s="16">
        <f t="shared" si="32"/>
        <v>1300</v>
      </c>
      <c r="AS148" s="16">
        <f t="shared" si="33"/>
        <v>3900</v>
      </c>
      <c r="AT148" s="16">
        <f t="shared" si="34"/>
        <v>62400</v>
      </c>
      <c r="AW148" s="19">
        <v>144</v>
      </c>
      <c r="AX148" s="27">
        <v>12</v>
      </c>
      <c r="AY148" s="19">
        <v>9</v>
      </c>
      <c r="AZ148" s="16">
        <f t="shared" si="35"/>
        <v>2600</v>
      </c>
      <c r="BA148" s="16">
        <f t="shared" si="36"/>
        <v>7800</v>
      </c>
      <c r="BB148" s="16">
        <f t="shared" si="37"/>
        <v>93600</v>
      </c>
    </row>
    <row r="149" spans="33:54" ht="16.5" x14ac:dyDescent="0.2">
      <c r="AG149" s="27">
        <v>145</v>
      </c>
      <c r="AH149" s="27">
        <v>11</v>
      </c>
      <c r="AI149" s="27">
        <v>13</v>
      </c>
      <c r="AJ149" s="27">
        <f t="shared" si="29"/>
        <v>53</v>
      </c>
      <c r="AK149" s="27">
        <f t="shared" si="30"/>
        <v>107</v>
      </c>
      <c r="AL149" s="27">
        <f t="shared" si="31"/>
        <v>771</v>
      </c>
      <c r="AO149" s="19">
        <v>145</v>
      </c>
      <c r="AP149" s="27">
        <v>12</v>
      </c>
      <c r="AQ149" s="19">
        <v>9</v>
      </c>
      <c r="AR149" s="16">
        <f t="shared" si="32"/>
        <v>1300</v>
      </c>
      <c r="AS149" s="16">
        <f t="shared" si="33"/>
        <v>3900</v>
      </c>
      <c r="AT149" s="16">
        <f t="shared" si="34"/>
        <v>62400</v>
      </c>
      <c r="AW149" s="19">
        <v>145</v>
      </c>
      <c r="AX149" s="27">
        <v>12</v>
      </c>
      <c r="AY149" s="19">
        <v>10</v>
      </c>
      <c r="AZ149" s="16">
        <f t="shared" si="35"/>
        <v>2600</v>
      </c>
      <c r="BA149" s="16">
        <f t="shared" si="36"/>
        <v>7800</v>
      </c>
      <c r="BB149" s="16">
        <f t="shared" si="37"/>
        <v>93600</v>
      </c>
    </row>
    <row r="150" spans="33:54" ht="16.5" x14ac:dyDescent="0.2">
      <c r="AG150" s="27">
        <v>146</v>
      </c>
      <c r="AH150" s="27">
        <v>11</v>
      </c>
      <c r="AI150" s="27">
        <v>14</v>
      </c>
      <c r="AJ150" s="27">
        <f t="shared" si="29"/>
        <v>53</v>
      </c>
      <c r="AK150" s="27">
        <f t="shared" si="30"/>
        <v>108</v>
      </c>
      <c r="AL150" s="27">
        <f t="shared" si="31"/>
        <v>783</v>
      </c>
      <c r="AO150" s="19">
        <v>146</v>
      </c>
      <c r="AP150" s="27">
        <v>12</v>
      </c>
      <c r="AQ150" s="19">
        <v>10</v>
      </c>
      <c r="AR150" s="16">
        <f t="shared" si="32"/>
        <v>1300</v>
      </c>
      <c r="AS150" s="16">
        <f t="shared" si="33"/>
        <v>3900</v>
      </c>
      <c r="AT150" s="16">
        <f t="shared" si="34"/>
        <v>62400</v>
      </c>
      <c r="AW150" s="19">
        <v>146</v>
      </c>
      <c r="AX150" s="27">
        <v>12</v>
      </c>
      <c r="AY150" s="19">
        <v>11</v>
      </c>
      <c r="AZ150" s="16">
        <f t="shared" si="35"/>
        <v>2600</v>
      </c>
      <c r="BA150" s="16">
        <f t="shared" si="36"/>
        <v>7800</v>
      </c>
      <c r="BB150" s="16">
        <f t="shared" si="37"/>
        <v>93600</v>
      </c>
    </row>
    <row r="151" spans="33:54" ht="16.5" x14ac:dyDescent="0.2">
      <c r="AG151" s="27">
        <v>147</v>
      </c>
      <c r="AH151" s="27">
        <v>11</v>
      </c>
      <c r="AI151" s="27">
        <v>15</v>
      </c>
      <c r="AJ151" s="27">
        <f t="shared" si="29"/>
        <v>53</v>
      </c>
      <c r="AK151" s="27">
        <f t="shared" si="30"/>
        <v>110</v>
      </c>
      <c r="AL151" s="27">
        <f t="shared" si="31"/>
        <v>795</v>
      </c>
      <c r="AO151" s="19">
        <v>147</v>
      </c>
      <c r="AP151" s="27">
        <v>12</v>
      </c>
      <c r="AQ151" s="19">
        <v>11</v>
      </c>
      <c r="AR151" s="16">
        <f t="shared" si="32"/>
        <v>1300</v>
      </c>
      <c r="AS151" s="16">
        <f t="shared" si="33"/>
        <v>3900</v>
      </c>
      <c r="AT151" s="16">
        <f t="shared" si="34"/>
        <v>62400</v>
      </c>
      <c r="AW151" s="19">
        <v>147</v>
      </c>
      <c r="AX151" s="27">
        <v>12</v>
      </c>
      <c r="AY151" s="19">
        <v>12</v>
      </c>
      <c r="AZ151" s="16">
        <f t="shared" si="35"/>
        <v>2600</v>
      </c>
      <c r="BA151" s="16">
        <f t="shared" si="36"/>
        <v>7800</v>
      </c>
      <c r="BB151" s="16">
        <f t="shared" si="37"/>
        <v>93600</v>
      </c>
    </row>
    <row r="152" spans="33:54" ht="16.5" x14ac:dyDescent="0.2">
      <c r="AG152" s="27">
        <v>148</v>
      </c>
      <c r="AH152" s="27">
        <v>12</v>
      </c>
      <c r="AI152" s="27">
        <v>1</v>
      </c>
      <c r="AJ152" s="27">
        <f t="shared" si="29"/>
        <v>65</v>
      </c>
      <c r="AK152" s="27">
        <f t="shared" si="30"/>
        <v>111</v>
      </c>
      <c r="AL152" s="27">
        <f t="shared" si="31"/>
        <v>811</v>
      </c>
      <c r="AO152" s="19">
        <v>148</v>
      </c>
      <c r="AP152" s="27">
        <v>12</v>
      </c>
      <c r="AQ152" s="19">
        <v>12</v>
      </c>
      <c r="AR152" s="16">
        <f t="shared" si="32"/>
        <v>1300</v>
      </c>
      <c r="AS152" s="16">
        <f t="shared" si="33"/>
        <v>3900</v>
      </c>
      <c r="AT152" s="16">
        <f t="shared" si="34"/>
        <v>62400</v>
      </c>
      <c r="AW152" s="19">
        <v>148</v>
      </c>
      <c r="AX152" s="27">
        <v>12</v>
      </c>
      <c r="AY152" s="19">
        <v>13</v>
      </c>
      <c r="AZ152" s="16">
        <f t="shared" si="35"/>
        <v>2600</v>
      </c>
      <c r="BA152" s="16">
        <f t="shared" si="36"/>
        <v>7800</v>
      </c>
      <c r="BB152" s="16">
        <f t="shared" si="37"/>
        <v>93600</v>
      </c>
    </row>
    <row r="153" spans="33:54" ht="16.5" x14ac:dyDescent="0.2">
      <c r="AG153" s="27">
        <v>149</v>
      </c>
      <c r="AH153" s="27">
        <v>12</v>
      </c>
      <c r="AI153" s="27">
        <v>2</v>
      </c>
      <c r="AJ153" s="27">
        <f t="shared" si="29"/>
        <v>65</v>
      </c>
      <c r="AK153" s="27">
        <f t="shared" si="30"/>
        <v>112</v>
      </c>
      <c r="AL153" s="27">
        <f t="shared" si="31"/>
        <v>827</v>
      </c>
      <c r="AO153" s="19">
        <v>149</v>
      </c>
      <c r="AP153" s="27">
        <v>12</v>
      </c>
      <c r="AQ153" s="19">
        <v>13</v>
      </c>
      <c r="AR153" s="16">
        <f t="shared" si="32"/>
        <v>1300</v>
      </c>
      <c r="AS153" s="16">
        <f t="shared" si="33"/>
        <v>3900</v>
      </c>
      <c r="AT153" s="16">
        <f t="shared" si="34"/>
        <v>62400</v>
      </c>
      <c r="AW153" s="19">
        <v>149</v>
      </c>
      <c r="AX153" s="27">
        <v>12</v>
      </c>
      <c r="AY153" s="19">
        <v>14</v>
      </c>
      <c r="AZ153" s="16">
        <f t="shared" si="35"/>
        <v>2600</v>
      </c>
      <c r="BA153" s="16">
        <f t="shared" si="36"/>
        <v>7800</v>
      </c>
      <c r="BB153" s="16">
        <f t="shared" si="37"/>
        <v>93600</v>
      </c>
    </row>
    <row r="154" spans="33:54" ht="16.5" x14ac:dyDescent="0.2">
      <c r="AG154" s="27">
        <v>150</v>
      </c>
      <c r="AH154" s="27">
        <v>12</v>
      </c>
      <c r="AI154" s="27">
        <v>3</v>
      </c>
      <c r="AJ154" s="27">
        <f t="shared" si="29"/>
        <v>65</v>
      </c>
      <c r="AK154" s="27">
        <f t="shared" si="30"/>
        <v>114</v>
      </c>
      <c r="AL154" s="27">
        <f t="shared" si="31"/>
        <v>844</v>
      </c>
      <c r="AO154" s="19">
        <v>150</v>
      </c>
      <c r="AP154" s="27">
        <v>12</v>
      </c>
      <c r="AQ154" s="19">
        <v>14</v>
      </c>
      <c r="AR154" s="16">
        <f t="shared" si="32"/>
        <v>1300</v>
      </c>
      <c r="AS154" s="16">
        <f t="shared" si="33"/>
        <v>3900</v>
      </c>
      <c r="AT154" s="16">
        <f t="shared" si="34"/>
        <v>62400</v>
      </c>
      <c r="AW154" s="19">
        <v>150</v>
      </c>
      <c r="AX154" s="27">
        <v>12</v>
      </c>
      <c r="AY154" s="19">
        <v>15</v>
      </c>
      <c r="AZ154" s="16">
        <f t="shared" si="35"/>
        <v>2600</v>
      </c>
      <c r="BA154" s="16">
        <f t="shared" si="36"/>
        <v>7800</v>
      </c>
      <c r="BB154" s="16">
        <f t="shared" si="37"/>
        <v>93600</v>
      </c>
    </row>
    <row r="155" spans="33:54" ht="16.5" x14ac:dyDescent="0.2">
      <c r="AG155" s="27">
        <v>151</v>
      </c>
      <c r="AH155" s="27">
        <v>12</v>
      </c>
      <c r="AI155" s="27">
        <v>4</v>
      </c>
      <c r="AJ155" s="27">
        <f t="shared" si="29"/>
        <v>65</v>
      </c>
      <c r="AK155" s="27">
        <f t="shared" si="30"/>
        <v>115</v>
      </c>
      <c r="AL155" s="27">
        <f t="shared" si="31"/>
        <v>860</v>
      </c>
      <c r="AO155" s="19">
        <v>151</v>
      </c>
      <c r="AP155" s="27">
        <v>12</v>
      </c>
      <c r="AQ155" s="19">
        <v>15</v>
      </c>
      <c r="AR155" s="16">
        <f t="shared" si="32"/>
        <v>1300</v>
      </c>
      <c r="AS155" s="16">
        <f t="shared" si="33"/>
        <v>3900</v>
      </c>
      <c r="AT155" s="16">
        <f t="shared" si="34"/>
        <v>62400</v>
      </c>
      <c r="AW155" s="19">
        <v>151</v>
      </c>
      <c r="AX155" s="27">
        <v>13</v>
      </c>
      <c r="AY155" s="19">
        <v>1</v>
      </c>
      <c r="AZ155" s="16">
        <f t="shared" si="35"/>
        <v>3200</v>
      </c>
      <c r="BA155" s="16">
        <f t="shared" si="36"/>
        <v>9000</v>
      </c>
      <c r="BB155" s="16">
        <f t="shared" si="37"/>
        <v>122400</v>
      </c>
    </row>
    <row r="156" spans="33:54" ht="16.5" x14ac:dyDescent="0.2">
      <c r="AG156" s="27">
        <v>152</v>
      </c>
      <c r="AH156" s="27">
        <v>12</v>
      </c>
      <c r="AI156" s="27">
        <v>5</v>
      </c>
      <c r="AJ156" s="27">
        <f t="shared" si="29"/>
        <v>65</v>
      </c>
      <c r="AK156" s="27">
        <f t="shared" si="30"/>
        <v>116</v>
      </c>
      <c r="AL156" s="27">
        <f t="shared" si="31"/>
        <v>876</v>
      </c>
      <c r="AO156" s="19">
        <v>152</v>
      </c>
      <c r="AP156" s="27">
        <v>13</v>
      </c>
      <c r="AQ156" s="19">
        <v>1</v>
      </c>
      <c r="AR156" s="16">
        <f t="shared" si="32"/>
        <v>1600</v>
      </c>
      <c r="AS156" s="16">
        <f t="shared" si="33"/>
        <v>4500</v>
      </c>
      <c r="AT156" s="16">
        <f t="shared" si="34"/>
        <v>81600</v>
      </c>
      <c r="AW156" s="19">
        <v>152</v>
      </c>
      <c r="AX156" s="27">
        <v>13</v>
      </c>
      <c r="AY156" s="19">
        <v>2</v>
      </c>
      <c r="AZ156" s="16">
        <f t="shared" si="35"/>
        <v>3200</v>
      </c>
      <c r="BA156" s="16">
        <f t="shared" si="36"/>
        <v>9000</v>
      </c>
      <c r="BB156" s="16">
        <f t="shared" si="37"/>
        <v>122400</v>
      </c>
    </row>
    <row r="157" spans="33:54" ht="16.5" x14ac:dyDescent="0.2">
      <c r="AG157" s="27">
        <v>153</v>
      </c>
      <c r="AH157" s="27">
        <v>12</v>
      </c>
      <c r="AI157" s="27">
        <v>6</v>
      </c>
      <c r="AJ157" s="27">
        <f t="shared" si="29"/>
        <v>65</v>
      </c>
      <c r="AK157" s="27">
        <f t="shared" si="30"/>
        <v>118</v>
      </c>
      <c r="AL157" s="27">
        <f t="shared" si="31"/>
        <v>893</v>
      </c>
      <c r="AO157" s="19">
        <v>153</v>
      </c>
      <c r="AP157" s="27">
        <v>13</v>
      </c>
      <c r="AQ157" s="19">
        <v>2</v>
      </c>
      <c r="AR157" s="16">
        <f t="shared" si="32"/>
        <v>1600</v>
      </c>
      <c r="AS157" s="16">
        <f t="shared" si="33"/>
        <v>4500</v>
      </c>
      <c r="AT157" s="16">
        <f t="shared" si="34"/>
        <v>81600</v>
      </c>
      <c r="AW157" s="19">
        <v>153</v>
      </c>
      <c r="AX157" s="27">
        <v>13</v>
      </c>
      <c r="AY157" s="19">
        <v>3</v>
      </c>
      <c r="AZ157" s="16">
        <f t="shared" si="35"/>
        <v>3200</v>
      </c>
      <c r="BA157" s="16">
        <f t="shared" si="36"/>
        <v>9000</v>
      </c>
      <c r="BB157" s="16">
        <f t="shared" si="37"/>
        <v>122400</v>
      </c>
    </row>
    <row r="158" spans="33:54" ht="16.5" x14ac:dyDescent="0.2">
      <c r="AG158" s="27">
        <v>154</v>
      </c>
      <c r="AH158" s="27">
        <v>12</v>
      </c>
      <c r="AI158" s="27">
        <v>7</v>
      </c>
      <c r="AJ158" s="27">
        <f t="shared" si="29"/>
        <v>65</v>
      </c>
      <c r="AK158" s="27">
        <f t="shared" si="30"/>
        <v>119</v>
      </c>
      <c r="AL158" s="27">
        <f t="shared" si="31"/>
        <v>909</v>
      </c>
      <c r="AO158" s="19">
        <v>154</v>
      </c>
      <c r="AP158" s="27">
        <v>13</v>
      </c>
      <c r="AQ158" s="19">
        <v>3</v>
      </c>
      <c r="AR158" s="16">
        <f t="shared" si="32"/>
        <v>1600</v>
      </c>
      <c r="AS158" s="16">
        <f t="shared" si="33"/>
        <v>4500</v>
      </c>
      <c r="AT158" s="16">
        <f t="shared" si="34"/>
        <v>81600</v>
      </c>
      <c r="AW158" s="19">
        <v>154</v>
      </c>
      <c r="AX158" s="27">
        <v>13</v>
      </c>
      <c r="AY158" s="19">
        <v>4</v>
      </c>
      <c r="AZ158" s="16">
        <f t="shared" si="35"/>
        <v>3200</v>
      </c>
      <c r="BA158" s="16">
        <f t="shared" si="36"/>
        <v>9000</v>
      </c>
      <c r="BB158" s="16">
        <f t="shared" si="37"/>
        <v>122400</v>
      </c>
    </row>
    <row r="159" spans="33:54" ht="16.5" x14ac:dyDescent="0.2">
      <c r="AG159" s="27">
        <v>155</v>
      </c>
      <c r="AH159" s="27">
        <v>12</v>
      </c>
      <c r="AI159" s="27">
        <v>8</v>
      </c>
      <c r="AJ159" s="27">
        <f t="shared" si="29"/>
        <v>65</v>
      </c>
      <c r="AK159" s="27">
        <f t="shared" si="30"/>
        <v>120</v>
      </c>
      <c r="AL159" s="27">
        <f t="shared" si="31"/>
        <v>925</v>
      </c>
      <c r="AO159" s="19">
        <v>155</v>
      </c>
      <c r="AP159" s="27">
        <v>13</v>
      </c>
      <c r="AQ159" s="19">
        <v>4</v>
      </c>
      <c r="AR159" s="16">
        <f t="shared" si="32"/>
        <v>1600</v>
      </c>
      <c r="AS159" s="16">
        <f t="shared" si="33"/>
        <v>4500</v>
      </c>
      <c r="AT159" s="16">
        <f t="shared" si="34"/>
        <v>81600</v>
      </c>
      <c r="AW159" s="19">
        <v>155</v>
      </c>
      <c r="AX159" s="27">
        <v>13</v>
      </c>
      <c r="AY159" s="19">
        <v>5</v>
      </c>
      <c r="AZ159" s="16">
        <f t="shared" si="35"/>
        <v>3200</v>
      </c>
      <c r="BA159" s="16">
        <f t="shared" si="36"/>
        <v>9000</v>
      </c>
      <c r="BB159" s="16">
        <f t="shared" si="37"/>
        <v>122400</v>
      </c>
    </row>
    <row r="160" spans="33:54" ht="16.5" x14ac:dyDescent="0.2">
      <c r="AG160" s="27">
        <v>156</v>
      </c>
      <c r="AH160" s="27">
        <v>12</v>
      </c>
      <c r="AI160" s="27">
        <v>9</v>
      </c>
      <c r="AJ160" s="27">
        <f t="shared" si="29"/>
        <v>65</v>
      </c>
      <c r="AK160" s="27">
        <f t="shared" si="30"/>
        <v>122</v>
      </c>
      <c r="AL160" s="27">
        <f t="shared" si="31"/>
        <v>942</v>
      </c>
      <c r="AO160" s="19">
        <v>156</v>
      </c>
      <c r="AP160" s="27">
        <v>13</v>
      </c>
      <c r="AQ160" s="19">
        <v>5</v>
      </c>
      <c r="AR160" s="16">
        <f t="shared" si="32"/>
        <v>1600</v>
      </c>
      <c r="AS160" s="16">
        <f t="shared" si="33"/>
        <v>4500</v>
      </c>
      <c r="AT160" s="16">
        <f t="shared" si="34"/>
        <v>81600</v>
      </c>
      <c r="AW160" s="19">
        <v>156</v>
      </c>
      <c r="AX160" s="27">
        <v>13</v>
      </c>
      <c r="AY160" s="19">
        <v>6</v>
      </c>
      <c r="AZ160" s="16">
        <f t="shared" si="35"/>
        <v>3200</v>
      </c>
      <c r="BA160" s="16">
        <f t="shared" si="36"/>
        <v>9000</v>
      </c>
      <c r="BB160" s="16">
        <f t="shared" si="37"/>
        <v>122400</v>
      </c>
    </row>
    <row r="161" spans="33:54" ht="16.5" x14ac:dyDescent="0.2">
      <c r="AG161" s="27">
        <v>157</v>
      </c>
      <c r="AH161" s="27">
        <v>12</v>
      </c>
      <c r="AI161" s="27">
        <v>10</v>
      </c>
      <c r="AJ161" s="27">
        <f t="shared" si="29"/>
        <v>65</v>
      </c>
      <c r="AK161" s="27">
        <f t="shared" si="30"/>
        <v>123</v>
      </c>
      <c r="AL161" s="27">
        <f t="shared" si="31"/>
        <v>958</v>
      </c>
      <c r="AO161" s="19">
        <v>157</v>
      </c>
      <c r="AP161" s="27">
        <v>13</v>
      </c>
      <c r="AQ161" s="19">
        <v>6</v>
      </c>
      <c r="AR161" s="16">
        <f t="shared" si="32"/>
        <v>1600</v>
      </c>
      <c r="AS161" s="16">
        <f t="shared" si="33"/>
        <v>4500</v>
      </c>
      <c r="AT161" s="16">
        <f t="shared" si="34"/>
        <v>81600</v>
      </c>
      <c r="AW161" s="19">
        <v>157</v>
      </c>
      <c r="AX161" s="27">
        <v>13</v>
      </c>
      <c r="AY161" s="19">
        <v>7</v>
      </c>
      <c r="AZ161" s="16">
        <f t="shared" si="35"/>
        <v>3200</v>
      </c>
      <c r="BA161" s="16">
        <f t="shared" si="36"/>
        <v>9000</v>
      </c>
      <c r="BB161" s="16">
        <f t="shared" si="37"/>
        <v>122400</v>
      </c>
    </row>
    <row r="162" spans="33:54" ht="16.5" x14ac:dyDescent="0.2">
      <c r="AG162" s="27">
        <v>158</v>
      </c>
      <c r="AH162" s="27">
        <v>12</v>
      </c>
      <c r="AI162" s="27">
        <v>11</v>
      </c>
      <c r="AJ162" s="27">
        <f t="shared" si="29"/>
        <v>65</v>
      </c>
      <c r="AK162" s="27">
        <f t="shared" si="30"/>
        <v>124</v>
      </c>
      <c r="AL162" s="27">
        <f t="shared" si="31"/>
        <v>974</v>
      </c>
      <c r="AO162" s="19">
        <v>158</v>
      </c>
      <c r="AP162" s="27">
        <v>13</v>
      </c>
      <c r="AQ162" s="19">
        <v>7</v>
      </c>
      <c r="AR162" s="16">
        <f t="shared" si="32"/>
        <v>1600</v>
      </c>
      <c r="AS162" s="16">
        <f t="shared" si="33"/>
        <v>4500</v>
      </c>
      <c r="AT162" s="16">
        <f t="shared" si="34"/>
        <v>81600</v>
      </c>
      <c r="AW162" s="19">
        <v>158</v>
      </c>
      <c r="AX162" s="27">
        <v>13</v>
      </c>
      <c r="AY162" s="19">
        <v>8</v>
      </c>
      <c r="AZ162" s="16">
        <f t="shared" si="35"/>
        <v>3200</v>
      </c>
      <c r="BA162" s="16">
        <f t="shared" si="36"/>
        <v>9000</v>
      </c>
      <c r="BB162" s="16">
        <f t="shared" si="37"/>
        <v>122400</v>
      </c>
    </row>
    <row r="163" spans="33:54" ht="16.5" x14ac:dyDescent="0.2">
      <c r="AG163" s="27">
        <v>159</v>
      </c>
      <c r="AH163" s="27">
        <v>12</v>
      </c>
      <c r="AI163" s="27">
        <v>12</v>
      </c>
      <c r="AJ163" s="27">
        <f t="shared" si="29"/>
        <v>65</v>
      </c>
      <c r="AK163" s="27">
        <f t="shared" si="30"/>
        <v>126</v>
      </c>
      <c r="AL163" s="27">
        <f t="shared" si="31"/>
        <v>991</v>
      </c>
      <c r="AO163" s="19">
        <v>159</v>
      </c>
      <c r="AP163" s="27">
        <v>13</v>
      </c>
      <c r="AQ163" s="19">
        <v>8</v>
      </c>
      <c r="AR163" s="16">
        <f t="shared" si="32"/>
        <v>1600</v>
      </c>
      <c r="AS163" s="16">
        <f t="shared" si="33"/>
        <v>4500</v>
      </c>
      <c r="AT163" s="16">
        <f t="shared" si="34"/>
        <v>81600</v>
      </c>
      <c r="AW163" s="19">
        <v>159</v>
      </c>
      <c r="AX163" s="27">
        <v>13</v>
      </c>
      <c r="AY163" s="19">
        <v>9</v>
      </c>
      <c r="AZ163" s="16">
        <f t="shared" si="35"/>
        <v>3200</v>
      </c>
      <c r="BA163" s="16">
        <f t="shared" si="36"/>
        <v>9000</v>
      </c>
      <c r="BB163" s="16">
        <f t="shared" si="37"/>
        <v>122400</v>
      </c>
    </row>
    <row r="164" spans="33:54" ht="16.5" x14ac:dyDescent="0.2">
      <c r="AG164" s="27">
        <v>160</v>
      </c>
      <c r="AH164" s="27">
        <v>12</v>
      </c>
      <c r="AI164" s="27">
        <v>13</v>
      </c>
      <c r="AJ164" s="27">
        <f t="shared" si="29"/>
        <v>65</v>
      </c>
      <c r="AK164" s="27">
        <f t="shared" si="30"/>
        <v>127</v>
      </c>
      <c r="AL164" s="27">
        <f t="shared" si="31"/>
        <v>1007</v>
      </c>
      <c r="AO164" s="19">
        <v>160</v>
      </c>
      <c r="AP164" s="27">
        <v>13</v>
      </c>
      <c r="AQ164" s="19">
        <v>9</v>
      </c>
      <c r="AR164" s="16">
        <f t="shared" si="32"/>
        <v>1600</v>
      </c>
      <c r="AS164" s="16">
        <f t="shared" si="33"/>
        <v>4500</v>
      </c>
      <c r="AT164" s="16">
        <f t="shared" si="34"/>
        <v>81600</v>
      </c>
      <c r="AW164" s="19">
        <v>160</v>
      </c>
      <c r="AX164" s="27">
        <v>13</v>
      </c>
      <c r="AY164" s="19">
        <v>10</v>
      </c>
      <c r="AZ164" s="16">
        <f t="shared" si="35"/>
        <v>3200</v>
      </c>
      <c r="BA164" s="16">
        <f t="shared" si="36"/>
        <v>9000</v>
      </c>
      <c r="BB164" s="16">
        <f t="shared" si="37"/>
        <v>122400</v>
      </c>
    </row>
    <row r="165" spans="33:54" ht="16.5" x14ac:dyDescent="0.2">
      <c r="AG165" s="27">
        <v>161</v>
      </c>
      <c r="AH165" s="27">
        <v>12</v>
      </c>
      <c r="AI165" s="27">
        <v>14</v>
      </c>
      <c r="AJ165" s="27">
        <f t="shared" si="29"/>
        <v>65</v>
      </c>
      <c r="AK165" s="27">
        <f t="shared" si="30"/>
        <v>128</v>
      </c>
      <c r="AL165" s="27">
        <f t="shared" si="31"/>
        <v>1023</v>
      </c>
      <c r="AO165" s="19">
        <v>161</v>
      </c>
      <c r="AP165" s="27">
        <v>13</v>
      </c>
      <c r="AQ165" s="19">
        <v>10</v>
      </c>
      <c r="AR165" s="16">
        <f t="shared" si="32"/>
        <v>1600</v>
      </c>
      <c r="AS165" s="16">
        <f t="shared" si="33"/>
        <v>4500</v>
      </c>
      <c r="AT165" s="16">
        <f t="shared" si="34"/>
        <v>81600</v>
      </c>
      <c r="AW165" s="19">
        <v>161</v>
      </c>
      <c r="AX165" s="27">
        <v>13</v>
      </c>
      <c r="AY165" s="19">
        <v>11</v>
      </c>
      <c r="AZ165" s="16">
        <f t="shared" si="35"/>
        <v>3200</v>
      </c>
      <c r="BA165" s="16">
        <f t="shared" si="36"/>
        <v>9000</v>
      </c>
      <c r="BB165" s="16">
        <f t="shared" si="37"/>
        <v>122400</v>
      </c>
    </row>
    <row r="166" spans="33:54" ht="16.5" x14ac:dyDescent="0.2">
      <c r="AG166" s="27">
        <v>162</v>
      </c>
      <c r="AH166" s="27">
        <v>12</v>
      </c>
      <c r="AI166" s="27">
        <v>15</v>
      </c>
      <c r="AJ166" s="27">
        <f t="shared" si="29"/>
        <v>65</v>
      </c>
      <c r="AK166" s="27">
        <f t="shared" si="30"/>
        <v>130</v>
      </c>
      <c r="AL166" s="27">
        <f t="shared" si="31"/>
        <v>1040</v>
      </c>
      <c r="AO166" s="19">
        <v>162</v>
      </c>
      <c r="AP166" s="27">
        <v>13</v>
      </c>
      <c r="AQ166" s="19">
        <v>11</v>
      </c>
      <c r="AR166" s="16">
        <f t="shared" si="32"/>
        <v>1600</v>
      </c>
      <c r="AS166" s="16">
        <f t="shared" si="33"/>
        <v>4500</v>
      </c>
      <c r="AT166" s="16">
        <f t="shared" si="34"/>
        <v>81600</v>
      </c>
      <c r="AW166" s="19">
        <v>162</v>
      </c>
      <c r="AX166" s="27">
        <v>13</v>
      </c>
      <c r="AY166" s="19">
        <v>12</v>
      </c>
      <c r="AZ166" s="16">
        <f t="shared" si="35"/>
        <v>3200</v>
      </c>
      <c r="BA166" s="16">
        <f t="shared" si="36"/>
        <v>9000</v>
      </c>
      <c r="BB166" s="16">
        <f t="shared" si="37"/>
        <v>122400</v>
      </c>
    </row>
    <row r="167" spans="33:54" ht="16.5" x14ac:dyDescent="0.2">
      <c r="AG167" s="27">
        <v>163</v>
      </c>
      <c r="AH167" s="27">
        <v>13</v>
      </c>
      <c r="AI167" s="27">
        <v>1</v>
      </c>
      <c r="AJ167" s="27">
        <f t="shared" si="29"/>
        <v>80</v>
      </c>
      <c r="AK167" s="27">
        <f t="shared" si="30"/>
        <v>131</v>
      </c>
      <c r="AL167" s="27">
        <f t="shared" si="31"/>
        <v>1061</v>
      </c>
      <c r="AO167" s="19">
        <v>163</v>
      </c>
      <c r="AP167" s="27">
        <v>13</v>
      </c>
      <c r="AQ167" s="19">
        <v>12</v>
      </c>
      <c r="AR167" s="16">
        <f t="shared" si="32"/>
        <v>1600</v>
      </c>
      <c r="AS167" s="16">
        <f t="shared" si="33"/>
        <v>4500</v>
      </c>
      <c r="AT167" s="16">
        <f t="shared" si="34"/>
        <v>81600</v>
      </c>
      <c r="AW167" s="19">
        <v>163</v>
      </c>
      <c r="AX167" s="27">
        <v>13</v>
      </c>
      <c r="AY167" s="19">
        <v>13</v>
      </c>
      <c r="AZ167" s="16">
        <f t="shared" si="35"/>
        <v>3200</v>
      </c>
      <c r="BA167" s="16">
        <f t="shared" si="36"/>
        <v>9000</v>
      </c>
      <c r="BB167" s="16">
        <f t="shared" si="37"/>
        <v>122400</v>
      </c>
    </row>
    <row r="168" spans="33:54" ht="16.5" x14ac:dyDescent="0.2">
      <c r="AG168" s="27">
        <v>164</v>
      </c>
      <c r="AH168" s="27">
        <v>13</v>
      </c>
      <c r="AI168" s="27">
        <v>2</v>
      </c>
      <c r="AJ168" s="27">
        <f t="shared" si="29"/>
        <v>80</v>
      </c>
      <c r="AK168" s="27">
        <f t="shared" si="30"/>
        <v>132</v>
      </c>
      <c r="AL168" s="27">
        <f t="shared" si="31"/>
        <v>1082</v>
      </c>
      <c r="AO168" s="19">
        <v>164</v>
      </c>
      <c r="AP168" s="27">
        <v>13</v>
      </c>
      <c r="AQ168" s="19">
        <v>13</v>
      </c>
      <c r="AR168" s="16">
        <f t="shared" si="32"/>
        <v>1600</v>
      </c>
      <c r="AS168" s="16">
        <f t="shared" si="33"/>
        <v>4500</v>
      </c>
      <c r="AT168" s="16">
        <f t="shared" si="34"/>
        <v>81600</v>
      </c>
      <c r="AW168" s="19">
        <v>164</v>
      </c>
      <c r="AX168" s="27">
        <v>13</v>
      </c>
      <c r="AY168" s="19">
        <v>14</v>
      </c>
      <c r="AZ168" s="16">
        <f t="shared" si="35"/>
        <v>3200</v>
      </c>
      <c r="BA168" s="16">
        <f t="shared" si="36"/>
        <v>9000</v>
      </c>
      <c r="BB168" s="16">
        <f t="shared" si="37"/>
        <v>122400</v>
      </c>
    </row>
    <row r="169" spans="33:54" ht="16.5" x14ac:dyDescent="0.2">
      <c r="AG169" s="27">
        <v>165</v>
      </c>
      <c r="AH169" s="27">
        <v>13</v>
      </c>
      <c r="AI169" s="27">
        <v>3</v>
      </c>
      <c r="AJ169" s="27">
        <f t="shared" si="29"/>
        <v>80</v>
      </c>
      <c r="AK169" s="27">
        <f t="shared" si="30"/>
        <v>134</v>
      </c>
      <c r="AL169" s="27">
        <f t="shared" si="31"/>
        <v>1104</v>
      </c>
      <c r="AO169" s="19">
        <v>165</v>
      </c>
      <c r="AP169" s="27">
        <v>13</v>
      </c>
      <c r="AQ169" s="19">
        <v>14</v>
      </c>
      <c r="AR169" s="16">
        <f t="shared" si="32"/>
        <v>1600</v>
      </c>
      <c r="AS169" s="16">
        <f t="shared" si="33"/>
        <v>4500</v>
      </c>
      <c r="AT169" s="16">
        <f t="shared" si="34"/>
        <v>81600</v>
      </c>
      <c r="AW169" s="19">
        <v>165</v>
      </c>
      <c r="AX169" s="27">
        <v>13</v>
      </c>
      <c r="AY169" s="19">
        <v>15</v>
      </c>
      <c r="AZ169" s="16">
        <f t="shared" si="35"/>
        <v>3200</v>
      </c>
      <c r="BA169" s="16">
        <f t="shared" si="36"/>
        <v>9000</v>
      </c>
      <c r="BB169" s="16">
        <f t="shared" si="37"/>
        <v>122400</v>
      </c>
    </row>
    <row r="170" spans="33:54" ht="16.5" x14ac:dyDescent="0.2">
      <c r="AG170" s="27">
        <v>166</v>
      </c>
      <c r="AH170" s="27">
        <v>13</v>
      </c>
      <c r="AI170" s="27">
        <v>4</v>
      </c>
      <c r="AJ170" s="27">
        <f t="shared" si="29"/>
        <v>80</v>
      </c>
      <c r="AK170" s="27">
        <f t="shared" si="30"/>
        <v>135</v>
      </c>
      <c r="AL170" s="27">
        <f t="shared" si="31"/>
        <v>1125</v>
      </c>
      <c r="AO170" s="19">
        <v>166</v>
      </c>
      <c r="AP170" s="27">
        <v>13</v>
      </c>
      <c r="AQ170" s="19">
        <v>15</v>
      </c>
      <c r="AR170" s="16">
        <f t="shared" si="32"/>
        <v>1600</v>
      </c>
      <c r="AS170" s="16">
        <f t="shared" si="33"/>
        <v>4500</v>
      </c>
      <c r="AT170" s="16">
        <f t="shared" si="34"/>
        <v>81600</v>
      </c>
      <c r="AW170" s="19">
        <v>166</v>
      </c>
      <c r="AX170" s="27">
        <v>14</v>
      </c>
      <c r="AY170" s="19">
        <v>1</v>
      </c>
      <c r="AZ170" s="16">
        <f t="shared" si="35"/>
        <v>4000</v>
      </c>
      <c r="BA170" s="16">
        <f t="shared" si="36"/>
        <v>10500</v>
      </c>
      <c r="BB170" s="16">
        <f t="shared" si="37"/>
        <v>162000</v>
      </c>
    </row>
    <row r="171" spans="33:54" ht="16.5" x14ac:dyDescent="0.2">
      <c r="AG171" s="27">
        <v>167</v>
      </c>
      <c r="AH171" s="27">
        <v>13</v>
      </c>
      <c r="AI171" s="27">
        <v>5</v>
      </c>
      <c r="AJ171" s="27">
        <f t="shared" si="29"/>
        <v>80</v>
      </c>
      <c r="AK171" s="27">
        <f t="shared" si="30"/>
        <v>136</v>
      </c>
      <c r="AL171" s="27">
        <f t="shared" si="31"/>
        <v>1146</v>
      </c>
      <c r="AO171" s="19">
        <v>167</v>
      </c>
      <c r="AP171" s="27">
        <v>14</v>
      </c>
      <c r="AQ171" s="19">
        <v>1</v>
      </c>
      <c r="AR171" s="16">
        <f t="shared" si="32"/>
        <v>2000</v>
      </c>
      <c r="AS171" s="16">
        <f t="shared" si="33"/>
        <v>5250</v>
      </c>
      <c r="AT171" s="16">
        <f t="shared" si="34"/>
        <v>108000</v>
      </c>
      <c r="AW171" s="19">
        <v>167</v>
      </c>
      <c r="AX171" s="27">
        <v>14</v>
      </c>
      <c r="AY171" s="19">
        <v>2</v>
      </c>
      <c r="AZ171" s="16">
        <f t="shared" si="35"/>
        <v>4000</v>
      </c>
      <c r="BA171" s="16">
        <f t="shared" si="36"/>
        <v>10500</v>
      </c>
      <c r="BB171" s="16">
        <f t="shared" si="37"/>
        <v>162000</v>
      </c>
    </row>
    <row r="172" spans="33:54" ht="16.5" x14ac:dyDescent="0.2">
      <c r="AG172" s="27">
        <v>168</v>
      </c>
      <c r="AH172" s="27">
        <v>13</v>
      </c>
      <c r="AI172" s="27">
        <v>6</v>
      </c>
      <c r="AJ172" s="27">
        <f t="shared" si="29"/>
        <v>80</v>
      </c>
      <c r="AK172" s="27">
        <f t="shared" si="30"/>
        <v>138</v>
      </c>
      <c r="AL172" s="27">
        <f t="shared" si="31"/>
        <v>1168</v>
      </c>
      <c r="AO172" s="19">
        <v>168</v>
      </c>
      <c r="AP172" s="27">
        <v>14</v>
      </c>
      <c r="AQ172" s="19">
        <v>2</v>
      </c>
      <c r="AR172" s="16">
        <f t="shared" si="32"/>
        <v>2000</v>
      </c>
      <c r="AS172" s="16">
        <f t="shared" si="33"/>
        <v>5250</v>
      </c>
      <c r="AT172" s="16">
        <f t="shared" si="34"/>
        <v>108000</v>
      </c>
      <c r="AW172" s="19">
        <v>168</v>
      </c>
      <c r="AX172" s="27">
        <v>14</v>
      </c>
      <c r="AY172" s="19">
        <v>3</v>
      </c>
      <c r="AZ172" s="16">
        <f t="shared" si="35"/>
        <v>4000</v>
      </c>
      <c r="BA172" s="16">
        <f t="shared" si="36"/>
        <v>10500</v>
      </c>
      <c r="BB172" s="16">
        <f t="shared" si="37"/>
        <v>162000</v>
      </c>
    </row>
    <row r="173" spans="33:54" ht="16.5" x14ac:dyDescent="0.2">
      <c r="AG173" s="27">
        <v>169</v>
      </c>
      <c r="AH173" s="27">
        <v>13</v>
      </c>
      <c r="AI173" s="27">
        <v>7</v>
      </c>
      <c r="AJ173" s="27">
        <f t="shared" si="29"/>
        <v>80</v>
      </c>
      <c r="AK173" s="27">
        <f t="shared" si="30"/>
        <v>139</v>
      </c>
      <c r="AL173" s="27">
        <f t="shared" si="31"/>
        <v>1189</v>
      </c>
      <c r="AO173" s="19">
        <v>169</v>
      </c>
      <c r="AP173" s="27">
        <v>14</v>
      </c>
      <c r="AQ173" s="19">
        <v>3</v>
      </c>
      <c r="AR173" s="16">
        <f t="shared" si="32"/>
        <v>2000</v>
      </c>
      <c r="AS173" s="16">
        <f t="shared" si="33"/>
        <v>5250</v>
      </c>
      <c r="AT173" s="16">
        <f t="shared" si="34"/>
        <v>108000</v>
      </c>
      <c r="AW173" s="19">
        <v>169</v>
      </c>
      <c r="AX173" s="27">
        <v>14</v>
      </c>
      <c r="AY173" s="19">
        <v>4</v>
      </c>
      <c r="AZ173" s="16">
        <f t="shared" si="35"/>
        <v>4000</v>
      </c>
      <c r="BA173" s="16">
        <f t="shared" si="36"/>
        <v>10500</v>
      </c>
      <c r="BB173" s="16">
        <f t="shared" si="37"/>
        <v>162000</v>
      </c>
    </row>
    <row r="174" spans="33:54" ht="16.5" x14ac:dyDescent="0.2">
      <c r="AG174" s="27">
        <v>170</v>
      </c>
      <c r="AH174" s="27">
        <v>13</v>
      </c>
      <c r="AI174" s="27">
        <v>8</v>
      </c>
      <c r="AJ174" s="27">
        <f t="shared" si="29"/>
        <v>80</v>
      </c>
      <c r="AK174" s="27">
        <f t="shared" si="30"/>
        <v>140</v>
      </c>
      <c r="AL174" s="27">
        <f t="shared" si="31"/>
        <v>1210</v>
      </c>
      <c r="AO174" s="19">
        <v>170</v>
      </c>
      <c r="AP174" s="27">
        <v>14</v>
      </c>
      <c r="AQ174" s="19">
        <v>4</v>
      </c>
      <c r="AR174" s="16">
        <f t="shared" si="32"/>
        <v>2000</v>
      </c>
      <c r="AS174" s="16">
        <f t="shared" si="33"/>
        <v>5250</v>
      </c>
      <c r="AT174" s="16">
        <f t="shared" si="34"/>
        <v>108000</v>
      </c>
      <c r="AW174" s="19">
        <v>170</v>
      </c>
      <c r="AX174" s="27">
        <v>14</v>
      </c>
      <c r="AY174" s="19">
        <v>5</v>
      </c>
      <c r="AZ174" s="16">
        <f t="shared" si="35"/>
        <v>4000</v>
      </c>
      <c r="BA174" s="16">
        <f t="shared" si="36"/>
        <v>10500</v>
      </c>
      <c r="BB174" s="16">
        <f t="shared" si="37"/>
        <v>162000</v>
      </c>
    </row>
    <row r="175" spans="33:54" ht="16.5" x14ac:dyDescent="0.2">
      <c r="AG175" s="27">
        <v>171</v>
      </c>
      <c r="AH175" s="27">
        <v>13</v>
      </c>
      <c r="AI175" s="27">
        <v>9</v>
      </c>
      <c r="AJ175" s="27">
        <f t="shared" si="29"/>
        <v>80</v>
      </c>
      <c r="AK175" s="27">
        <f t="shared" si="30"/>
        <v>142</v>
      </c>
      <c r="AL175" s="27">
        <f t="shared" si="31"/>
        <v>1232</v>
      </c>
      <c r="AO175" s="19">
        <v>171</v>
      </c>
      <c r="AP175" s="27">
        <v>14</v>
      </c>
      <c r="AQ175" s="19">
        <v>5</v>
      </c>
      <c r="AR175" s="16">
        <f t="shared" si="32"/>
        <v>2000</v>
      </c>
      <c r="AS175" s="16">
        <f t="shared" si="33"/>
        <v>5250</v>
      </c>
      <c r="AT175" s="16">
        <f t="shared" si="34"/>
        <v>108000</v>
      </c>
      <c r="AW175" s="19">
        <v>171</v>
      </c>
      <c r="AX175" s="27">
        <v>14</v>
      </c>
      <c r="AY175" s="19">
        <v>6</v>
      </c>
      <c r="AZ175" s="16">
        <f t="shared" si="35"/>
        <v>4000</v>
      </c>
      <c r="BA175" s="16">
        <f t="shared" si="36"/>
        <v>10500</v>
      </c>
      <c r="BB175" s="16">
        <f t="shared" si="37"/>
        <v>162000</v>
      </c>
    </row>
    <row r="176" spans="33:54" ht="16.5" x14ac:dyDescent="0.2">
      <c r="AG176" s="27">
        <v>172</v>
      </c>
      <c r="AH176" s="27">
        <v>13</v>
      </c>
      <c r="AI176" s="27">
        <v>10</v>
      </c>
      <c r="AJ176" s="27">
        <f t="shared" si="29"/>
        <v>80</v>
      </c>
      <c r="AK176" s="27">
        <f t="shared" si="30"/>
        <v>143</v>
      </c>
      <c r="AL176" s="27">
        <f t="shared" si="31"/>
        <v>1253</v>
      </c>
      <c r="AO176" s="19">
        <v>172</v>
      </c>
      <c r="AP176" s="27">
        <v>14</v>
      </c>
      <c r="AQ176" s="19">
        <v>6</v>
      </c>
      <c r="AR176" s="16">
        <f t="shared" si="32"/>
        <v>2000</v>
      </c>
      <c r="AS176" s="16">
        <f t="shared" si="33"/>
        <v>5250</v>
      </c>
      <c r="AT176" s="16">
        <f t="shared" si="34"/>
        <v>108000</v>
      </c>
      <c r="AW176" s="19">
        <v>172</v>
      </c>
      <c r="AX176" s="27">
        <v>14</v>
      </c>
      <c r="AY176" s="19">
        <v>7</v>
      </c>
      <c r="AZ176" s="16">
        <f t="shared" si="35"/>
        <v>4000</v>
      </c>
      <c r="BA176" s="16">
        <f t="shared" si="36"/>
        <v>10500</v>
      </c>
      <c r="BB176" s="16">
        <f t="shared" si="37"/>
        <v>162000</v>
      </c>
    </row>
    <row r="177" spans="33:54" ht="16.5" x14ac:dyDescent="0.2">
      <c r="AG177" s="27">
        <v>173</v>
      </c>
      <c r="AH177" s="27">
        <v>13</v>
      </c>
      <c r="AI177" s="27">
        <v>11</v>
      </c>
      <c r="AJ177" s="27">
        <f t="shared" si="29"/>
        <v>80</v>
      </c>
      <c r="AK177" s="27">
        <f t="shared" si="30"/>
        <v>144</v>
      </c>
      <c r="AL177" s="27">
        <f t="shared" si="31"/>
        <v>1274</v>
      </c>
      <c r="AO177" s="19">
        <v>173</v>
      </c>
      <c r="AP177" s="27">
        <v>14</v>
      </c>
      <c r="AQ177" s="19">
        <v>7</v>
      </c>
      <c r="AR177" s="16">
        <f t="shared" si="32"/>
        <v>2000</v>
      </c>
      <c r="AS177" s="16">
        <f t="shared" si="33"/>
        <v>5250</v>
      </c>
      <c r="AT177" s="16">
        <f t="shared" si="34"/>
        <v>108000</v>
      </c>
      <c r="AW177" s="19">
        <v>173</v>
      </c>
      <c r="AX177" s="27">
        <v>14</v>
      </c>
      <c r="AY177" s="19">
        <v>8</v>
      </c>
      <c r="AZ177" s="16">
        <f t="shared" si="35"/>
        <v>4000</v>
      </c>
      <c r="BA177" s="16">
        <f t="shared" si="36"/>
        <v>10500</v>
      </c>
      <c r="BB177" s="16">
        <f t="shared" si="37"/>
        <v>162000</v>
      </c>
    </row>
    <row r="178" spans="33:54" ht="16.5" x14ac:dyDescent="0.2">
      <c r="AG178" s="27">
        <v>174</v>
      </c>
      <c r="AH178" s="27">
        <v>13</v>
      </c>
      <c r="AI178" s="27">
        <v>12</v>
      </c>
      <c r="AJ178" s="27">
        <f t="shared" si="29"/>
        <v>80</v>
      </c>
      <c r="AK178" s="27">
        <f t="shared" si="30"/>
        <v>146</v>
      </c>
      <c r="AL178" s="27">
        <f t="shared" si="31"/>
        <v>1296</v>
      </c>
      <c r="AO178" s="19">
        <v>174</v>
      </c>
      <c r="AP178" s="27">
        <v>14</v>
      </c>
      <c r="AQ178" s="19">
        <v>8</v>
      </c>
      <c r="AR178" s="16">
        <f t="shared" si="32"/>
        <v>2000</v>
      </c>
      <c r="AS178" s="16">
        <f t="shared" si="33"/>
        <v>5250</v>
      </c>
      <c r="AT178" s="16">
        <f t="shared" si="34"/>
        <v>108000</v>
      </c>
      <c r="AW178" s="19">
        <v>174</v>
      </c>
      <c r="AX178" s="27">
        <v>14</v>
      </c>
      <c r="AY178" s="19">
        <v>9</v>
      </c>
      <c r="AZ178" s="16">
        <f t="shared" si="35"/>
        <v>4000</v>
      </c>
      <c r="BA178" s="16">
        <f t="shared" si="36"/>
        <v>10500</v>
      </c>
      <c r="BB178" s="16">
        <f t="shared" si="37"/>
        <v>162000</v>
      </c>
    </row>
    <row r="179" spans="33:54" ht="16.5" x14ac:dyDescent="0.2">
      <c r="AG179" s="27">
        <v>175</v>
      </c>
      <c r="AH179" s="27">
        <v>13</v>
      </c>
      <c r="AI179" s="27">
        <v>13</v>
      </c>
      <c r="AJ179" s="27">
        <f t="shared" si="29"/>
        <v>80</v>
      </c>
      <c r="AK179" s="27">
        <f t="shared" si="30"/>
        <v>147</v>
      </c>
      <c r="AL179" s="27">
        <f t="shared" si="31"/>
        <v>1317</v>
      </c>
      <c r="AO179" s="19">
        <v>175</v>
      </c>
      <c r="AP179" s="27">
        <v>14</v>
      </c>
      <c r="AQ179" s="19">
        <v>9</v>
      </c>
      <c r="AR179" s="16">
        <f t="shared" si="32"/>
        <v>2000</v>
      </c>
      <c r="AS179" s="16">
        <f t="shared" si="33"/>
        <v>5250</v>
      </c>
      <c r="AT179" s="16">
        <f t="shared" si="34"/>
        <v>108000</v>
      </c>
      <c r="AW179" s="19">
        <v>175</v>
      </c>
      <c r="AX179" s="27">
        <v>14</v>
      </c>
      <c r="AY179" s="19">
        <v>10</v>
      </c>
      <c r="AZ179" s="16">
        <f t="shared" si="35"/>
        <v>4000</v>
      </c>
      <c r="BA179" s="16">
        <f t="shared" si="36"/>
        <v>10500</v>
      </c>
      <c r="BB179" s="16">
        <f t="shared" si="37"/>
        <v>162000</v>
      </c>
    </row>
    <row r="180" spans="33:54" ht="16.5" x14ac:dyDescent="0.2">
      <c r="AG180" s="27">
        <v>176</v>
      </c>
      <c r="AH180" s="27">
        <v>13</v>
      </c>
      <c r="AI180" s="27">
        <v>14</v>
      </c>
      <c r="AJ180" s="27">
        <f t="shared" si="29"/>
        <v>80</v>
      </c>
      <c r="AK180" s="27">
        <f t="shared" si="30"/>
        <v>148</v>
      </c>
      <c r="AL180" s="27">
        <f t="shared" si="31"/>
        <v>1338</v>
      </c>
      <c r="AO180" s="19">
        <v>176</v>
      </c>
      <c r="AP180" s="27">
        <v>14</v>
      </c>
      <c r="AQ180" s="19">
        <v>10</v>
      </c>
      <c r="AR180" s="16">
        <f t="shared" si="32"/>
        <v>2000</v>
      </c>
      <c r="AS180" s="16">
        <f t="shared" si="33"/>
        <v>5250</v>
      </c>
      <c r="AT180" s="16">
        <f t="shared" si="34"/>
        <v>108000</v>
      </c>
      <c r="AW180" s="19">
        <v>176</v>
      </c>
      <c r="AX180" s="27">
        <v>14</v>
      </c>
      <c r="AY180" s="19">
        <v>11</v>
      </c>
      <c r="AZ180" s="16">
        <f t="shared" si="35"/>
        <v>4000</v>
      </c>
      <c r="BA180" s="16">
        <f t="shared" si="36"/>
        <v>10500</v>
      </c>
      <c r="BB180" s="16">
        <f t="shared" si="37"/>
        <v>162000</v>
      </c>
    </row>
    <row r="181" spans="33:54" ht="16.5" x14ac:dyDescent="0.2">
      <c r="AG181" s="27">
        <v>177</v>
      </c>
      <c r="AH181" s="27">
        <v>13</v>
      </c>
      <c r="AI181" s="27">
        <v>15</v>
      </c>
      <c r="AJ181" s="27">
        <f t="shared" si="29"/>
        <v>80</v>
      </c>
      <c r="AK181" s="27">
        <f t="shared" si="30"/>
        <v>150</v>
      </c>
      <c r="AL181" s="27">
        <f t="shared" si="31"/>
        <v>1360</v>
      </c>
      <c r="AO181" s="19">
        <v>177</v>
      </c>
      <c r="AP181" s="27">
        <v>14</v>
      </c>
      <c r="AQ181" s="19">
        <v>11</v>
      </c>
      <c r="AR181" s="16">
        <f t="shared" si="32"/>
        <v>2000</v>
      </c>
      <c r="AS181" s="16">
        <f t="shared" si="33"/>
        <v>5250</v>
      </c>
      <c r="AT181" s="16">
        <f t="shared" si="34"/>
        <v>108000</v>
      </c>
      <c r="AW181" s="19">
        <v>177</v>
      </c>
      <c r="AX181" s="27">
        <v>14</v>
      </c>
      <c r="AY181" s="19">
        <v>12</v>
      </c>
      <c r="AZ181" s="16">
        <f t="shared" si="35"/>
        <v>4000</v>
      </c>
      <c r="BA181" s="16">
        <f t="shared" si="36"/>
        <v>10500</v>
      </c>
      <c r="BB181" s="16">
        <f t="shared" si="37"/>
        <v>162000</v>
      </c>
    </row>
    <row r="182" spans="33:54" ht="16.5" x14ac:dyDescent="0.2">
      <c r="AG182" s="27">
        <v>178</v>
      </c>
      <c r="AH182" s="27">
        <v>14</v>
      </c>
      <c r="AI182" s="27">
        <v>1</v>
      </c>
      <c r="AJ182" s="27">
        <f t="shared" si="29"/>
        <v>100</v>
      </c>
      <c r="AK182" s="27">
        <f t="shared" si="30"/>
        <v>151</v>
      </c>
      <c r="AL182" s="27">
        <f t="shared" si="31"/>
        <v>1389</v>
      </c>
      <c r="AO182" s="19">
        <v>178</v>
      </c>
      <c r="AP182" s="27">
        <v>14</v>
      </c>
      <c r="AQ182" s="19">
        <v>12</v>
      </c>
      <c r="AR182" s="16">
        <f t="shared" si="32"/>
        <v>2000</v>
      </c>
      <c r="AS182" s="16">
        <f t="shared" si="33"/>
        <v>5250</v>
      </c>
      <c r="AT182" s="16">
        <f t="shared" si="34"/>
        <v>108000</v>
      </c>
      <c r="AW182" s="19">
        <v>178</v>
      </c>
      <c r="AX182" s="27">
        <v>14</v>
      </c>
      <c r="AY182" s="19">
        <v>13</v>
      </c>
      <c r="AZ182" s="16">
        <f t="shared" si="35"/>
        <v>4000</v>
      </c>
      <c r="BA182" s="16">
        <f t="shared" si="36"/>
        <v>10500</v>
      </c>
      <c r="BB182" s="16">
        <f t="shared" si="37"/>
        <v>162000</v>
      </c>
    </row>
    <row r="183" spans="33:54" ht="16.5" x14ac:dyDescent="0.2">
      <c r="AG183" s="27">
        <v>179</v>
      </c>
      <c r="AH183" s="27">
        <v>14</v>
      </c>
      <c r="AI183" s="27">
        <v>2</v>
      </c>
      <c r="AJ183" s="27">
        <f t="shared" si="29"/>
        <v>100</v>
      </c>
      <c r="AK183" s="27">
        <f t="shared" si="30"/>
        <v>153</v>
      </c>
      <c r="AL183" s="27">
        <f t="shared" si="31"/>
        <v>1418</v>
      </c>
      <c r="AO183" s="19">
        <v>179</v>
      </c>
      <c r="AP183" s="27">
        <v>14</v>
      </c>
      <c r="AQ183" s="19">
        <v>13</v>
      </c>
      <c r="AR183" s="16">
        <f t="shared" si="32"/>
        <v>2000</v>
      </c>
      <c r="AS183" s="16">
        <f t="shared" si="33"/>
        <v>5250</v>
      </c>
      <c r="AT183" s="16">
        <f t="shared" si="34"/>
        <v>108000</v>
      </c>
      <c r="AW183" s="19">
        <v>179</v>
      </c>
      <c r="AX183" s="27">
        <v>14</v>
      </c>
      <c r="AY183" s="19">
        <v>14</v>
      </c>
      <c r="AZ183" s="16">
        <f t="shared" si="35"/>
        <v>4000</v>
      </c>
      <c r="BA183" s="16">
        <f t="shared" si="36"/>
        <v>10500</v>
      </c>
      <c r="BB183" s="16">
        <f t="shared" si="37"/>
        <v>162000</v>
      </c>
    </row>
    <row r="184" spans="33:54" ht="16.5" x14ac:dyDescent="0.2">
      <c r="AG184" s="27">
        <v>180</v>
      </c>
      <c r="AH184" s="27">
        <v>14</v>
      </c>
      <c r="AI184" s="27">
        <v>3</v>
      </c>
      <c r="AJ184" s="27">
        <f t="shared" si="29"/>
        <v>100</v>
      </c>
      <c r="AK184" s="27">
        <f t="shared" si="30"/>
        <v>155</v>
      </c>
      <c r="AL184" s="27">
        <f t="shared" si="31"/>
        <v>1448</v>
      </c>
      <c r="AO184" s="19">
        <v>180</v>
      </c>
      <c r="AP184" s="27">
        <v>14</v>
      </c>
      <c r="AQ184" s="19">
        <v>14</v>
      </c>
      <c r="AR184" s="16">
        <f t="shared" si="32"/>
        <v>2000</v>
      </c>
      <c r="AS184" s="16">
        <f t="shared" si="33"/>
        <v>5250</v>
      </c>
      <c r="AT184" s="16">
        <f t="shared" si="34"/>
        <v>108000</v>
      </c>
      <c r="AW184" s="19">
        <v>180</v>
      </c>
      <c r="AX184" s="27">
        <v>14</v>
      </c>
      <c r="AY184" s="19">
        <v>15</v>
      </c>
      <c r="AZ184" s="16">
        <f t="shared" si="35"/>
        <v>4000</v>
      </c>
      <c r="BA184" s="16">
        <f t="shared" si="36"/>
        <v>10500</v>
      </c>
      <c r="BB184" s="16">
        <f t="shared" si="37"/>
        <v>162000</v>
      </c>
    </row>
    <row r="185" spans="33:54" ht="16.5" x14ac:dyDescent="0.2">
      <c r="AG185" s="27">
        <v>181</v>
      </c>
      <c r="AH185" s="27">
        <v>14</v>
      </c>
      <c r="AI185" s="27">
        <v>4</v>
      </c>
      <c r="AJ185" s="27">
        <f t="shared" si="29"/>
        <v>100</v>
      </c>
      <c r="AK185" s="27">
        <f t="shared" si="30"/>
        <v>156</v>
      </c>
      <c r="AL185" s="27">
        <f t="shared" si="31"/>
        <v>1477</v>
      </c>
      <c r="AO185" s="19">
        <v>181</v>
      </c>
      <c r="AP185" s="27">
        <v>14</v>
      </c>
      <c r="AQ185" s="19">
        <v>15</v>
      </c>
      <c r="AR185" s="16">
        <f t="shared" si="32"/>
        <v>2000</v>
      </c>
      <c r="AS185" s="16">
        <f t="shared" si="33"/>
        <v>5250</v>
      </c>
      <c r="AT185" s="16">
        <f t="shared" si="34"/>
        <v>108000</v>
      </c>
      <c r="AW185" s="19">
        <v>181</v>
      </c>
      <c r="AX185" s="27">
        <v>15</v>
      </c>
      <c r="AY185" s="19">
        <v>1</v>
      </c>
      <c r="AZ185" s="16">
        <f t="shared" si="35"/>
        <v>5000</v>
      </c>
      <c r="BA185" s="16">
        <f t="shared" si="36"/>
        <v>12000</v>
      </c>
      <c r="BB185" s="16">
        <f t="shared" si="37"/>
        <v>225000</v>
      </c>
    </row>
    <row r="186" spans="33:54" ht="16.5" x14ac:dyDescent="0.2">
      <c r="AG186" s="27">
        <v>182</v>
      </c>
      <c r="AH186" s="27">
        <v>14</v>
      </c>
      <c r="AI186" s="27">
        <v>5</v>
      </c>
      <c r="AJ186" s="27">
        <f t="shared" si="29"/>
        <v>100</v>
      </c>
      <c r="AK186" s="27">
        <f t="shared" si="30"/>
        <v>158</v>
      </c>
      <c r="AL186" s="27">
        <f t="shared" si="31"/>
        <v>1506</v>
      </c>
      <c r="AO186" s="19">
        <v>182</v>
      </c>
      <c r="AP186" s="27">
        <v>15</v>
      </c>
      <c r="AQ186" s="19">
        <v>1</v>
      </c>
      <c r="AR186" s="16">
        <f t="shared" si="32"/>
        <v>2500</v>
      </c>
      <c r="AS186" s="16">
        <f t="shared" si="33"/>
        <v>6000</v>
      </c>
      <c r="AT186" s="16">
        <f t="shared" si="34"/>
        <v>150000</v>
      </c>
      <c r="AW186" s="19">
        <v>182</v>
      </c>
      <c r="AX186" s="27">
        <v>15</v>
      </c>
      <c r="AY186" s="19">
        <v>2</v>
      </c>
      <c r="AZ186" s="16">
        <f t="shared" si="35"/>
        <v>5000</v>
      </c>
      <c r="BA186" s="16">
        <f t="shared" si="36"/>
        <v>12000</v>
      </c>
      <c r="BB186" s="16">
        <f t="shared" si="37"/>
        <v>225000</v>
      </c>
    </row>
    <row r="187" spans="33:54" ht="16.5" x14ac:dyDescent="0.2">
      <c r="AG187" s="27">
        <v>183</v>
      </c>
      <c r="AH187" s="27">
        <v>14</v>
      </c>
      <c r="AI187" s="27">
        <v>6</v>
      </c>
      <c r="AJ187" s="27">
        <f t="shared" si="29"/>
        <v>100</v>
      </c>
      <c r="AK187" s="27">
        <f t="shared" si="30"/>
        <v>160</v>
      </c>
      <c r="AL187" s="27">
        <f t="shared" si="31"/>
        <v>1536</v>
      </c>
      <c r="AO187" s="19">
        <v>183</v>
      </c>
      <c r="AP187" s="27">
        <v>15</v>
      </c>
      <c r="AQ187" s="19">
        <v>2</v>
      </c>
      <c r="AR187" s="16">
        <f t="shared" si="32"/>
        <v>2500</v>
      </c>
      <c r="AS187" s="16">
        <f t="shared" si="33"/>
        <v>6000</v>
      </c>
      <c r="AT187" s="16">
        <f t="shared" si="34"/>
        <v>150000</v>
      </c>
      <c r="AW187" s="19">
        <v>183</v>
      </c>
      <c r="AX187" s="27">
        <v>15</v>
      </c>
      <c r="AY187" s="19">
        <v>3</v>
      </c>
      <c r="AZ187" s="16">
        <f t="shared" si="35"/>
        <v>5000</v>
      </c>
      <c r="BA187" s="16">
        <f t="shared" si="36"/>
        <v>12000</v>
      </c>
      <c r="BB187" s="16">
        <f t="shared" si="37"/>
        <v>225000</v>
      </c>
    </row>
    <row r="188" spans="33:54" ht="16.5" x14ac:dyDescent="0.2">
      <c r="AG188" s="27">
        <v>184</v>
      </c>
      <c r="AH188" s="27">
        <v>14</v>
      </c>
      <c r="AI188" s="27">
        <v>7</v>
      </c>
      <c r="AJ188" s="27">
        <f t="shared" si="29"/>
        <v>100</v>
      </c>
      <c r="AK188" s="27">
        <f t="shared" si="30"/>
        <v>161</v>
      </c>
      <c r="AL188" s="27">
        <f t="shared" si="31"/>
        <v>1565</v>
      </c>
      <c r="AO188" s="19">
        <v>184</v>
      </c>
      <c r="AP188" s="27">
        <v>15</v>
      </c>
      <c r="AQ188" s="19">
        <v>3</v>
      </c>
      <c r="AR188" s="16">
        <f t="shared" si="32"/>
        <v>2500</v>
      </c>
      <c r="AS188" s="16">
        <f t="shared" si="33"/>
        <v>6000</v>
      </c>
      <c r="AT188" s="16">
        <f t="shared" si="34"/>
        <v>150000</v>
      </c>
      <c r="AW188" s="19">
        <v>184</v>
      </c>
      <c r="AX188" s="27">
        <v>15</v>
      </c>
      <c r="AY188" s="19">
        <v>4</v>
      </c>
      <c r="AZ188" s="16">
        <f t="shared" si="35"/>
        <v>5000</v>
      </c>
      <c r="BA188" s="16">
        <f t="shared" si="36"/>
        <v>12000</v>
      </c>
      <c r="BB188" s="16">
        <f t="shared" si="37"/>
        <v>225000</v>
      </c>
    </row>
    <row r="189" spans="33:54" ht="16.5" x14ac:dyDescent="0.2">
      <c r="AG189" s="27">
        <v>185</v>
      </c>
      <c r="AH189" s="27">
        <v>14</v>
      </c>
      <c r="AI189" s="27">
        <v>8</v>
      </c>
      <c r="AJ189" s="27">
        <f t="shared" si="29"/>
        <v>100</v>
      </c>
      <c r="AK189" s="27">
        <f t="shared" si="30"/>
        <v>163</v>
      </c>
      <c r="AL189" s="27">
        <f t="shared" si="31"/>
        <v>1594</v>
      </c>
      <c r="AO189" s="19">
        <v>185</v>
      </c>
      <c r="AP189" s="27">
        <v>15</v>
      </c>
      <c r="AQ189" s="19">
        <v>4</v>
      </c>
      <c r="AR189" s="16">
        <f t="shared" si="32"/>
        <v>2500</v>
      </c>
      <c r="AS189" s="16">
        <f t="shared" si="33"/>
        <v>6000</v>
      </c>
      <c r="AT189" s="16">
        <f t="shared" si="34"/>
        <v>150000</v>
      </c>
      <c r="AW189" s="19">
        <v>185</v>
      </c>
      <c r="AX189" s="27">
        <v>15</v>
      </c>
      <c r="AY189" s="19">
        <v>5</v>
      </c>
      <c r="AZ189" s="16">
        <f t="shared" si="35"/>
        <v>5000</v>
      </c>
      <c r="BA189" s="16">
        <f t="shared" si="36"/>
        <v>12000</v>
      </c>
      <c r="BB189" s="16">
        <f t="shared" si="37"/>
        <v>225000</v>
      </c>
    </row>
    <row r="190" spans="33:54" ht="16.5" x14ac:dyDescent="0.2">
      <c r="AG190" s="27">
        <v>186</v>
      </c>
      <c r="AH190" s="27">
        <v>14</v>
      </c>
      <c r="AI190" s="27">
        <v>9</v>
      </c>
      <c r="AJ190" s="27">
        <f t="shared" si="29"/>
        <v>100</v>
      </c>
      <c r="AK190" s="27">
        <f t="shared" si="30"/>
        <v>165</v>
      </c>
      <c r="AL190" s="27">
        <f t="shared" si="31"/>
        <v>1624</v>
      </c>
      <c r="AO190" s="19">
        <v>186</v>
      </c>
      <c r="AP190" s="27">
        <v>15</v>
      </c>
      <c r="AQ190" s="19">
        <v>5</v>
      </c>
      <c r="AR190" s="16">
        <f t="shared" si="32"/>
        <v>2500</v>
      </c>
      <c r="AS190" s="16">
        <f t="shared" si="33"/>
        <v>6000</v>
      </c>
      <c r="AT190" s="16">
        <f t="shared" si="34"/>
        <v>150000</v>
      </c>
      <c r="AW190" s="19">
        <v>186</v>
      </c>
      <c r="AX190" s="27">
        <v>15</v>
      </c>
      <c r="AY190" s="19">
        <v>6</v>
      </c>
      <c r="AZ190" s="16">
        <f t="shared" si="35"/>
        <v>5000</v>
      </c>
      <c r="BA190" s="16">
        <f t="shared" si="36"/>
        <v>12000</v>
      </c>
      <c r="BB190" s="16">
        <f t="shared" si="37"/>
        <v>225000</v>
      </c>
    </row>
    <row r="191" spans="33:54" ht="16.5" x14ac:dyDescent="0.2">
      <c r="AG191" s="27">
        <v>187</v>
      </c>
      <c r="AH191" s="27">
        <v>14</v>
      </c>
      <c r="AI191" s="27">
        <v>10</v>
      </c>
      <c r="AJ191" s="27">
        <f t="shared" si="29"/>
        <v>100</v>
      </c>
      <c r="AK191" s="27">
        <f t="shared" si="30"/>
        <v>166</v>
      </c>
      <c r="AL191" s="27">
        <f t="shared" si="31"/>
        <v>1653</v>
      </c>
      <c r="AO191" s="19">
        <v>187</v>
      </c>
      <c r="AP191" s="27">
        <v>15</v>
      </c>
      <c r="AQ191" s="19">
        <v>6</v>
      </c>
      <c r="AR191" s="16">
        <f t="shared" si="32"/>
        <v>2500</v>
      </c>
      <c r="AS191" s="16">
        <f t="shared" si="33"/>
        <v>6000</v>
      </c>
      <c r="AT191" s="16">
        <f t="shared" si="34"/>
        <v>150000</v>
      </c>
      <c r="AW191" s="19">
        <v>187</v>
      </c>
      <c r="AX191" s="27">
        <v>15</v>
      </c>
      <c r="AY191" s="19">
        <v>7</v>
      </c>
      <c r="AZ191" s="16">
        <f t="shared" si="35"/>
        <v>5000</v>
      </c>
      <c r="BA191" s="16">
        <f t="shared" si="36"/>
        <v>12000</v>
      </c>
      <c r="BB191" s="16">
        <f t="shared" si="37"/>
        <v>225000</v>
      </c>
    </row>
    <row r="192" spans="33:54" ht="16.5" x14ac:dyDescent="0.2">
      <c r="AG192" s="27">
        <v>188</v>
      </c>
      <c r="AH192" s="27">
        <v>14</v>
      </c>
      <c r="AI192" s="27">
        <v>11</v>
      </c>
      <c r="AJ192" s="27">
        <f t="shared" si="29"/>
        <v>100</v>
      </c>
      <c r="AK192" s="27">
        <f t="shared" si="30"/>
        <v>168</v>
      </c>
      <c r="AL192" s="27">
        <f t="shared" si="31"/>
        <v>1682</v>
      </c>
      <c r="AO192" s="19">
        <v>188</v>
      </c>
      <c r="AP192" s="27">
        <v>15</v>
      </c>
      <c r="AQ192" s="19">
        <v>7</v>
      </c>
      <c r="AR192" s="16">
        <f t="shared" si="32"/>
        <v>2500</v>
      </c>
      <c r="AS192" s="16">
        <f t="shared" si="33"/>
        <v>6000</v>
      </c>
      <c r="AT192" s="16">
        <f t="shared" si="34"/>
        <v>150000</v>
      </c>
      <c r="AW192" s="19">
        <v>188</v>
      </c>
      <c r="AX192" s="27">
        <v>15</v>
      </c>
      <c r="AY192" s="19">
        <v>8</v>
      </c>
      <c r="AZ192" s="16">
        <f t="shared" si="35"/>
        <v>5000</v>
      </c>
      <c r="BA192" s="16">
        <f t="shared" si="36"/>
        <v>12000</v>
      </c>
      <c r="BB192" s="16">
        <f t="shared" si="37"/>
        <v>225000</v>
      </c>
    </row>
    <row r="193" spans="33:54" ht="16.5" x14ac:dyDescent="0.2">
      <c r="AG193" s="27">
        <v>189</v>
      </c>
      <c r="AH193" s="27">
        <v>14</v>
      </c>
      <c r="AI193" s="27">
        <v>12</v>
      </c>
      <c r="AJ193" s="27">
        <f t="shared" si="29"/>
        <v>100</v>
      </c>
      <c r="AK193" s="27">
        <f t="shared" si="30"/>
        <v>170</v>
      </c>
      <c r="AL193" s="27">
        <f t="shared" si="31"/>
        <v>1712</v>
      </c>
      <c r="AO193" s="19">
        <v>189</v>
      </c>
      <c r="AP193" s="27">
        <v>15</v>
      </c>
      <c r="AQ193" s="19">
        <v>8</v>
      </c>
      <c r="AR193" s="16">
        <f t="shared" si="32"/>
        <v>2500</v>
      </c>
      <c r="AS193" s="16">
        <f t="shared" si="33"/>
        <v>6000</v>
      </c>
      <c r="AT193" s="16">
        <f t="shared" si="34"/>
        <v>150000</v>
      </c>
      <c r="AW193" s="19">
        <v>189</v>
      </c>
      <c r="AX193" s="27">
        <v>15</v>
      </c>
      <c r="AY193" s="19">
        <v>9</v>
      </c>
      <c r="AZ193" s="16">
        <f t="shared" si="35"/>
        <v>5000</v>
      </c>
      <c r="BA193" s="16">
        <f t="shared" si="36"/>
        <v>12000</v>
      </c>
      <c r="BB193" s="16">
        <f t="shared" si="37"/>
        <v>225000</v>
      </c>
    </row>
    <row r="194" spans="33:54" ht="16.5" x14ac:dyDescent="0.2">
      <c r="AG194" s="27">
        <v>190</v>
      </c>
      <c r="AH194" s="27">
        <v>14</v>
      </c>
      <c r="AI194" s="27">
        <v>13</v>
      </c>
      <c r="AJ194" s="27">
        <f t="shared" si="29"/>
        <v>100</v>
      </c>
      <c r="AK194" s="27">
        <f t="shared" si="30"/>
        <v>171</v>
      </c>
      <c r="AL194" s="27">
        <f t="shared" si="31"/>
        <v>1741</v>
      </c>
      <c r="AO194" s="19">
        <v>190</v>
      </c>
      <c r="AP194" s="27">
        <v>15</v>
      </c>
      <c r="AQ194" s="19">
        <v>9</v>
      </c>
      <c r="AR194" s="16">
        <f t="shared" si="32"/>
        <v>2500</v>
      </c>
      <c r="AS194" s="16">
        <f t="shared" si="33"/>
        <v>6000</v>
      </c>
      <c r="AT194" s="16">
        <f t="shared" si="34"/>
        <v>150000</v>
      </c>
      <c r="AW194" s="19">
        <v>190</v>
      </c>
      <c r="AX194" s="27">
        <v>15</v>
      </c>
      <c r="AY194" s="19">
        <v>10</v>
      </c>
      <c r="AZ194" s="16">
        <f t="shared" si="35"/>
        <v>5000</v>
      </c>
      <c r="BA194" s="16">
        <f t="shared" si="36"/>
        <v>12000</v>
      </c>
      <c r="BB194" s="16">
        <f t="shared" si="37"/>
        <v>225000</v>
      </c>
    </row>
    <row r="195" spans="33:54" ht="16.5" x14ac:dyDescent="0.2">
      <c r="AG195" s="27">
        <v>191</v>
      </c>
      <c r="AH195" s="27">
        <v>14</v>
      </c>
      <c r="AI195" s="27">
        <v>14</v>
      </c>
      <c r="AJ195" s="27">
        <f t="shared" si="29"/>
        <v>100</v>
      </c>
      <c r="AK195" s="27">
        <f t="shared" si="30"/>
        <v>173</v>
      </c>
      <c r="AL195" s="27">
        <f t="shared" si="31"/>
        <v>1770</v>
      </c>
      <c r="AO195" s="19">
        <v>191</v>
      </c>
      <c r="AP195" s="27">
        <v>15</v>
      </c>
      <c r="AQ195" s="19">
        <v>10</v>
      </c>
      <c r="AR195" s="16">
        <f t="shared" si="32"/>
        <v>2500</v>
      </c>
      <c r="AS195" s="16">
        <f t="shared" si="33"/>
        <v>6000</v>
      </c>
      <c r="AT195" s="16">
        <f t="shared" si="34"/>
        <v>150000</v>
      </c>
      <c r="AW195" s="19">
        <v>191</v>
      </c>
      <c r="AX195" s="27">
        <v>15</v>
      </c>
      <c r="AY195" s="19">
        <v>11</v>
      </c>
      <c r="AZ195" s="16">
        <f t="shared" si="35"/>
        <v>5000</v>
      </c>
      <c r="BA195" s="16">
        <f t="shared" si="36"/>
        <v>12000</v>
      </c>
      <c r="BB195" s="16">
        <f t="shared" si="37"/>
        <v>225000</v>
      </c>
    </row>
    <row r="196" spans="33:54" ht="16.5" x14ac:dyDescent="0.2">
      <c r="AG196" s="27">
        <v>192</v>
      </c>
      <c r="AH196" s="27">
        <v>14</v>
      </c>
      <c r="AI196" s="27">
        <v>15</v>
      </c>
      <c r="AJ196" s="27">
        <f t="shared" si="29"/>
        <v>100</v>
      </c>
      <c r="AK196" s="27">
        <f t="shared" si="30"/>
        <v>175</v>
      </c>
      <c r="AL196" s="27">
        <f t="shared" si="31"/>
        <v>1800</v>
      </c>
      <c r="AO196" s="19">
        <v>192</v>
      </c>
      <c r="AP196" s="27">
        <v>15</v>
      </c>
      <c r="AQ196" s="19">
        <v>11</v>
      </c>
      <c r="AR196" s="16">
        <f t="shared" si="32"/>
        <v>2500</v>
      </c>
      <c r="AS196" s="16">
        <f t="shared" si="33"/>
        <v>6000</v>
      </c>
      <c r="AT196" s="16">
        <f t="shared" si="34"/>
        <v>150000</v>
      </c>
      <c r="AW196" s="19">
        <v>192</v>
      </c>
      <c r="AX196" s="27">
        <v>15</v>
      </c>
      <c r="AY196" s="19">
        <v>12</v>
      </c>
      <c r="AZ196" s="16">
        <f t="shared" si="35"/>
        <v>5000</v>
      </c>
      <c r="BA196" s="16">
        <f t="shared" si="36"/>
        <v>12000</v>
      </c>
      <c r="BB196" s="16">
        <f t="shared" si="37"/>
        <v>225000</v>
      </c>
    </row>
    <row r="197" spans="33:54" ht="16.5" x14ac:dyDescent="0.2">
      <c r="AG197" s="27">
        <v>193</v>
      </c>
      <c r="AH197" s="27">
        <v>15</v>
      </c>
      <c r="AI197" s="27">
        <v>1</v>
      </c>
      <c r="AJ197" s="27">
        <f t="shared" ref="AJ197:AJ211" si="38">INDEX($C$6:$C$20,AH197)</f>
        <v>125</v>
      </c>
      <c r="AK197" s="27">
        <f t="shared" si="30"/>
        <v>176</v>
      </c>
      <c r="AL197" s="27">
        <f t="shared" si="31"/>
        <v>1846</v>
      </c>
      <c r="AO197" s="19">
        <v>193</v>
      </c>
      <c r="AP197" s="27">
        <v>15</v>
      </c>
      <c r="AQ197" s="19">
        <v>12</v>
      </c>
      <c r="AR197" s="16">
        <f t="shared" si="32"/>
        <v>2500</v>
      </c>
      <c r="AS197" s="16">
        <f t="shared" si="33"/>
        <v>6000</v>
      </c>
      <c r="AT197" s="16">
        <f t="shared" si="34"/>
        <v>150000</v>
      </c>
      <c r="AW197" s="19">
        <v>193</v>
      </c>
      <c r="AX197" s="27">
        <v>15</v>
      </c>
      <c r="AY197" s="19">
        <v>13</v>
      </c>
      <c r="AZ197" s="16">
        <f t="shared" si="35"/>
        <v>5000</v>
      </c>
      <c r="BA197" s="16">
        <f t="shared" si="36"/>
        <v>12000</v>
      </c>
      <c r="BB197" s="16">
        <f t="shared" si="37"/>
        <v>225000</v>
      </c>
    </row>
    <row r="198" spans="33:54" ht="16.5" x14ac:dyDescent="0.2">
      <c r="AG198" s="27">
        <v>194</v>
      </c>
      <c r="AH198" s="27">
        <v>15</v>
      </c>
      <c r="AI198" s="27">
        <v>2</v>
      </c>
      <c r="AJ198" s="27">
        <f t="shared" si="38"/>
        <v>125</v>
      </c>
      <c r="AK198" s="27">
        <f t="shared" ref="AK198:AK211" si="39">INT(INDEX($E$5:$E$20,AH198)+AI198*INDEX($F$6:$F$20,AH198))</f>
        <v>178</v>
      </c>
      <c r="AL198" s="27">
        <f t="shared" ref="AL198:AL211" si="40">INT(INDEX($H$5:$H$20,AH198)+AI198*INDEX($I$6:$I$20,AH198))</f>
        <v>1893</v>
      </c>
      <c r="AO198" s="19">
        <v>194</v>
      </c>
      <c r="AP198" s="27">
        <v>15</v>
      </c>
      <c r="AQ198" s="19">
        <v>13</v>
      </c>
      <c r="AR198" s="16">
        <f t="shared" ref="AR198:AR200" si="41">INDEX($N$6:$N$20,AP198)</f>
        <v>2500</v>
      </c>
      <c r="AS198" s="16">
        <f t="shared" ref="AS198:AS200" si="42">INDEX($P$6:$P$20,AP198)</f>
        <v>6000</v>
      </c>
      <c r="AT198" s="16">
        <f t="shared" ref="AT198:AT200" si="43">INDEX($R$6:$R$20,AP198)</f>
        <v>150000</v>
      </c>
      <c r="AW198" s="19">
        <v>194</v>
      </c>
      <c r="AX198" s="27">
        <v>15</v>
      </c>
      <c r="AY198" s="19">
        <v>14</v>
      </c>
      <c r="AZ198" s="16">
        <f t="shared" ref="AZ198:AZ199" si="44">INDEX($Y$6:$Y$20,AX198)</f>
        <v>5000</v>
      </c>
      <c r="BA198" s="16">
        <f t="shared" ref="BA198:BA199" si="45">INDEX($AA$6:$AA$20,AX198)</f>
        <v>12000</v>
      </c>
      <c r="BB198" s="16">
        <f t="shared" ref="BB198:BB199" si="46">INDEX($AC$6:$AC$20,AX198)</f>
        <v>225000</v>
      </c>
    </row>
    <row r="199" spans="33:54" ht="16.5" x14ac:dyDescent="0.2">
      <c r="AG199" s="27">
        <v>195</v>
      </c>
      <c r="AH199" s="27">
        <v>15</v>
      </c>
      <c r="AI199" s="27">
        <v>3</v>
      </c>
      <c r="AJ199" s="27">
        <f t="shared" si="38"/>
        <v>125</v>
      </c>
      <c r="AK199" s="27">
        <f t="shared" si="39"/>
        <v>180</v>
      </c>
      <c r="AL199" s="27">
        <f t="shared" si="40"/>
        <v>1940</v>
      </c>
      <c r="AO199" s="19">
        <v>195</v>
      </c>
      <c r="AP199" s="27">
        <v>15</v>
      </c>
      <c r="AQ199" s="19">
        <v>14</v>
      </c>
      <c r="AR199" s="16">
        <f t="shared" si="41"/>
        <v>2500</v>
      </c>
      <c r="AS199" s="16">
        <f t="shared" si="42"/>
        <v>6000</v>
      </c>
      <c r="AT199" s="16">
        <f t="shared" si="43"/>
        <v>150000</v>
      </c>
      <c r="AW199" s="19">
        <v>195</v>
      </c>
      <c r="AX199" s="27">
        <v>15</v>
      </c>
      <c r="AY199" s="19">
        <v>15</v>
      </c>
      <c r="AZ199" s="16">
        <f t="shared" si="44"/>
        <v>5000</v>
      </c>
      <c r="BA199" s="16">
        <f t="shared" si="45"/>
        <v>12000</v>
      </c>
      <c r="BB199" s="16">
        <f t="shared" si="46"/>
        <v>225000</v>
      </c>
    </row>
    <row r="200" spans="33:54" ht="16.5" x14ac:dyDescent="0.2">
      <c r="AG200" s="27">
        <v>196</v>
      </c>
      <c r="AH200" s="27">
        <v>15</v>
      </c>
      <c r="AI200" s="27">
        <v>4</v>
      </c>
      <c r="AJ200" s="27">
        <f t="shared" si="38"/>
        <v>125</v>
      </c>
      <c r="AK200" s="27">
        <f t="shared" si="39"/>
        <v>181</v>
      </c>
      <c r="AL200" s="27">
        <f t="shared" si="40"/>
        <v>1986</v>
      </c>
      <c r="AO200" s="19">
        <v>196</v>
      </c>
      <c r="AP200" s="27">
        <v>15</v>
      </c>
      <c r="AQ200" s="19">
        <v>15</v>
      </c>
      <c r="AR200" s="16">
        <f t="shared" si="41"/>
        <v>2500</v>
      </c>
      <c r="AS200" s="16">
        <f t="shared" si="42"/>
        <v>6000</v>
      </c>
      <c r="AT200" s="16">
        <f t="shared" si="43"/>
        <v>150000</v>
      </c>
      <c r="AW200" s="17"/>
      <c r="AX200" s="17"/>
      <c r="AY200" s="17"/>
      <c r="AZ200" s="17"/>
      <c r="BA200" s="17"/>
      <c r="BB200" s="17"/>
    </row>
    <row r="201" spans="33:54" ht="16.5" x14ac:dyDescent="0.2">
      <c r="AG201" s="27">
        <v>197</v>
      </c>
      <c r="AH201" s="27">
        <v>15</v>
      </c>
      <c r="AI201" s="27">
        <v>5</v>
      </c>
      <c r="AJ201" s="27">
        <f t="shared" si="38"/>
        <v>125</v>
      </c>
      <c r="AK201" s="27">
        <f t="shared" si="39"/>
        <v>183</v>
      </c>
      <c r="AL201" s="27">
        <f t="shared" si="40"/>
        <v>2033</v>
      </c>
      <c r="AO201" s="17"/>
      <c r="AP201" s="17"/>
      <c r="AQ201" s="17"/>
      <c r="AR201" s="17"/>
      <c r="AS201" s="17"/>
      <c r="AT201" s="17"/>
      <c r="AW201" s="17"/>
      <c r="AX201" s="17"/>
      <c r="AY201" s="17"/>
      <c r="AZ201" s="17"/>
      <c r="BA201" s="17"/>
      <c r="BB201" s="17"/>
    </row>
    <row r="202" spans="33:54" ht="16.5" x14ac:dyDescent="0.2">
      <c r="AG202" s="27">
        <v>198</v>
      </c>
      <c r="AH202" s="27">
        <v>15</v>
      </c>
      <c r="AI202" s="27">
        <v>6</v>
      </c>
      <c r="AJ202" s="27">
        <f t="shared" si="38"/>
        <v>125</v>
      </c>
      <c r="AK202" s="27">
        <f t="shared" si="39"/>
        <v>185</v>
      </c>
      <c r="AL202" s="27">
        <f t="shared" si="40"/>
        <v>2080</v>
      </c>
      <c r="AO202" s="17"/>
      <c r="AP202" s="17"/>
      <c r="AQ202" s="17"/>
      <c r="AR202" s="17"/>
      <c r="AS202" s="17"/>
      <c r="AT202" s="17"/>
      <c r="AW202" s="17"/>
      <c r="AX202" s="17"/>
      <c r="AY202" s="17"/>
      <c r="AZ202" s="17"/>
      <c r="BA202" s="17"/>
      <c r="BB202" s="17"/>
    </row>
    <row r="203" spans="33:54" ht="16.5" x14ac:dyDescent="0.2">
      <c r="AG203" s="27">
        <v>199</v>
      </c>
      <c r="AH203" s="27">
        <v>15</v>
      </c>
      <c r="AI203" s="27">
        <v>7</v>
      </c>
      <c r="AJ203" s="27">
        <f t="shared" si="38"/>
        <v>125</v>
      </c>
      <c r="AK203" s="27">
        <f t="shared" si="39"/>
        <v>186</v>
      </c>
      <c r="AL203" s="27">
        <f t="shared" si="40"/>
        <v>2126</v>
      </c>
      <c r="AO203" s="17"/>
      <c r="AP203" s="17"/>
      <c r="AQ203" s="17"/>
      <c r="AR203" s="17"/>
      <c r="AS203" s="17"/>
      <c r="AT203" s="17"/>
      <c r="AW203" s="17"/>
      <c r="AX203" s="17"/>
      <c r="AY203" s="17"/>
      <c r="AZ203" s="17"/>
      <c r="BA203" s="17"/>
      <c r="BB203" s="17"/>
    </row>
    <row r="204" spans="33:54" ht="16.5" x14ac:dyDescent="0.2">
      <c r="AG204" s="27">
        <v>200</v>
      </c>
      <c r="AH204" s="27">
        <v>15</v>
      </c>
      <c r="AI204" s="27">
        <v>8</v>
      </c>
      <c r="AJ204" s="27">
        <f t="shared" si="38"/>
        <v>125</v>
      </c>
      <c r="AK204" s="27">
        <f t="shared" si="39"/>
        <v>188</v>
      </c>
      <c r="AL204" s="27">
        <f t="shared" si="40"/>
        <v>2173</v>
      </c>
      <c r="AO204" s="17"/>
      <c r="AP204" s="17"/>
      <c r="AQ204" s="17"/>
      <c r="AR204" s="17"/>
      <c r="AS204" s="17"/>
      <c r="AT204" s="17"/>
      <c r="AW204" s="17"/>
      <c r="AX204" s="17"/>
      <c r="AY204" s="17"/>
      <c r="AZ204" s="17"/>
      <c r="BA204" s="17"/>
      <c r="BB204" s="17"/>
    </row>
    <row r="205" spans="33:54" ht="16.5" x14ac:dyDescent="0.2">
      <c r="AG205" s="27">
        <v>201</v>
      </c>
      <c r="AH205" s="27">
        <v>15</v>
      </c>
      <c r="AI205" s="27">
        <v>9</v>
      </c>
      <c r="AJ205" s="27">
        <f t="shared" si="38"/>
        <v>125</v>
      </c>
      <c r="AK205" s="27">
        <f t="shared" si="39"/>
        <v>190</v>
      </c>
      <c r="AL205" s="27">
        <f t="shared" si="40"/>
        <v>2220</v>
      </c>
      <c r="AO205" s="17"/>
      <c r="AP205" s="17"/>
      <c r="AQ205" s="17"/>
      <c r="AR205" s="17"/>
      <c r="AS205" s="17"/>
      <c r="AT205" s="17"/>
      <c r="AW205" s="17"/>
      <c r="AX205" s="17"/>
      <c r="AY205" s="17"/>
      <c r="AZ205" s="17"/>
      <c r="BA205" s="17"/>
      <c r="BB205" s="17"/>
    </row>
    <row r="206" spans="33:54" ht="16.5" x14ac:dyDescent="0.2">
      <c r="AG206" s="27">
        <v>202</v>
      </c>
      <c r="AH206" s="27">
        <v>15</v>
      </c>
      <c r="AI206" s="27">
        <v>10</v>
      </c>
      <c r="AJ206" s="27">
        <f t="shared" si="38"/>
        <v>125</v>
      </c>
      <c r="AK206" s="27">
        <f t="shared" si="39"/>
        <v>191</v>
      </c>
      <c r="AL206" s="27">
        <f t="shared" si="40"/>
        <v>2266</v>
      </c>
      <c r="AO206" s="17"/>
      <c r="AP206" s="17"/>
      <c r="AQ206" s="17"/>
      <c r="AR206" s="17"/>
      <c r="AS206" s="17"/>
      <c r="AT206" s="17"/>
      <c r="AW206" s="17"/>
      <c r="AX206" s="17"/>
      <c r="AY206" s="17"/>
      <c r="AZ206" s="17"/>
      <c r="BA206" s="17"/>
      <c r="BB206" s="17"/>
    </row>
    <row r="207" spans="33:54" ht="16.5" x14ac:dyDescent="0.2">
      <c r="AG207" s="27">
        <v>203</v>
      </c>
      <c r="AH207" s="27">
        <v>15</v>
      </c>
      <c r="AI207" s="27">
        <v>11</v>
      </c>
      <c r="AJ207" s="27">
        <f t="shared" si="38"/>
        <v>125</v>
      </c>
      <c r="AK207" s="27">
        <f t="shared" si="39"/>
        <v>193</v>
      </c>
      <c r="AL207" s="27">
        <f t="shared" si="40"/>
        <v>2313</v>
      </c>
      <c r="AO207" s="17"/>
      <c r="AP207" s="17"/>
      <c r="AQ207" s="17"/>
      <c r="AR207" s="17"/>
      <c r="AS207" s="17"/>
      <c r="AT207" s="17"/>
      <c r="AW207" s="17"/>
      <c r="AX207" s="17"/>
      <c r="AY207" s="17"/>
      <c r="AZ207" s="17"/>
      <c r="BA207" s="17"/>
      <c r="BB207" s="17"/>
    </row>
    <row r="208" spans="33:54" ht="16.5" x14ac:dyDescent="0.2">
      <c r="AG208" s="27">
        <v>204</v>
      </c>
      <c r="AH208" s="27">
        <v>15</v>
      </c>
      <c r="AI208" s="27">
        <v>12</v>
      </c>
      <c r="AJ208" s="27">
        <f t="shared" si="38"/>
        <v>125</v>
      </c>
      <c r="AK208" s="27">
        <f t="shared" si="39"/>
        <v>195</v>
      </c>
      <c r="AL208" s="27">
        <f t="shared" si="40"/>
        <v>2360</v>
      </c>
      <c r="AO208" s="17"/>
      <c r="AP208" s="17"/>
      <c r="AQ208" s="17"/>
      <c r="AR208" s="17"/>
      <c r="AS208" s="17"/>
      <c r="AT208" s="17"/>
      <c r="AW208" s="17"/>
      <c r="AX208" s="17"/>
      <c r="AY208" s="17"/>
      <c r="AZ208" s="17"/>
      <c r="BA208" s="17"/>
      <c r="BB208" s="17"/>
    </row>
    <row r="209" spans="33:54" ht="16.5" x14ac:dyDescent="0.2">
      <c r="AG209" s="27">
        <v>205</v>
      </c>
      <c r="AH209" s="27">
        <v>15</v>
      </c>
      <c r="AI209" s="27">
        <v>13</v>
      </c>
      <c r="AJ209" s="27">
        <f t="shared" si="38"/>
        <v>125</v>
      </c>
      <c r="AK209" s="27">
        <f t="shared" si="39"/>
        <v>196</v>
      </c>
      <c r="AL209" s="27">
        <f t="shared" si="40"/>
        <v>2406</v>
      </c>
      <c r="AO209" s="17"/>
      <c r="AP209" s="17"/>
      <c r="AQ209" s="17"/>
      <c r="AR209" s="17"/>
      <c r="AS209" s="17"/>
      <c r="AT209" s="17"/>
      <c r="AW209" s="17"/>
      <c r="AX209" s="17"/>
      <c r="AY209" s="17"/>
      <c r="AZ209" s="17"/>
      <c r="BA209" s="17"/>
      <c r="BB209" s="17"/>
    </row>
    <row r="210" spans="33:54" ht="16.5" x14ac:dyDescent="0.2">
      <c r="AG210" s="27">
        <v>206</v>
      </c>
      <c r="AH210" s="27">
        <v>15</v>
      </c>
      <c r="AI210" s="27">
        <v>14</v>
      </c>
      <c r="AJ210" s="27">
        <f t="shared" si="38"/>
        <v>125</v>
      </c>
      <c r="AK210" s="27">
        <f t="shared" si="39"/>
        <v>198</v>
      </c>
      <c r="AL210" s="27">
        <f t="shared" si="40"/>
        <v>2453</v>
      </c>
      <c r="AO210" s="17"/>
      <c r="AP210" s="17"/>
      <c r="AQ210" s="17"/>
      <c r="AR210" s="17"/>
      <c r="AS210" s="17"/>
      <c r="AT210" s="17"/>
      <c r="AW210" s="17"/>
      <c r="AX210" s="17"/>
      <c r="AY210" s="17"/>
      <c r="AZ210" s="17"/>
      <c r="BA210" s="17"/>
      <c r="BB210" s="17"/>
    </row>
    <row r="211" spans="33:54" ht="16.5" x14ac:dyDescent="0.2">
      <c r="AG211" s="27">
        <v>207</v>
      </c>
      <c r="AH211" s="27">
        <v>15</v>
      </c>
      <c r="AI211" s="27">
        <v>15</v>
      </c>
      <c r="AJ211" s="27">
        <f t="shared" si="38"/>
        <v>125</v>
      </c>
      <c r="AK211" s="27">
        <f t="shared" si="39"/>
        <v>200</v>
      </c>
      <c r="AL211" s="27">
        <f t="shared" si="40"/>
        <v>2500</v>
      </c>
      <c r="AO211" s="17"/>
      <c r="AP211" s="17"/>
      <c r="AQ211" s="17"/>
      <c r="AR211" s="17"/>
      <c r="AS211" s="17"/>
      <c r="AT211" s="17"/>
      <c r="AW211" s="17"/>
      <c r="AX211" s="17"/>
      <c r="AY211" s="17"/>
      <c r="AZ211" s="17"/>
      <c r="BA211" s="17"/>
      <c r="BB211" s="17"/>
    </row>
    <row r="212" spans="33:54" x14ac:dyDescent="0.2">
      <c r="AO212" s="17"/>
      <c r="AP212" s="17"/>
      <c r="AQ212" s="17"/>
      <c r="AR212" s="17"/>
      <c r="AS212" s="17"/>
      <c r="AT212" s="17"/>
      <c r="AW212" s="17"/>
      <c r="AX212" s="17"/>
      <c r="AY212" s="17"/>
      <c r="AZ212" s="17"/>
      <c r="BA212" s="17"/>
      <c r="BB212" s="17"/>
    </row>
    <row r="213" spans="33:54" x14ac:dyDescent="0.2">
      <c r="AO213" s="17"/>
      <c r="AP213" s="17"/>
      <c r="AQ213" s="17"/>
      <c r="AR213" s="17"/>
      <c r="AS213" s="17"/>
      <c r="AT213" s="17"/>
      <c r="AW213" s="17"/>
      <c r="AX213" s="17"/>
      <c r="AY213" s="17"/>
      <c r="AZ213" s="17"/>
      <c r="BA213" s="17"/>
      <c r="BB213" s="17"/>
    </row>
    <row r="214" spans="33:54" x14ac:dyDescent="0.2">
      <c r="AO214" s="17"/>
      <c r="AP214" s="17"/>
      <c r="AQ214" s="17"/>
      <c r="AR214" s="17"/>
      <c r="AS214" s="17"/>
      <c r="AT214" s="17"/>
      <c r="AW214" s="17"/>
      <c r="AX214" s="17"/>
      <c r="AY214" s="17"/>
      <c r="AZ214" s="17"/>
      <c r="BA214" s="17"/>
      <c r="BB214" s="17"/>
    </row>
    <row r="215" spans="33:54" x14ac:dyDescent="0.2">
      <c r="AO215" s="17"/>
      <c r="AP215" s="17"/>
      <c r="AQ215" s="17"/>
      <c r="AR215" s="17"/>
      <c r="AS215" s="17"/>
      <c r="AT215" s="17"/>
    </row>
  </sheetData>
  <mergeCells count="6">
    <mergeCell ref="AW3:BB3"/>
    <mergeCell ref="AG3:AL3"/>
    <mergeCell ref="A3:I3"/>
    <mergeCell ref="AO3:AT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05"/>
  <sheetViews>
    <sheetView zoomScaleNormal="100" workbookViewId="0">
      <selection activeCell="Q2" sqref="Q2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71" ht="16.5" customHeight="1" x14ac:dyDescent="0.2">
      <c r="A3" s="63" t="s">
        <v>86</v>
      </c>
      <c r="B3" s="63"/>
      <c r="C3" s="63"/>
      <c r="D3" s="63"/>
      <c r="E3" s="63"/>
      <c r="F3" s="63"/>
      <c r="G3" s="63"/>
      <c r="J3" s="63" t="s">
        <v>87</v>
      </c>
      <c r="K3" s="63"/>
      <c r="L3" s="63"/>
      <c r="M3" s="63"/>
      <c r="N3" s="63"/>
      <c r="O3" s="63"/>
      <c r="P3" s="63"/>
      <c r="S3" s="63" t="s">
        <v>88</v>
      </c>
      <c r="T3" s="63"/>
      <c r="U3" s="63"/>
      <c r="V3" s="63"/>
      <c r="W3" s="63"/>
      <c r="X3" s="63"/>
      <c r="Y3" s="63"/>
      <c r="AB3" s="63" t="s">
        <v>89</v>
      </c>
      <c r="AC3" s="63"/>
      <c r="AD3" s="63"/>
      <c r="AE3" s="63"/>
      <c r="AF3" s="63"/>
      <c r="AG3" s="63"/>
      <c r="AH3" s="63"/>
      <c r="AK3" s="66" t="s">
        <v>86</v>
      </c>
      <c r="AL3" s="67"/>
      <c r="AN3" s="66" t="s">
        <v>87</v>
      </c>
      <c r="AO3" s="67"/>
      <c r="AQ3" s="66" t="s">
        <v>97</v>
      </c>
      <c r="AR3" s="67"/>
      <c r="AT3" s="66" t="s">
        <v>98</v>
      </c>
      <c r="AU3" s="67"/>
      <c r="BF3" s="65" t="s">
        <v>124</v>
      </c>
      <c r="BG3" s="65"/>
      <c r="BH3" s="16">
        <f>SUM(AY6:AZ105)</f>
        <v>61000</v>
      </c>
    </row>
    <row r="4" spans="1:71" ht="17.25" x14ac:dyDescent="0.2">
      <c r="A4" s="12" t="s">
        <v>57</v>
      </c>
      <c r="B4" s="12" t="s">
        <v>200</v>
      </c>
      <c r="C4" s="12" t="s">
        <v>201</v>
      </c>
      <c r="D4" s="12" t="s">
        <v>58</v>
      </c>
      <c r="E4" s="12" t="s">
        <v>95</v>
      </c>
      <c r="F4" s="12" t="s">
        <v>95</v>
      </c>
      <c r="G4" s="12" t="s">
        <v>96</v>
      </c>
      <c r="J4" s="12" t="s">
        <v>57</v>
      </c>
      <c r="K4" s="12" t="s">
        <v>202</v>
      </c>
      <c r="L4" s="12" t="s">
        <v>186</v>
      </c>
      <c r="M4" s="12" t="s">
        <v>58</v>
      </c>
      <c r="N4" s="12" t="s">
        <v>95</v>
      </c>
      <c r="O4" s="12" t="s">
        <v>95</v>
      </c>
      <c r="P4" s="12" t="s">
        <v>96</v>
      </c>
      <c r="S4" s="12" t="s">
        <v>57</v>
      </c>
      <c r="T4" s="12" t="s">
        <v>202</v>
      </c>
      <c r="U4" s="12" t="s">
        <v>186</v>
      </c>
      <c r="V4" s="12" t="s">
        <v>58</v>
      </c>
      <c r="W4" s="12" t="s">
        <v>95</v>
      </c>
      <c r="X4" s="12" t="s">
        <v>95</v>
      </c>
      <c r="Y4" s="12" t="s">
        <v>96</v>
      </c>
      <c r="AB4" s="12" t="s">
        <v>57</v>
      </c>
      <c r="AC4" s="12" t="s">
        <v>202</v>
      </c>
      <c r="AD4" s="12" t="s">
        <v>186</v>
      </c>
      <c r="AE4" s="12" t="s">
        <v>58</v>
      </c>
      <c r="AF4" s="12" t="s">
        <v>95</v>
      </c>
      <c r="AG4" s="12" t="s">
        <v>95</v>
      </c>
      <c r="AH4" s="12" t="s">
        <v>96</v>
      </c>
      <c r="AK4" s="12" t="s">
        <v>99</v>
      </c>
      <c r="AL4" s="12" t="s">
        <v>100</v>
      </c>
      <c r="AN4" s="12" t="s">
        <v>99</v>
      </c>
      <c r="AO4" s="12" t="s">
        <v>100</v>
      </c>
      <c r="AQ4" s="12" t="s">
        <v>99</v>
      </c>
      <c r="AR4" s="12" t="s">
        <v>100</v>
      </c>
      <c r="AT4" s="12" t="s">
        <v>99</v>
      </c>
      <c r="AU4" s="12" t="s">
        <v>100</v>
      </c>
      <c r="AX4" s="12" t="s">
        <v>101</v>
      </c>
      <c r="AY4" s="12" t="s">
        <v>104</v>
      </c>
      <c r="AZ4" s="12" t="s">
        <v>105</v>
      </c>
      <c r="BA4" s="12" t="s">
        <v>106</v>
      </c>
      <c r="BC4" s="25" t="s">
        <v>102</v>
      </c>
      <c r="BD4" s="25" t="s">
        <v>103</v>
      </c>
    </row>
    <row r="5" spans="1:71" ht="17.25" x14ac:dyDescent="0.2">
      <c r="A5" s="19">
        <v>1</v>
      </c>
      <c r="B5" s="27">
        <v>2</v>
      </c>
      <c r="C5" s="27">
        <v>60</v>
      </c>
      <c r="D5" s="19">
        <f>INDEX(章节关卡!$C$6:$C$20,芦花古楼!B5)*芦花古楼!C5</f>
        <v>420</v>
      </c>
      <c r="E5" s="24">
        <f>INT((A5-1)/5+1)*5</f>
        <v>5</v>
      </c>
      <c r="F5" s="20">
        <f>INT(A5/5)*5+20</f>
        <v>20</v>
      </c>
      <c r="G5" s="16">
        <f>INDEX(章节关卡!$E$6:$E$20,芦花古楼!B5)*芦花古楼!C5</f>
        <v>900</v>
      </c>
      <c r="J5" s="19">
        <v>1</v>
      </c>
      <c r="K5" s="27">
        <v>4</v>
      </c>
      <c r="L5" s="27">
        <v>120</v>
      </c>
      <c r="M5" s="27">
        <f>INDEX(章节关卡!$C$6:$C$20,芦花古楼!K5)*芦花古楼!L5</f>
        <v>1560</v>
      </c>
      <c r="N5" s="24">
        <f>INT((J5-1)/5+2)*5</f>
        <v>10</v>
      </c>
      <c r="O5" s="24">
        <f>INT(J5/5)*5+20</f>
        <v>20</v>
      </c>
      <c r="P5" s="16">
        <f>INDEX(章节关卡!$E$6:$E$20,芦花古楼!K5)*芦花古楼!L5</f>
        <v>3000</v>
      </c>
      <c r="S5" s="19">
        <v>1</v>
      </c>
      <c r="T5" s="27">
        <v>5</v>
      </c>
      <c r="U5" s="27">
        <v>180</v>
      </c>
      <c r="V5" s="27">
        <f>INDEX(章节关卡!$C$6:$C$20,芦花古楼!T5)*芦花古楼!U5</f>
        <v>2880</v>
      </c>
      <c r="W5" s="24">
        <f t="shared" ref="W5:W36" si="0">INT((S5-1)/5+3)*5</f>
        <v>15</v>
      </c>
      <c r="X5" s="24">
        <f t="shared" ref="X5:X36" si="1">INT(S5/5)*5+20</f>
        <v>20</v>
      </c>
      <c r="Y5" s="16">
        <f>INDEX(章节关卡!$E$6:$E$20,芦花古楼!T5)*芦花古楼!U5</f>
        <v>5760</v>
      </c>
      <c r="AB5" s="19">
        <v>1</v>
      </c>
      <c r="AC5" s="27">
        <v>5</v>
      </c>
      <c r="AD5" s="27">
        <v>180</v>
      </c>
      <c r="AE5" s="27">
        <f>INDEX(章节关卡!$C$6:$C$20,芦花古楼!AC5)*芦花古楼!AD5</f>
        <v>2880</v>
      </c>
      <c r="AF5" s="24">
        <f>INT((AB5-1)/5+4)*5</f>
        <v>20</v>
      </c>
      <c r="AG5" s="24">
        <f>INT(AB5/5)*5+20</f>
        <v>20</v>
      </c>
      <c r="AH5" s="16">
        <f>INDEX(章节关卡!$E$6:$E$20,芦花古楼!AC5)*芦花古楼!AD5</f>
        <v>5760</v>
      </c>
      <c r="AK5" s="20">
        <v>0</v>
      </c>
      <c r="AL5" s="20">
        <v>0</v>
      </c>
      <c r="AN5" s="20">
        <v>0</v>
      </c>
      <c r="AO5" s="20">
        <v>0</v>
      </c>
      <c r="AQ5" s="20">
        <v>0</v>
      </c>
      <c r="AR5" s="20">
        <v>0</v>
      </c>
      <c r="AT5" s="20">
        <v>0</v>
      </c>
      <c r="AU5" s="20">
        <v>0</v>
      </c>
      <c r="AX5" s="20">
        <v>0</v>
      </c>
      <c r="AY5" s="20"/>
      <c r="BC5" s="20">
        <v>1</v>
      </c>
      <c r="BD5" s="20">
        <v>1</v>
      </c>
      <c r="BH5" s="12" t="s">
        <v>128</v>
      </c>
      <c r="BI5" s="12" t="s">
        <v>108</v>
      </c>
      <c r="BJ5" s="12" t="s">
        <v>109</v>
      </c>
      <c r="BK5" s="12" t="s">
        <v>110</v>
      </c>
      <c r="BL5" s="12" t="s">
        <v>111</v>
      </c>
      <c r="BM5" s="12" t="s">
        <v>112</v>
      </c>
      <c r="BN5" s="12" t="s">
        <v>113</v>
      </c>
    </row>
    <row r="6" spans="1:71" ht="16.5" x14ac:dyDescent="0.2">
      <c r="A6" s="19">
        <v>2</v>
      </c>
      <c r="B6" s="27">
        <v>2</v>
      </c>
      <c r="C6" s="41">
        <v>60</v>
      </c>
      <c r="D6" s="27">
        <f>INDEX(章节关卡!$C$6:$C$20,芦花古楼!B6)*芦花古楼!C6</f>
        <v>420</v>
      </c>
      <c r="E6" s="24">
        <f t="shared" ref="E6:E69" si="2">INT((A6-1)/5+1)*5</f>
        <v>5</v>
      </c>
      <c r="F6" s="24">
        <f t="shared" ref="F6:F69" si="3">INT(A6/5)*5+20</f>
        <v>20</v>
      </c>
      <c r="G6" s="16">
        <f>INDEX(章节关卡!$E$6:$E$20,芦花古楼!B6)*芦花古楼!C6</f>
        <v>900</v>
      </c>
      <c r="J6" s="19">
        <v>2</v>
      </c>
      <c r="K6" s="27">
        <v>4</v>
      </c>
      <c r="L6" s="41">
        <v>120</v>
      </c>
      <c r="M6" s="27">
        <f>INDEX(章节关卡!$C$6:$C$20,芦花古楼!K6)*芦花古楼!L6</f>
        <v>1560</v>
      </c>
      <c r="N6" s="24">
        <f t="shared" ref="N6:N69" si="4">INT((J6-1)/5+2)*5</f>
        <v>10</v>
      </c>
      <c r="O6" s="24">
        <f t="shared" ref="O6:O69" si="5">INT(J6/5)*5+20</f>
        <v>20</v>
      </c>
      <c r="P6" s="16">
        <f>INDEX(章节关卡!$E$6:$E$20,芦花古楼!K6)*芦花古楼!L6</f>
        <v>3000</v>
      </c>
      <c r="S6" s="19">
        <v>2</v>
      </c>
      <c r="T6" s="27">
        <v>5</v>
      </c>
      <c r="U6" s="41">
        <v>180</v>
      </c>
      <c r="V6" s="27">
        <f>INDEX(章节关卡!$C$6:$C$20,芦花古楼!T6)*芦花古楼!U6</f>
        <v>2880</v>
      </c>
      <c r="W6" s="24">
        <f t="shared" si="0"/>
        <v>15</v>
      </c>
      <c r="X6" s="24">
        <f t="shared" si="1"/>
        <v>20</v>
      </c>
      <c r="Y6" s="16">
        <f>INDEX(章节关卡!$E$6:$E$20,芦花古楼!T6)*芦花古楼!U6</f>
        <v>5760</v>
      </c>
      <c r="AB6" s="19">
        <v>2</v>
      </c>
      <c r="AC6" s="27">
        <v>5</v>
      </c>
      <c r="AD6" s="41">
        <v>180</v>
      </c>
      <c r="AE6" s="27">
        <f>INDEX(章节关卡!$C$6:$C$20,芦花古楼!AC6)*芦花古楼!AD6</f>
        <v>2880</v>
      </c>
      <c r="AF6" s="24">
        <f t="shared" ref="AF6:AF69" si="6">INT((AB6-1)/5+4)*5</f>
        <v>20</v>
      </c>
      <c r="AG6" s="24">
        <f t="shared" ref="AG6:AG69" si="7">INT(AB6/5)*5+20</f>
        <v>20</v>
      </c>
      <c r="AH6" s="16">
        <f>INDEX(章节关卡!$E$6:$E$20,芦花古楼!AC6)*芦花古楼!AD6</f>
        <v>5760</v>
      </c>
      <c r="AK6" s="20">
        <v>1</v>
      </c>
      <c r="AL6" s="20">
        <v>1</v>
      </c>
      <c r="AN6" s="20">
        <v>1</v>
      </c>
      <c r="AO6" s="20">
        <f>AL6+1</f>
        <v>2</v>
      </c>
      <c r="AQ6" s="20">
        <v>1</v>
      </c>
      <c r="AR6" s="20">
        <f>AO6+1</f>
        <v>3</v>
      </c>
      <c r="AT6" s="20">
        <v>1</v>
      </c>
      <c r="AU6" s="20">
        <f>AR6+1</f>
        <v>4</v>
      </c>
      <c r="AX6" s="20">
        <v>1</v>
      </c>
      <c r="AY6" s="16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6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6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20">
        <v>2</v>
      </c>
      <c r="BD6" s="20">
        <v>1</v>
      </c>
      <c r="BG6" s="15" t="s">
        <v>125</v>
      </c>
      <c r="BH6" s="24">
        <v>1</v>
      </c>
      <c r="BI6" s="24">
        <v>1.5</v>
      </c>
      <c r="BJ6" s="24">
        <v>2.5</v>
      </c>
      <c r="BK6" s="24">
        <v>3.5</v>
      </c>
      <c r="BL6" s="24">
        <v>5</v>
      </c>
      <c r="BM6" s="24">
        <v>5</v>
      </c>
      <c r="BN6" s="24">
        <v>5</v>
      </c>
    </row>
    <row r="7" spans="1:71" ht="16.5" x14ac:dyDescent="0.2">
      <c r="A7" s="19">
        <v>3</v>
      </c>
      <c r="B7" s="27">
        <v>2</v>
      </c>
      <c r="C7" s="41">
        <v>60</v>
      </c>
      <c r="D7" s="27">
        <f>INDEX(章节关卡!$C$6:$C$20,芦花古楼!B7)*芦花古楼!C7</f>
        <v>420</v>
      </c>
      <c r="E7" s="24">
        <f t="shared" si="2"/>
        <v>5</v>
      </c>
      <c r="F7" s="24">
        <f t="shared" si="3"/>
        <v>20</v>
      </c>
      <c r="G7" s="16">
        <f>INDEX(章节关卡!$E$6:$E$20,芦花古楼!B7)*芦花古楼!C7</f>
        <v>900</v>
      </c>
      <c r="J7" s="19">
        <v>3</v>
      </c>
      <c r="K7" s="27">
        <v>4</v>
      </c>
      <c r="L7" s="41">
        <v>120</v>
      </c>
      <c r="M7" s="27">
        <f>INDEX(章节关卡!$C$6:$C$20,芦花古楼!K7)*芦花古楼!L7</f>
        <v>1560</v>
      </c>
      <c r="N7" s="24">
        <f t="shared" si="4"/>
        <v>10</v>
      </c>
      <c r="O7" s="24">
        <f t="shared" si="5"/>
        <v>20</v>
      </c>
      <c r="P7" s="16">
        <f>INDEX(章节关卡!$E$6:$E$20,芦花古楼!K7)*芦花古楼!L7</f>
        <v>3000</v>
      </c>
      <c r="S7" s="19">
        <v>3</v>
      </c>
      <c r="T7" s="27">
        <v>5</v>
      </c>
      <c r="U7" s="41">
        <v>180</v>
      </c>
      <c r="V7" s="27">
        <f>INDEX(章节关卡!$C$6:$C$20,芦花古楼!T7)*芦花古楼!U7</f>
        <v>2880</v>
      </c>
      <c r="W7" s="24">
        <f t="shared" si="0"/>
        <v>15</v>
      </c>
      <c r="X7" s="24">
        <f t="shared" si="1"/>
        <v>20</v>
      </c>
      <c r="Y7" s="16">
        <f>INDEX(章节关卡!$E$6:$E$20,芦花古楼!T7)*芦花古楼!U7</f>
        <v>5760</v>
      </c>
      <c r="AB7" s="19">
        <v>3</v>
      </c>
      <c r="AC7" s="27">
        <v>5</v>
      </c>
      <c r="AD7" s="41">
        <v>180</v>
      </c>
      <c r="AE7" s="27">
        <f>INDEX(章节关卡!$C$6:$C$20,芦花古楼!AC7)*芦花古楼!AD7</f>
        <v>2880</v>
      </c>
      <c r="AF7" s="24">
        <f t="shared" si="6"/>
        <v>20</v>
      </c>
      <c r="AG7" s="24">
        <f t="shared" si="7"/>
        <v>20</v>
      </c>
      <c r="AH7" s="16">
        <f>INDEX(章节关卡!$E$6:$E$20,芦花古楼!AC7)*芦花古楼!AD7</f>
        <v>5760</v>
      </c>
      <c r="AK7" s="20">
        <v>2</v>
      </c>
      <c r="AL7" s="20">
        <v>1</v>
      </c>
      <c r="AN7" s="20">
        <v>2</v>
      </c>
      <c r="AO7" s="20">
        <f t="shared" ref="AO7:AO70" si="11">AL7+1</f>
        <v>2</v>
      </c>
      <c r="AQ7" s="20">
        <v>2</v>
      </c>
      <c r="AR7" s="20">
        <f t="shared" ref="AR7:AR70" si="12">AO7+1</f>
        <v>3</v>
      </c>
      <c r="AT7" s="20">
        <v>2</v>
      </c>
      <c r="AU7" s="20">
        <f t="shared" ref="AU7:AU70" si="13">AR7+1</f>
        <v>4</v>
      </c>
      <c r="AX7" s="20">
        <v>2</v>
      </c>
      <c r="AY7" s="16">
        <f t="shared" si="8"/>
        <v>240</v>
      </c>
      <c r="AZ7" s="16">
        <f t="shared" si="9"/>
        <v>105</v>
      </c>
      <c r="BA7" s="16">
        <f t="shared" si="10"/>
        <v>46920</v>
      </c>
      <c r="BC7" s="20">
        <v>3</v>
      </c>
      <c r="BD7" s="20">
        <v>2</v>
      </c>
      <c r="BG7" s="15" t="s">
        <v>126</v>
      </c>
      <c r="BH7" s="24">
        <v>1</v>
      </c>
      <c r="BI7" s="24">
        <v>1.5</v>
      </c>
      <c r="BJ7" s="24">
        <v>2.5</v>
      </c>
      <c r="BK7" s="24">
        <v>3.5</v>
      </c>
      <c r="BL7" s="24">
        <v>5</v>
      </c>
      <c r="BM7" s="24">
        <v>5</v>
      </c>
      <c r="BN7" s="24">
        <v>5</v>
      </c>
    </row>
    <row r="8" spans="1:71" ht="16.5" x14ac:dyDescent="0.2">
      <c r="A8" s="19">
        <v>4</v>
      </c>
      <c r="B8" s="27">
        <v>2</v>
      </c>
      <c r="C8" s="41">
        <v>60</v>
      </c>
      <c r="D8" s="27">
        <f>INDEX(章节关卡!$C$6:$C$20,芦花古楼!B8)*芦花古楼!C8</f>
        <v>420</v>
      </c>
      <c r="E8" s="24">
        <f t="shared" si="2"/>
        <v>5</v>
      </c>
      <c r="F8" s="24">
        <f t="shared" si="3"/>
        <v>20</v>
      </c>
      <c r="G8" s="16">
        <f>INDEX(章节关卡!$E$6:$E$20,芦花古楼!B8)*芦花古楼!C8</f>
        <v>900</v>
      </c>
      <c r="J8" s="19">
        <v>4</v>
      </c>
      <c r="K8" s="27">
        <v>4</v>
      </c>
      <c r="L8" s="41">
        <v>120</v>
      </c>
      <c r="M8" s="27">
        <f>INDEX(章节关卡!$C$6:$C$20,芦花古楼!K8)*芦花古楼!L8</f>
        <v>1560</v>
      </c>
      <c r="N8" s="24">
        <f t="shared" si="4"/>
        <v>10</v>
      </c>
      <c r="O8" s="24">
        <f t="shared" si="5"/>
        <v>20</v>
      </c>
      <c r="P8" s="16">
        <f>INDEX(章节关卡!$E$6:$E$20,芦花古楼!K8)*芦花古楼!L8</f>
        <v>3000</v>
      </c>
      <c r="S8" s="19">
        <v>4</v>
      </c>
      <c r="T8" s="27">
        <v>5</v>
      </c>
      <c r="U8" s="41">
        <v>180</v>
      </c>
      <c r="V8" s="27">
        <f>INDEX(章节关卡!$C$6:$C$20,芦花古楼!T8)*芦花古楼!U8</f>
        <v>2880</v>
      </c>
      <c r="W8" s="24">
        <f t="shared" si="0"/>
        <v>15</v>
      </c>
      <c r="X8" s="24">
        <f t="shared" si="1"/>
        <v>20</v>
      </c>
      <c r="Y8" s="16">
        <f>INDEX(章节关卡!$E$6:$E$20,芦花古楼!T8)*芦花古楼!U8</f>
        <v>5760</v>
      </c>
      <c r="AB8" s="19">
        <v>4</v>
      </c>
      <c r="AC8" s="27">
        <v>5</v>
      </c>
      <c r="AD8" s="41">
        <v>180</v>
      </c>
      <c r="AE8" s="27">
        <f>INDEX(章节关卡!$C$6:$C$20,芦花古楼!AC8)*芦花古楼!AD8</f>
        <v>2880</v>
      </c>
      <c r="AF8" s="24">
        <f t="shared" si="6"/>
        <v>20</v>
      </c>
      <c r="AG8" s="24">
        <f t="shared" si="7"/>
        <v>20</v>
      </c>
      <c r="AH8" s="16">
        <f>INDEX(章节关卡!$E$6:$E$20,芦花古楼!AC8)*芦花古楼!AD8</f>
        <v>5760</v>
      </c>
      <c r="AK8" s="20">
        <v>3</v>
      </c>
      <c r="AL8" s="20">
        <v>1</v>
      </c>
      <c r="AN8" s="20">
        <v>3</v>
      </c>
      <c r="AO8" s="20">
        <f t="shared" si="11"/>
        <v>2</v>
      </c>
      <c r="AQ8" s="20">
        <v>3</v>
      </c>
      <c r="AR8" s="20">
        <f t="shared" si="12"/>
        <v>3</v>
      </c>
      <c r="AT8" s="20">
        <v>3</v>
      </c>
      <c r="AU8" s="20">
        <f t="shared" si="13"/>
        <v>4</v>
      </c>
      <c r="AX8" s="20">
        <v>3</v>
      </c>
      <c r="AY8" s="16">
        <f t="shared" si="8"/>
        <v>435</v>
      </c>
      <c r="AZ8" s="16">
        <f t="shared" si="9"/>
        <v>125</v>
      </c>
      <c r="BA8" s="16">
        <f t="shared" si="10"/>
        <v>111000</v>
      </c>
      <c r="BC8" s="20">
        <v>4</v>
      </c>
      <c r="BD8" s="20">
        <v>3</v>
      </c>
      <c r="BG8" s="15" t="s">
        <v>127</v>
      </c>
      <c r="BH8" s="24">
        <v>2</v>
      </c>
      <c r="BI8" s="24">
        <v>2</v>
      </c>
      <c r="BJ8" s="24">
        <v>4</v>
      </c>
      <c r="BK8" s="24">
        <v>4</v>
      </c>
      <c r="BL8" s="24">
        <v>6</v>
      </c>
      <c r="BM8" s="24">
        <v>6</v>
      </c>
      <c r="BN8" s="24">
        <v>6</v>
      </c>
    </row>
    <row r="9" spans="1:71" ht="16.5" x14ac:dyDescent="0.2">
      <c r="A9" s="19">
        <v>5</v>
      </c>
      <c r="B9" s="27">
        <v>3</v>
      </c>
      <c r="C9" s="41">
        <v>60</v>
      </c>
      <c r="D9" s="27">
        <f>INDEX(章节关卡!$C$6:$C$20,芦花古楼!B9)*芦花古楼!C9</f>
        <v>600</v>
      </c>
      <c r="E9" s="24">
        <f t="shared" si="2"/>
        <v>5</v>
      </c>
      <c r="F9" s="24">
        <f t="shared" si="3"/>
        <v>25</v>
      </c>
      <c r="G9" s="16">
        <f>INDEX(章节关卡!$E$6:$E$20,芦花古楼!B9)*芦花古楼!C9</f>
        <v>1200</v>
      </c>
      <c r="J9" s="19">
        <v>5</v>
      </c>
      <c r="K9" s="27">
        <v>4</v>
      </c>
      <c r="L9" s="41">
        <v>120</v>
      </c>
      <c r="M9" s="27">
        <f>INDEX(章节关卡!$C$6:$C$20,芦花古楼!K9)*芦花古楼!L9</f>
        <v>1560</v>
      </c>
      <c r="N9" s="24">
        <f t="shared" si="4"/>
        <v>10</v>
      </c>
      <c r="O9" s="24">
        <f t="shared" si="5"/>
        <v>25</v>
      </c>
      <c r="P9" s="16">
        <f>INDEX(章节关卡!$E$6:$E$20,芦花古楼!K9)*芦花古楼!L9</f>
        <v>3000</v>
      </c>
      <c r="S9" s="19">
        <v>5</v>
      </c>
      <c r="T9" s="27">
        <v>6</v>
      </c>
      <c r="U9" s="41">
        <v>180</v>
      </c>
      <c r="V9" s="27">
        <f>INDEX(章节关卡!$C$6:$C$20,芦花古楼!T9)*芦花古楼!U9</f>
        <v>3600</v>
      </c>
      <c r="W9" s="24">
        <f t="shared" si="0"/>
        <v>15</v>
      </c>
      <c r="X9" s="24">
        <f t="shared" si="1"/>
        <v>25</v>
      </c>
      <c r="Y9" s="16">
        <f>INDEX(章节关卡!$E$6:$E$20,芦花古楼!T9)*芦花古楼!U9</f>
        <v>7200</v>
      </c>
      <c r="AB9" s="19">
        <v>5</v>
      </c>
      <c r="AC9" s="27">
        <v>6</v>
      </c>
      <c r="AD9" s="41">
        <v>180</v>
      </c>
      <c r="AE9" s="27">
        <f>INDEX(章节关卡!$C$6:$C$20,芦花古楼!AC9)*芦花古楼!AD9</f>
        <v>3600</v>
      </c>
      <c r="AF9" s="24">
        <f t="shared" si="6"/>
        <v>20</v>
      </c>
      <c r="AG9" s="24">
        <f t="shared" si="7"/>
        <v>25</v>
      </c>
      <c r="AH9" s="16">
        <f>INDEX(章节关卡!$E$6:$E$20,芦花古楼!AC9)*芦花古楼!AD9</f>
        <v>7200</v>
      </c>
      <c r="AK9" s="20">
        <v>4</v>
      </c>
      <c r="AL9" s="20">
        <v>1</v>
      </c>
      <c r="AN9" s="20">
        <v>4</v>
      </c>
      <c r="AO9" s="20">
        <f t="shared" si="11"/>
        <v>2</v>
      </c>
      <c r="AQ9" s="20">
        <v>4</v>
      </c>
      <c r="AR9" s="20">
        <f t="shared" si="12"/>
        <v>3</v>
      </c>
      <c r="AT9" s="20">
        <v>4</v>
      </c>
      <c r="AU9" s="20">
        <f t="shared" si="13"/>
        <v>4</v>
      </c>
      <c r="AX9" s="20">
        <v>4</v>
      </c>
      <c r="AY9" s="16">
        <f t="shared" si="8"/>
        <v>680</v>
      </c>
      <c r="AZ9" s="16">
        <f t="shared" si="9"/>
        <v>150</v>
      </c>
      <c r="BA9" s="16">
        <f t="shared" si="10"/>
        <v>170040</v>
      </c>
      <c r="BC9" s="20">
        <v>5</v>
      </c>
      <c r="BD9" s="20">
        <v>3</v>
      </c>
      <c r="BG9" s="15" t="s">
        <v>129</v>
      </c>
      <c r="BH9" s="16">
        <f>SUMPRODUCT(BH6:BN6,BH8:BN8)</f>
        <v>119</v>
      </c>
      <c r="BI9" s="15" t="s">
        <v>138</v>
      </c>
      <c r="BJ9" s="24">
        <f>SUMPRODUCT(BH7:BN7,BH8:BN8)</f>
        <v>119</v>
      </c>
      <c r="BK9" s="15" t="s">
        <v>145</v>
      </c>
      <c r="BL9" s="24">
        <f>SUMPRODUCT(BH7:BK7,BH8:BK8)</f>
        <v>29</v>
      </c>
      <c r="BM9" s="17"/>
      <c r="BN9" s="17"/>
    </row>
    <row r="10" spans="1:71" ht="16.5" x14ac:dyDescent="0.2">
      <c r="A10" s="19">
        <v>6</v>
      </c>
      <c r="B10" s="27">
        <v>3</v>
      </c>
      <c r="C10" s="41">
        <v>60</v>
      </c>
      <c r="D10" s="27">
        <f>INDEX(章节关卡!$C$6:$C$20,芦花古楼!B10)*芦花古楼!C10</f>
        <v>600</v>
      </c>
      <c r="E10" s="24">
        <f t="shared" si="2"/>
        <v>10</v>
      </c>
      <c r="F10" s="24">
        <f t="shared" si="3"/>
        <v>25</v>
      </c>
      <c r="G10" s="16">
        <f>INDEX(章节关卡!$E$6:$E$20,芦花古楼!B10)*芦花古楼!C10</f>
        <v>1200</v>
      </c>
      <c r="J10" s="19">
        <v>6</v>
      </c>
      <c r="K10" s="27">
        <v>4</v>
      </c>
      <c r="L10" s="41">
        <v>120</v>
      </c>
      <c r="M10" s="27">
        <f>INDEX(章节关卡!$C$6:$C$20,芦花古楼!K10)*芦花古楼!L10</f>
        <v>1560</v>
      </c>
      <c r="N10" s="24">
        <f t="shared" si="4"/>
        <v>15</v>
      </c>
      <c r="O10" s="24">
        <f t="shared" si="5"/>
        <v>25</v>
      </c>
      <c r="P10" s="16">
        <f>INDEX(章节关卡!$E$6:$E$20,芦花古楼!K10)*芦花古楼!L10</f>
        <v>3000</v>
      </c>
      <c r="S10" s="19">
        <v>6</v>
      </c>
      <c r="T10" s="27">
        <v>6</v>
      </c>
      <c r="U10" s="41">
        <v>180</v>
      </c>
      <c r="V10" s="27">
        <f>INDEX(章节关卡!$C$6:$C$20,芦花古楼!T10)*芦花古楼!U10</f>
        <v>3600</v>
      </c>
      <c r="W10" s="24">
        <f t="shared" si="0"/>
        <v>20</v>
      </c>
      <c r="X10" s="24">
        <f t="shared" si="1"/>
        <v>25</v>
      </c>
      <c r="Y10" s="16">
        <f>INDEX(章节关卡!$E$6:$E$20,芦花古楼!T10)*芦花古楼!U10</f>
        <v>7200</v>
      </c>
      <c r="AB10" s="19">
        <v>6</v>
      </c>
      <c r="AC10" s="27">
        <v>6</v>
      </c>
      <c r="AD10" s="41">
        <v>180</v>
      </c>
      <c r="AE10" s="27">
        <f>INDEX(章节关卡!$C$6:$C$20,芦花古楼!AC10)*芦花古楼!AD10</f>
        <v>3600</v>
      </c>
      <c r="AF10" s="24">
        <f t="shared" si="6"/>
        <v>25</v>
      </c>
      <c r="AG10" s="24">
        <f t="shared" si="7"/>
        <v>25</v>
      </c>
      <c r="AH10" s="16">
        <f>INDEX(章节关卡!$E$6:$E$20,芦花古楼!AC10)*芦花古楼!AD10</f>
        <v>7200</v>
      </c>
      <c r="AK10" s="20">
        <v>5</v>
      </c>
      <c r="AL10" s="20">
        <v>1</v>
      </c>
      <c r="AN10" s="20">
        <v>5</v>
      </c>
      <c r="AO10" s="20">
        <f t="shared" si="11"/>
        <v>2</v>
      </c>
      <c r="AQ10" s="20">
        <v>5</v>
      </c>
      <c r="AR10" s="20">
        <f t="shared" si="12"/>
        <v>3</v>
      </c>
      <c r="AT10" s="20">
        <v>5</v>
      </c>
      <c r="AU10" s="20">
        <f t="shared" si="13"/>
        <v>4</v>
      </c>
      <c r="AX10" s="20">
        <v>5</v>
      </c>
      <c r="AY10" s="16">
        <f t="shared" si="8"/>
        <v>665</v>
      </c>
      <c r="AZ10" s="16">
        <f t="shared" si="9"/>
        <v>170</v>
      </c>
      <c r="BA10" s="16">
        <f t="shared" si="10"/>
        <v>154200</v>
      </c>
      <c r="BC10" s="20">
        <v>6</v>
      </c>
      <c r="BD10" s="24">
        <v>4</v>
      </c>
    </row>
    <row r="11" spans="1:71" ht="17.25" x14ac:dyDescent="0.2">
      <c r="A11" s="19">
        <v>7</v>
      </c>
      <c r="B11" s="27">
        <v>3</v>
      </c>
      <c r="C11" s="41">
        <v>60</v>
      </c>
      <c r="D11" s="27">
        <f>INDEX(章节关卡!$C$6:$C$20,芦花古楼!B11)*芦花古楼!C11</f>
        <v>600</v>
      </c>
      <c r="E11" s="24">
        <f t="shared" si="2"/>
        <v>10</v>
      </c>
      <c r="F11" s="24">
        <f t="shared" si="3"/>
        <v>25</v>
      </c>
      <c r="G11" s="16">
        <f>INDEX(章节关卡!$E$6:$E$20,芦花古楼!B11)*芦花古楼!C11</f>
        <v>1200</v>
      </c>
      <c r="J11" s="19">
        <v>7</v>
      </c>
      <c r="K11" s="27">
        <v>4</v>
      </c>
      <c r="L11" s="41">
        <v>120</v>
      </c>
      <c r="M11" s="27">
        <f>INDEX(章节关卡!$C$6:$C$20,芦花古楼!K11)*芦花古楼!L11</f>
        <v>1560</v>
      </c>
      <c r="N11" s="24">
        <f t="shared" si="4"/>
        <v>15</v>
      </c>
      <c r="O11" s="24">
        <f t="shared" si="5"/>
        <v>25</v>
      </c>
      <c r="P11" s="16">
        <f>INDEX(章节关卡!$E$6:$E$20,芦花古楼!K11)*芦花古楼!L11</f>
        <v>3000</v>
      </c>
      <c r="S11" s="19">
        <v>7</v>
      </c>
      <c r="T11" s="27">
        <v>6</v>
      </c>
      <c r="U11" s="41">
        <v>180</v>
      </c>
      <c r="V11" s="27">
        <f>INDEX(章节关卡!$C$6:$C$20,芦花古楼!T11)*芦花古楼!U11</f>
        <v>3600</v>
      </c>
      <c r="W11" s="24">
        <f t="shared" si="0"/>
        <v>20</v>
      </c>
      <c r="X11" s="24">
        <f t="shared" si="1"/>
        <v>25</v>
      </c>
      <c r="Y11" s="16">
        <f>INDEX(章节关卡!$E$6:$E$20,芦花古楼!T11)*芦花古楼!U11</f>
        <v>7200</v>
      </c>
      <c r="AB11" s="19">
        <v>7</v>
      </c>
      <c r="AC11" s="27">
        <v>6</v>
      </c>
      <c r="AD11" s="41">
        <v>180</v>
      </c>
      <c r="AE11" s="27">
        <f>INDEX(章节关卡!$C$6:$C$20,芦花古楼!AC11)*芦花古楼!AD11</f>
        <v>3600</v>
      </c>
      <c r="AF11" s="24">
        <f t="shared" si="6"/>
        <v>25</v>
      </c>
      <c r="AG11" s="24">
        <f t="shared" si="7"/>
        <v>25</v>
      </c>
      <c r="AH11" s="16">
        <f>INDEX(章节关卡!$E$6:$E$20,芦花古楼!AC11)*芦花古楼!AD11</f>
        <v>7200</v>
      </c>
      <c r="AK11" s="20">
        <v>6</v>
      </c>
      <c r="AL11" s="20">
        <v>1</v>
      </c>
      <c r="AN11" s="20">
        <v>6</v>
      </c>
      <c r="AO11" s="20">
        <f t="shared" si="11"/>
        <v>2</v>
      </c>
      <c r="AQ11" s="20">
        <v>6</v>
      </c>
      <c r="AR11" s="20">
        <f t="shared" si="12"/>
        <v>3</v>
      </c>
      <c r="AT11" s="20">
        <v>6</v>
      </c>
      <c r="AU11" s="20">
        <f t="shared" si="13"/>
        <v>4</v>
      </c>
      <c r="AX11" s="20">
        <v>6</v>
      </c>
      <c r="AY11" s="16">
        <f t="shared" si="8"/>
        <v>655</v>
      </c>
      <c r="AZ11" s="16">
        <f t="shared" si="9"/>
        <v>190</v>
      </c>
      <c r="BA11" s="16">
        <f t="shared" si="10"/>
        <v>142800</v>
      </c>
      <c r="BC11" s="20">
        <v>7</v>
      </c>
      <c r="BD11" s="24">
        <v>4</v>
      </c>
      <c r="BH11" s="12" t="s">
        <v>130</v>
      </c>
      <c r="BI11" s="12" t="s">
        <v>131</v>
      </c>
      <c r="BJ11" s="12" t="s">
        <v>132</v>
      </c>
    </row>
    <row r="12" spans="1:71" ht="16.5" x14ac:dyDescent="0.2">
      <c r="A12" s="19">
        <v>8</v>
      </c>
      <c r="B12" s="27">
        <v>4</v>
      </c>
      <c r="C12" s="41">
        <v>60</v>
      </c>
      <c r="D12" s="27">
        <f>INDEX(章节关卡!$C$6:$C$20,芦花古楼!B12)*芦花古楼!C12</f>
        <v>780</v>
      </c>
      <c r="E12" s="24">
        <f t="shared" si="2"/>
        <v>10</v>
      </c>
      <c r="F12" s="24">
        <f t="shared" si="3"/>
        <v>25</v>
      </c>
      <c r="G12" s="16">
        <f>INDEX(章节关卡!$E$6:$E$20,芦花古楼!B12)*芦花古楼!C12</f>
        <v>1500</v>
      </c>
      <c r="J12" s="19">
        <v>8</v>
      </c>
      <c r="K12" s="27">
        <v>5</v>
      </c>
      <c r="L12" s="41">
        <v>120</v>
      </c>
      <c r="M12" s="27">
        <f>INDEX(章节关卡!$C$6:$C$20,芦花古楼!K12)*芦花古楼!L12</f>
        <v>1920</v>
      </c>
      <c r="N12" s="24">
        <f t="shared" si="4"/>
        <v>15</v>
      </c>
      <c r="O12" s="24">
        <f t="shared" si="5"/>
        <v>25</v>
      </c>
      <c r="P12" s="16">
        <f>INDEX(章节关卡!$E$6:$E$20,芦花古楼!K12)*芦花古楼!L12</f>
        <v>3840</v>
      </c>
      <c r="S12" s="19">
        <v>8</v>
      </c>
      <c r="T12" s="27">
        <v>6</v>
      </c>
      <c r="U12" s="41">
        <v>180</v>
      </c>
      <c r="V12" s="27">
        <f>INDEX(章节关卡!$C$6:$C$20,芦花古楼!T12)*芦花古楼!U12</f>
        <v>3600</v>
      </c>
      <c r="W12" s="24">
        <f t="shared" si="0"/>
        <v>20</v>
      </c>
      <c r="X12" s="24">
        <f t="shared" si="1"/>
        <v>25</v>
      </c>
      <c r="Y12" s="16">
        <f>INDEX(章节关卡!$E$6:$E$20,芦花古楼!T12)*芦花古楼!U12</f>
        <v>7200</v>
      </c>
      <c r="AB12" s="19">
        <v>8</v>
      </c>
      <c r="AC12" s="27">
        <v>6</v>
      </c>
      <c r="AD12" s="41">
        <v>180</v>
      </c>
      <c r="AE12" s="27">
        <f>INDEX(章节关卡!$C$6:$C$20,芦花古楼!AC12)*芦花古楼!AD12</f>
        <v>3600</v>
      </c>
      <c r="AF12" s="24">
        <f t="shared" si="6"/>
        <v>25</v>
      </c>
      <c r="AG12" s="24">
        <f t="shared" si="7"/>
        <v>25</v>
      </c>
      <c r="AH12" s="16">
        <f>INDEX(章节关卡!$E$6:$E$20,芦花古楼!AC12)*芦花古楼!AD12</f>
        <v>7200</v>
      </c>
      <c r="AK12" s="20">
        <v>7</v>
      </c>
      <c r="AL12" s="20">
        <v>1</v>
      </c>
      <c r="AN12" s="20">
        <v>7</v>
      </c>
      <c r="AO12" s="20">
        <f t="shared" si="11"/>
        <v>2</v>
      </c>
      <c r="AQ12" s="20">
        <v>7</v>
      </c>
      <c r="AR12" s="20">
        <f t="shared" si="12"/>
        <v>3</v>
      </c>
      <c r="AT12" s="20">
        <v>7</v>
      </c>
      <c r="AU12" s="20">
        <f t="shared" si="13"/>
        <v>4</v>
      </c>
      <c r="AX12" s="20">
        <v>7</v>
      </c>
      <c r="AY12" s="16">
        <f t="shared" si="8"/>
        <v>655</v>
      </c>
      <c r="AZ12" s="16">
        <f t="shared" si="9"/>
        <v>205</v>
      </c>
      <c r="BA12" s="16">
        <f t="shared" si="10"/>
        <v>137520</v>
      </c>
      <c r="BC12" s="20">
        <v>8</v>
      </c>
      <c r="BD12" s="24">
        <v>4</v>
      </c>
      <c r="BH12" s="23">
        <v>0</v>
      </c>
      <c r="BI12" s="23">
        <v>0.3</v>
      </c>
      <c r="BJ12" s="21">
        <v>0.7</v>
      </c>
      <c r="BR12" s="15" t="s">
        <v>144</v>
      </c>
      <c r="BS12" s="21">
        <v>0.5</v>
      </c>
    </row>
    <row r="13" spans="1:71" ht="16.5" x14ac:dyDescent="0.2">
      <c r="A13" s="19">
        <v>9</v>
      </c>
      <c r="B13" s="27">
        <v>4</v>
      </c>
      <c r="C13" s="41">
        <v>60</v>
      </c>
      <c r="D13" s="27">
        <f>INDEX(章节关卡!$C$6:$C$20,芦花古楼!B13)*芦花古楼!C13</f>
        <v>780</v>
      </c>
      <c r="E13" s="24">
        <f t="shared" si="2"/>
        <v>10</v>
      </c>
      <c r="F13" s="24">
        <f t="shared" si="3"/>
        <v>25</v>
      </c>
      <c r="G13" s="16">
        <f>INDEX(章节关卡!$E$6:$E$20,芦花古楼!B13)*芦花古楼!C13</f>
        <v>1500</v>
      </c>
      <c r="J13" s="19">
        <v>9</v>
      </c>
      <c r="K13" s="27">
        <v>5</v>
      </c>
      <c r="L13" s="41">
        <v>120</v>
      </c>
      <c r="M13" s="27">
        <f>INDEX(章节关卡!$C$6:$C$20,芦花古楼!K13)*芦花古楼!L13</f>
        <v>1920</v>
      </c>
      <c r="N13" s="24">
        <f t="shared" si="4"/>
        <v>15</v>
      </c>
      <c r="O13" s="24">
        <f t="shared" si="5"/>
        <v>25</v>
      </c>
      <c r="P13" s="16">
        <f>INDEX(章节关卡!$E$6:$E$20,芦花古楼!K13)*芦花古楼!L13</f>
        <v>3840</v>
      </c>
      <c r="S13" s="19">
        <v>9</v>
      </c>
      <c r="T13" s="27">
        <v>6</v>
      </c>
      <c r="U13" s="41">
        <v>180</v>
      </c>
      <c r="V13" s="27">
        <f>INDEX(章节关卡!$C$6:$C$20,芦花古楼!T13)*芦花古楼!U13</f>
        <v>3600</v>
      </c>
      <c r="W13" s="24">
        <f t="shared" si="0"/>
        <v>20</v>
      </c>
      <c r="X13" s="24">
        <f t="shared" si="1"/>
        <v>25</v>
      </c>
      <c r="Y13" s="16">
        <f>INDEX(章节关卡!$E$6:$E$20,芦花古楼!T13)*芦花古楼!U13</f>
        <v>7200</v>
      </c>
      <c r="AB13" s="19">
        <v>9</v>
      </c>
      <c r="AC13" s="27">
        <v>6</v>
      </c>
      <c r="AD13" s="41">
        <v>180</v>
      </c>
      <c r="AE13" s="27">
        <f>INDEX(章节关卡!$C$6:$C$20,芦花古楼!AC13)*芦花古楼!AD13</f>
        <v>3600</v>
      </c>
      <c r="AF13" s="24">
        <f t="shared" si="6"/>
        <v>25</v>
      </c>
      <c r="AG13" s="24">
        <f t="shared" si="7"/>
        <v>25</v>
      </c>
      <c r="AH13" s="16">
        <f>INDEX(章节关卡!$E$6:$E$20,芦花古楼!AC13)*芦花古楼!AD13</f>
        <v>7200</v>
      </c>
      <c r="AK13" s="20">
        <v>8</v>
      </c>
      <c r="AL13" s="20">
        <v>1</v>
      </c>
      <c r="AN13" s="20">
        <v>8</v>
      </c>
      <c r="AO13" s="20">
        <f t="shared" si="11"/>
        <v>2</v>
      </c>
      <c r="AQ13" s="20">
        <v>8</v>
      </c>
      <c r="AR13" s="20">
        <f t="shared" si="12"/>
        <v>3</v>
      </c>
      <c r="AT13" s="20">
        <v>8</v>
      </c>
      <c r="AU13" s="20">
        <f t="shared" si="13"/>
        <v>4</v>
      </c>
      <c r="AX13" s="20">
        <v>8</v>
      </c>
      <c r="AY13" s="16">
        <f t="shared" si="8"/>
        <v>625</v>
      </c>
      <c r="AZ13" s="16">
        <f t="shared" si="9"/>
        <v>220</v>
      </c>
      <c r="BA13" s="16">
        <f t="shared" si="10"/>
        <v>131760</v>
      </c>
      <c r="BC13" s="20">
        <v>9</v>
      </c>
      <c r="BD13" s="24">
        <v>4</v>
      </c>
      <c r="BR13" s="15" t="s">
        <v>143</v>
      </c>
      <c r="BS13" s="16">
        <f>BH3*BJ12</f>
        <v>42700</v>
      </c>
    </row>
    <row r="14" spans="1:71" ht="16.5" x14ac:dyDescent="0.2">
      <c r="A14" s="19">
        <v>10</v>
      </c>
      <c r="B14" s="27">
        <v>4</v>
      </c>
      <c r="C14" s="41">
        <v>60</v>
      </c>
      <c r="D14" s="27">
        <f>INDEX(章节关卡!$C$6:$C$20,芦花古楼!B14)*芦花古楼!C14</f>
        <v>780</v>
      </c>
      <c r="E14" s="24">
        <f t="shared" si="2"/>
        <v>10</v>
      </c>
      <c r="F14" s="24">
        <f t="shared" si="3"/>
        <v>30</v>
      </c>
      <c r="G14" s="16">
        <f>INDEX(章节关卡!$E$6:$E$20,芦花古楼!B14)*芦花古楼!C14</f>
        <v>1500</v>
      </c>
      <c r="J14" s="19">
        <v>10</v>
      </c>
      <c r="K14" s="27">
        <v>5</v>
      </c>
      <c r="L14" s="41">
        <v>120</v>
      </c>
      <c r="M14" s="27">
        <f>INDEX(章节关卡!$C$6:$C$20,芦花古楼!K14)*芦花古楼!L14</f>
        <v>1920</v>
      </c>
      <c r="N14" s="24">
        <f t="shared" si="4"/>
        <v>15</v>
      </c>
      <c r="O14" s="24">
        <f t="shared" si="5"/>
        <v>30</v>
      </c>
      <c r="P14" s="16">
        <f>INDEX(章节关卡!$E$6:$E$20,芦花古楼!K14)*芦花古楼!L14</f>
        <v>3840</v>
      </c>
      <c r="S14" s="19">
        <v>10</v>
      </c>
      <c r="T14" s="27">
        <v>7</v>
      </c>
      <c r="U14" s="41">
        <v>180</v>
      </c>
      <c r="V14" s="27">
        <f>INDEX(章节关卡!$C$6:$C$20,芦花古楼!T14)*芦花古楼!U14</f>
        <v>4500</v>
      </c>
      <c r="W14" s="24">
        <f t="shared" si="0"/>
        <v>20</v>
      </c>
      <c r="X14" s="24">
        <f t="shared" si="1"/>
        <v>30</v>
      </c>
      <c r="Y14" s="16">
        <f>INDEX(章节关卡!$E$6:$E$20,芦花古楼!T14)*芦花古楼!U14</f>
        <v>9000</v>
      </c>
      <c r="AB14" s="19">
        <v>10</v>
      </c>
      <c r="AC14" s="27">
        <v>7</v>
      </c>
      <c r="AD14" s="41">
        <v>180</v>
      </c>
      <c r="AE14" s="27">
        <f>INDEX(章节关卡!$C$6:$C$20,芦花古楼!AC14)*芦花古楼!AD14</f>
        <v>4500</v>
      </c>
      <c r="AF14" s="24">
        <f t="shared" si="6"/>
        <v>25</v>
      </c>
      <c r="AG14" s="24">
        <f t="shared" si="7"/>
        <v>30</v>
      </c>
      <c r="AH14" s="16">
        <f>INDEX(章节关卡!$E$6:$E$20,芦花古楼!AC14)*芦花古楼!AD14</f>
        <v>9000</v>
      </c>
      <c r="AK14" s="20">
        <v>9</v>
      </c>
      <c r="AL14" s="20">
        <v>1</v>
      </c>
      <c r="AN14" s="20">
        <v>9</v>
      </c>
      <c r="AO14" s="20">
        <f t="shared" si="11"/>
        <v>2</v>
      </c>
      <c r="AQ14" s="20">
        <v>9</v>
      </c>
      <c r="AR14" s="20">
        <f t="shared" si="12"/>
        <v>3</v>
      </c>
      <c r="AT14" s="20">
        <v>9</v>
      </c>
      <c r="AU14" s="20">
        <f t="shared" si="13"/>
        <v>4</v>
      </c>
      <c r="AX14" s="20">
        <v>9</v>
      </c>
      <c r="AY14" s="16">
        <f t="shared" si="8"/>
        <v>625</v>
      </c>
      <c r="AZ14" s="16">
        <f t="shared" si="9"/>
        <v>230</v>
      </c>
      <c r="BA14" s="16">
        <f t="shared" si="10"/>
        <v>123120</v>
      </c>
      <c r="BC14" s="20">
        <v>10</v>
      </c>
      <c r="BD14" s="20">
        <v>7</v>
      </c>
      <c r="BG14" s="15" t="s">
        <v>133</v>
      </c>
      <c r="BH14" s="16">
        <f>BH3*BH12</f>
        <v>0</v>
      </c>
      <c r="BR14" s="15" t="s">
        <v>139</v>
      </c>
      <c r="BS14" s="24">
        <f>ROUND(BS13/BL9/BS15/BS12,0)</f>
        <v>15</v>
      </c>
    </row>
    <row r="15" spans="1:71" ht="16.5" x14ac:dyDescent="0.2">
      <c r="A15" s="19">
        <v>11</v>
      </c>
      <c r="B15" s="27">
        <v>5</v>
      </c>
      <c r="C15" s="41">
        <v>60</v>
      </c>
      <c r="D15" s="27">
        <f>INDEX(章节关卡!$C$6:$C$20,芦花古楼!B15)*芦花古楼!C15</f>
        <v>960</v>
      </c>
      <c r="E15" s="24">
        <f t="shared" si="2"/>
        <v>15</v>
      </c>
      <c r="F15" s="24">
        <f t="shared" si="3"/>
        <v>30</v>
      </c>
      <c r="G15" s="16">
        <f>INDEX(章节关卡!$E$6:$E$20,芦花古楼!B15)*芦花古楼!C15</f>
        <v>1920</v>
      </c>
      <c r="J15" s="19">
        <v>11</v>
      </c>
      <c r="K15" s="27">
        <v>5</v>
      </c>
      <c r="L15" s="41">
        <v>120</v>
      </c>
      <c r="M15" s="27">
        <f>INDEX(章节关卡!$C$6:$C$20,芦花古楼!K15)*芦花古楼!L15</f>
        <v>1920</v>
      </c>
      <c r="N15" s="24">
        <f t="shared" si="4"/>
        <v>20</v>
      </c>
      <c r="O15" s="24">
        <f t="shared" si="5"/>
        <v>30</v>
      </c>
      <c r="P15" s="16">
        <f>INDEX(章节关卡!$E$6:$E$20,芦花古楼!K15)*芦花古楼!L15</f>
        <v>3840</v>
      </c>
      <c r="S15" s="19">
        <v>11</v>
      </c>
      <c r="T15" s="27">
        <v>7</v>
      </c>
      <c r="U15" s="41">
        <v>180</v>
      </c>
      <c r="V15" s="27">
        <f>INDEX(章节关卡!$C$6:$C$20,芦花古楼!T15)*芦花古楼!U15</f>
        <v>4500</v>
      </c>
      <c r="W15" s="24">
        <f t="shared" si="0"/>
        <v>25</v>
      </c>
      <c r="X15" s="24">
        <f t="shared" si="1"/>
        <v>30</v>
      </c>
      <c r="Y15" s="16">
        <f>INDEX(章节关卡!$E$6:$E$20,芦花古楼!T15)*芦花古楼!U15</f>
        <v>9000</v>
      </c>
      <c r="AB15" s="19">
        <v>11</v>
      </c>
      <c r="AC15" s="27">
        <v>7</v>
      </c>
      <c r="AD15" s="41">
        <v>180</v>
      </c>
      <c r="AE15" s="27">
        <f>INDEX(章节关卡!$C$6:$C$20,芦花古楼!AC15)*芦花古楼!AD15</f>
        <v>4500</v>
      </c>
      <c r="AF15" s="24">
        <f t="shared" si="6"/>
        <v>30</v>
      </c>
      <c r="AG15" s="24">
        <f t="shared" si="7"/>
        <v>30</v>
      </c>
      <c r="AH15" s="16">
        <f>INDEX(章节关卡!$E$6:$E$20,芦花古楼!AC15)*芦花古楼!AD15</f>
        <v>9000</v>
      </c>
      <c r="AK15" s="20">
        <v>10</v>
      </c>
      <c r="AL15" s="20">
        <v>1</v>
      </c>
      <c r="AN15" s="20">
        <v>10</v>
      </c>
      <c r="AO15" s="20">
        <f t="shared" si="11"/>
        <v>2</v>
      </c>
      <c r="AQ15" s="20">
        <v>10</v>
      </c>
      <c r="AR15" s="20">
        <f t="shared" si="12"/>
        <v>3</v>
      </c>
      <c r="AT15" s="20">
        <v>10</v>
      </c>
      <c r="AU15" s="20">
        <f t="shared" si="13"/>
        <v>4</v>
      </c>
      <c r="AX15" s="20">
        <v>10</v>
      </c>
      <c r="AY15" s="16">
        <f t="shared" si="8"/>
        <v>470</v>
      </c>
      <c r="AZ15" s="16">
        <f t="shared" si="9"/>
        <v>235</v>
      </c>
      <c r="BA15" s="16">
        <f t="shared" si="10"/>
        <v>105840</v>
      </c>
      <c r="BC15" s="20">
        <v>11</v>
      </c>
      <c r="BD15" s="24">
        <v>7</v>
      </c>
      <c r="BR15" s="15" t="s">
        <v>140</v>
      </c>
      <c r="BS15" s="24">
        <f>SUM(BS19:BS43)</f>
        <v>200</v>
      </c>
    </row>
    <row r="16" spans="1:71" ht="17.25" x14ac:dyDescent="0.2">
      <c r="A16" s="19">
        <v>12</v>
      </c>
      <c r="B16" s="27">
        <v>5</v>
      </c>
      <c r="C16" s="41">
        <v>60</v>
      </c>
      <c r="D16" s="27">
        <f>INDEX(章节关卡!$C$6:$C$20,芦花古楼!B16)*芦花古楼!C16</f>
        <v>960</v>
      </c>
      <c r="E16" s="24">
        <f t="shared" si="2"/>
        <v>15</v>
      </c>
      <c r="F16" s="24">
        <f t="shared" si="3"/>
        <v>30</v>
      </c>
      <c r="G16" s="16">
        <f>INDEX(章节关卡!$E$6:$E$20,芦花古楼!B16)*芦花古楼!C16</f>
        <v>1920</v>
      </c>
      <c r="J16" s="19">
        <v>12</v>
      </c>
      <c r="K16" s="27">
        <v>5</v>
      </c>
      <c r="L16" s="41">
        <v>120</v>
      </c>
      <c r="M16" s="27">
        <f>INDEX(章节关卡!$C$6:$C$20,芦花古楼!K16)*芦花古楼!L16</f>
        <v>1920</v>
      </c>
      <c r="N16" s="24">
        <f t="shared" si="4"/>
        <v>20</v>
      </c>
      <c r="O16" s="24">
        <f t="shared" si="5"/>
        <v>30</v>
      </c>
      <c r="P16" s="16">
        <f>INDEX(章节关卡!$E$6:$E$20,芦花古楼!K16)*芦花古楼!L16</f>
        <v>3840</v>
      </c>
      <c r="S16" s="19">
        <v>12</v>
      </c>
      <c r="T16" s="27">
        <v>7</v>
      </c>
      <c r="U16" s="41">
        <v>180</v>
      </c>
      <c r="V16" s="27">
        <f>INDEX(章节关卡!$C$6:$C$20,芦花古楼!T16)*芦花古楼!U16</f>
        <v>4500</v>
      </c>
      <c r="W16" s="24">
        <f t="shared" si="0"/>
        <v>25</v>
      </c>
      <c r="X16" s="24">
        <f t="shared" si="1"/>
        <v>30</v>
      </c>
      <c r="Y16" s="16">
        <f>INDEX(章节关卡!$E$6:$E$20,芦花古楼!T16)*芦花古楼!U16</f>
        <v>9000</v>
      </c>
      <c r="AB16" s="19">
        <v>12</v>
      </c>
      <c r="AC16" s="27">
        <v>7</v>
      </c>
      <c r="AD16" s="41">
        <v>180</v>
      </c>
      <c r="AE16" s="27">
        <f>INDEX(章节关卡!$C$6:$C$20,芦花古楼!AC16)*芦花古楼!AD16</f>
        <v>4500</v>
      </c>
      <c r="AF16" s="24">
        <f t="shared" si="6"/>
        <v>30</v>
      </c>
      <c r="AG16" s="24">
        <f t="shared" si="7"/>
        <v>30</v>
      </c>
      <c r="AH16" s="16">
        <f>INDEX(章节关卡!$E$6:$E$20,芦花古楼!AC16)*芦花古楼!AD16</f>
        <v>9000</v>
      </c>
      <c r="AK16" s="20">
        <v>11</v>
      </c>
      <c r="AL16" s="20">
        <v>2</v>
      </c>
      <c r="AN16" s="20">
        <v>11</v>
      </c>
      <c r="AO16" s="20">
        <f t="shared" si="11"/>
        <v>3</v>
      </c>
      <c r="AQ16" s="20">
        <v>11</v>
      </c>
      <c r="AR16" s="20">
        <f t="shared" si="12"/>
        <v>4</v>
      </c>
      <c r="AT16" s="20">
        <v>11</v>
      </c>
      <c r="AU16" s="20">
        <f t="shared" si="13"/>
        <v>5</v>
      </c>
      <c r="AX16" s="20">
        <v>11</v>
      </c>
      <c r="AY16" s="16">
        <f t="shared" si="8"/>
        <v>430</v>
      </c>
      <c r="AZ16" s="16">
        <f t="shared" si="9"/>
        <v>245</v>
      </c>
      <c r="BA16" s="16">
        <f t="shared" si="10"/>
        <v>102600</v>
      </c>
      <c r="BC16" s="20">
        <v>12</v>
      </c>
      <c r="BD16" s="24">
        <v>7</v>
      </c>
      <c r="BG16" s="12" t="s">
        <v>135</v>
      </c>
      <c r="BH16" s="12" t="s">
        <v>136</v>
      </c>
    </row>
    <row r="17" spans="1:71" ht="16.5" x14ac:dyDescent="0.2">
      <c r="A17" s="19">
        <v>13</v>
      </c>
      <c r="B17" s="27">
        <v>5</v>
      </c>
      <c r="C17" s="41">
        <v>60</v>
      </c>
      <c r="D17" s="27">
        <f>INDEX(章节关卡!$C$6:$C$20,芦花古楼!B17)*芦花古楼!C17</f>
        <v>960</v>
      </c>
      <c r="E17" s="24">
        <f t="shared" si="2"/>
        <v>15</v>
      </c>
      <c r="F17" s="24">
        <f t="shared" si="3"/>
        <v>30</v>
      </c>
      <c r="G17" s="16">
        <f>INDEX(章节关卡!$E$6:$E$20,芦花古楼!B17)*芦花古楼!C17</f>
        <v>1920</v>
      </c>
      <c r="J17" s="19">
        <v>13</v>
      </c>
      <c r="K17" s="27">
        <v>5</v>
      </c>
      <c r="L17" s="41">
        <v>120</v>
      </c>
      <c r="M17" s="27">
        <f>INDEX(章节关卡!$C$6:$C$20,芦花古楼!K17)*芦花古楼!L17</f>
        <v>1920</v>
      </c>
      <c r="N17" s="24">
        <f t="shared" si="4"/>
        <v>20</v>
      </c>
      <c r="O17" s="24">
        <f t="shared" si="5"/>
        <v>30</v>
      </c>
      <c r="P17" s="16">
        <f>INDEX(章节关卡!$E$6:$E$20,芦花古楼!K17)*芦花古楼!L17</f>
        <v>3840</v>
      </c>
      <c r="S17" s="19">
        <v>13</v>
      </c>
      <c r="T17" s="27">
        <v>7</v>
      </c>
      <c r="U17" s="41">
        <v>180</v>
      </c>
      <c r="V17" s="27">
        <f>INDEX(章节关卡!$C$6:$C$20,芦花古楼!T17)*芦花古楼!U17</f>
        <v>4500</v>
      </c>
      <c r="W17" s="24">
        <f t="shared" si="0"/>
        <v>25</v>
      </c>
      <c r="X17" s="24">
        <f t="shared" si="1"/>
        <v>30</v>
      </c>
      <c r="Y17" s="16">
        <f>INDEX(章节关卡!$E$6:$E$20,芦花古楼!T17)*芦花古楼!U17</f>
        <v>9000</v>
      </c>
      <c r="AB17" s="19">
        <v>13</v>
      </c>
      <c r="AC17" s="27">
        <v>7</v>
      </c>
      <c r="AD17" s="41">
        <v>180</v>
      </c>
      <c r="AE17" s="27">
        <f>INDEX(章节关卡!$C$6:$C$20,芦花古楼!AC17)*芦花古楼!AD17</f>
        <v>4500</v>
      </c>
      <c r="AF17" s="24">
        <f t="shared" si="6"/>
        <v>30</v>
      </c>
      <c r="AG17" s="24">
        <f t="shared" si="7"/>
        <v>30</v>
      </c>
      <c r="AH17" s="16">
        <f>INDEX(章节关卡!$E$6:$E$20,芦花古楼!AC17)*芦花古楼!AD17</f>
        <v>9000</v>
      </c>
      <c r="AK17" s="20">
        <v>12</v>
      </c>
      <c r="AL17" s="20">
        <v>2</v>
      </c>
      <c r="AN17" s="20">
        <v>12</v>
      </c>
      <c r="AO17" s="20">
        <f t="shared" si="11"/>
        <v>3</v>
      </c>
      <c r="AQ17" s="20">
        <v>12</v>
      </c>
      <c r="AR17" s="20">
        <f t="shared" si="12"/>
        <v>4</v>
      </c>
      <c r="AT17" s="20">
        <v>12</v>
      </c>
      <c r="AU17" s="20">
        <f t="shared" si="13"/>
        <v>5</v>
      </c>
      <c r="AX17" s="20">
        <v>12</v>
      </c>
      <c r="AY17" s="16">
        <f t="shared" si="8"/>
        <v>385</v>
      </c>
      <c r="AZ17" s="16">
        <f t="shared" si="9"/>
        <v>250</v>
      </c>
      <c r="BA17" s="16">
        <f t="shared" si="10"/>
        <v>74520</v>
      </c>
      <c r="BC17" s="20">
        <v>13</v>
      </c>
      <c r="BD17" s="24">
        <v>7</v>
      </c>
      <c r="BG17" s="24">
        <v>0.5</v>
      </c>
      <c r="BH17" s="24">
        <v>1.01</v>
      </c>
      <c r="BI17" s="16">
        <f>SUM(BH19:BH43)</f>
        <v>190.40317458789144</v>
      </c>
    </row>
    <row r="18" spans="1:71" ht="17.25" x14ac:dyDescent="0.2">
      <c r="A18" s="19">
        <v>14</v>
      </c>
      <c r="B18" s="27">
        <v>5</v>
      </c>
      <c r="C18" s="41">
        <v>60</v>
      </c>
      <c r="D18" s="27">
        <f>INDEX(章节关卡!$C$6:$C$20,芦花古楼!B18)*芦花古楼!C18</f>
        <v>960</v>
      </c>
      <c r="E18" s="24">
        <f t="shared" si="2"/>
        <v>15</v>
      </c>
      <c r="F18" s="24">
        <f t="shared" si="3"/>
        <v>30</v>
      </c>
      <c r="G18" s="16">
        <f>INDEX(章节关卡!$E$6:$E$20,芦花古楼!B18)*芦花古楼!C18</f>
        <v>1920</v>
      </c>
      <c r="J18" s="19">
        <v>14</v>
      </c>
      <c r="K18" s="27">
        <v>5</v>
      </c>
      <c r="L18" s="41">
        <v>120</v>
      </c>
      <c r="M18" s="27">
        <f>INDEX(章节关卡!$C$6:$C$20,芦花古楼!K18)*芦花古楼!L18</f>
        <v>1920</v>
      </c>
      <c r="N18" s="24">
        <f t="shared" si="4"/>
        <v>20</v>
      </c>
      <c r="O18" s="24">
        <f t="shared" si="5"/>
        <v>30</v>
      </c>
      <c r="P18" s="16">
        <f>INDEX(章节关卡!$E$6:$E$20,芦花古楼!K18)*芦花古楼!L18</f>
        <v>3840</v>
      </c>
      <c r="S18" s="19">
        <v>14</v>
      </c>
      <c r="T18" s="27">
        <v>7</v>
      </c>
      <c r="U18" s="41">
        <v>180</v>
      </c>
      <c r="V18" s="27">
        <f>INDEX(章节关卡!$C$6:$C$20,芦花古楼!T18)*芦花古楼!U18</f>
        <v>4500</v>
      </c>
      <c r="W18" s="24">
        <f t="shared" si="0"/>
        <v>25</v>
      </c>
      <c r="X18" s="24">
        <f t="shared" si="1"/>
        <v>30</v>
      </c>
      <c r="Y18" s="16">
        <f>INDEX(章节关卡!$E$6:$E$20,芦花古楼!T18)*芦花古楼!U18</f>
        <v>9000</v>
      </c>
      <c r="AB18" s="19">
        <v>14</v>
      </c>
      <c r="AC18" s="27">
        <v>7</v>
      </c>
      <c r="AD18" s="41">
        <v>180</v>
      </c>
      <c r="AE18" s="27">
        <f>INDEX(章节关卡!$C$6:$C$20,芦花古楼!AC18)*芦花古楼!AD18</f>
        <v>4500</v>
      </c>
      <c r="AF18" s="24">
        <f t="shared" si="6"/>
        <v>30</v>
      </c>
      <c r="AG18" s="24">
        <f t="shared" si="7"/>
        <v>30</v>
      </c>
      <c r="AH18" s="16">
        <f>INDEX(章节关卡!$E$6:$E$20,芦花古楼!AC18)*芦花古楼!AD18</f>
        <v>9000</v>
      </c>
      <c r="AK18" s="20">
        <v>13</v>
      </c>
      <c r="AL18" s="20">
        <v>2</v>
      </c>
      <c r="AN18" s="20">
        <v>13</v>
      </c>
      <c r="AO18" s="20">
        <f t="shared" si="11"/>
        <v>3</v>
      </c>
      <c r="AQ18" s="20">
        <v>13</v>
      </c>
      <c r="AR18" s="20">
        <f t="shared" si="12"/>
        <v>4</v>
      </c>
      <c r="AT18" s="20">
        <v>13</v>
      </c>
      <c r="AU18" s="20">
        <f t="shared" si="13"/>
        <v>5</v>
      </c>
      <c r="AX18" s="20">
        <v>13</v>
      </c>
      <c r="AY18" s="16">
        <f t="shared" si="8"/>
        <v>325</v>
      </c>
      <c r="AZ18" s="16">
        <f t="shared" si="9"/>
        <v>260</v>
      </c>
      <c r="BA18" s="16">
        <f t="shared" si="10"/>
        <v>58320</v>
      </c>
      <c r="BC18" s="20">
        <v>14</v>
      </c>
      <c r="BD18" s="24">
        <v>7</v>
      </c>
      <c r="BG18" s="12" t="s">
        <v>37</v>
      </c>
      <c r="BH18" s="12" t="s">
        <v>134</v>
      </c>
      <c r="BI18" s="12" t="s">
        <v>137</v>
      </c>
      <c r="BJ18" s="12" t="s">
        <v>128</v>
      </c>
      <c r="BK18" s="12" t="s">
        <v>108</v>
      </c>
      <c r="BL18" s="12" t="s">
        <v>109</v>
      </c>
      <c r="BM18" s="12" t="s">
        <v>110</v>
      </c>
      <c r="BN18" s="12" t="s">
        <v>111</v>
      </c>
      <c r="BO18" s="12" t="s">
        <v>112</v>
      </c>
      <c r="BP18" s="12" t="s">
        <v>113</v>
      </c>
      <c r="BR18" s="12" t="s">
        <v>141</v>
      </c>
      <c r="BS18" s="12" t="s">
        <v>142</v>
      </c>
    </row>
    <row r="19" spans="1:71" ht="16.5" x14ac:dyDescent="0.2">
      <c r="A19" s="19">
        <v>15</v>
      </c>
      <c r="B19" s="27">
        <v>5</v>
      </c>
      <c r="C19" s="41">
        <v>60</v>
      </c>
      <c r="D19" s="27">
        <f>INDEX(章节关卡!$C$6:$C$20,芦花古楼!B19)*芦花古楼!C19</f>
        <v>960</v>
      </c>
      <c r="E19" s="24">
        <f t="shared" si="2"/>
        <v>15</v>
      </c>
      <c r="F19" s="24">
        <f t="shared" si="3"/>
        <v>35</v>
      </c>
      <c r="G19" s="16">
        <f>INDEX(章节关卡!$E$6:$E$20,芦花古楼!B19)*芦花古楼!C19</f>
        <v>1920</v>
      </c>
      <c r="J19" s="19">
        <v>15</v>
      </c>
      <c r="K19" s="27">
        <v>6</v>
      </c>
      <c r="L19" s="41">
        <v>120</v>
      </c>
      <c r="M19" s="27">
        <f>INDEX(章节关卡!$C$6:$C$20,芦花古楼!K19)*芦花古楼!L19</f>
        <v>2400</v>
      </c>
      <c r="N19" s="24">
        <f t="shared" si="4"/>
        <v>20</v>
      </c>
      <c r="O19" s="24">
        <f t="shared" si="5"/>
        <v>35</v>
      </c>
      <c r="P19" s="16">
        <f>INDEX(章节关卡!$E$6:$E$20,芦花古楼!K19)*芦花古楼!L19</f>
        <v>4800</v>
      </c>
      <c r="S19" s="19">
        <v>15</v>
      </c>
      <c r="T19" s="27">
        <v>7</v>
      </c>
      <c r="U19" s="41">
        <v>180</v>
      </c>
      <c r="V19" s="27">
        <f>INDEX(章节关卡!$C$6:$C$20,芦花古楼!T19)*芦花古楼!U19</f>
        <v>4500</v>
      </c>
      <c r="W19" s="24">
        <f t="shared" si="0"/>
        <v>25</v>
      </c>
      <c r="X19" s="24">
        <f t="shared" si="1"/>
        <v>35</v>
      </c>
      <c r="Y19" s="16">
        <f>INDEX(章节关卡!$E$6:$E$20,芦花古楼!T19)*芦花古楼!U19</f>
        <v>9000</v>
      </c>
      <c r="AB19" s="19">
        <v>15</v>
      </c>
      <c r="AC19" s="27">
        <v>7</v>
      </c>
      <c r="AD19" s="41">
        <v>180</v>
      </c>
      <c r="AE19" s="27">
        <f>INDEX(章节关卡!$C$6:$C$20,芦花古楼!AC19)*芦花古楼!AD19</f>
        <v>4500</v>
      </c>
      <c r="AF19" s="24">
        <f t="shared" si="6"/>
        <v>30</v>
      </c>
      <c r="AG19" s="24">
        <f t="shared" si="7"/>
        <v>35</v>
      </c>
      <c r="AH19" s="16">
        <f>INDEX(章节关卡!$E$6:$E$20,芦花古楼!AC19)*芦花古楼!AD19</f>
        <v>9000</v>
      </c>
      <c r="AK19" s="20">
        <v>14</v>
      </c>
      <c r="AL19" s="20">
        <v>2</v>
      </c>
      <c r="AN19" s="20">
        <v>14</v>
      </c>
      <c r="AO19" s="20">
        <f t="shared" si="11"/>
        <v>3</v>
      </c>
      <c r="AQ19" s="20">
        <v>14</v>
      </c>
      <c r="AR19" s="20">
        <f t="shared" si="12"/>
        <v>4</v>
      </c>
      <c r="AT19" s="20">
        <v>14</v>
      </c>
      <c r="AU19" s="20">
        <f t="shared" si="13"/>
        <v>5</v>
      </c>
      <c r="AX19" s="20">
        <v>14</v>
      </c>
      <c r="AY19" s="16">
        <f t="shared" si="8"/>
        <v>465</v>
      </c>
      <c r="AZ19" s="16">
        <f t="shared" si="9"/>
        <v>270</v>
      </c>
      <c r="BA19" s="16">
        <f t="shared" si="10"/>
        <v>90720</v>
      </c>
      <c r="BC19" s="20">
        <v>15</v>
      </c>
      <c r="BD19" s="20">
        <v>10</v>
      </c>
      <c r="BG19" s="24">
        <v>1</v>
      </c>
      <c r="BH19" s="24">
        <v>1</v>
      </c>
      <c r="BI19" s="22">
        <f>BH19/BI$17</f>
        <v>5.2520132721757375E-3</v>
      </c>
      <c r="BJ19" s="16">
        <f>INT($BH$14/$BH$9*$BI19*BH$6/5)*5</f>
        <v>0</v>
      </c>
      <c r="BK19" s="16">
        <f t="shared" ref="BK19:BP19" si="14">INT($BH$14/$BH$9*$BI19*BI$6/5)*5</f>
        <v>0</v>
      </c>
      <c r="BL19" s="16">
        <f t="shared" si="14"/>
        <v>0</v>
      </c>
      <c r="BM19" s="16">
        <f t="shared" si="14"/>
        <v>0</v>
      </c>
      <c r="BN19" s="16">
        <f t="shared" si="14"/>
        <v>0</v>
      </c>
      <c r="BO19" s="16">
        <f t="shared" si="14"/>
        <v>0</v>
      </c>
      <c r="BP19" s="16">
        <f t="shared" si="14"/>
        <v>0</v>
      </c>
      <c r="BR19" s="24">
        <v>1</v>
      </c>
      <c r="BS19" s="24">
        <v>1</v>
      </c>
    </row>
    <row r="20" spans="1:71" ht="16.5" x14ac:dyDescent="0.2">
      <c r="A20" s="19">
        <v>16</v>
      </c>
      <c r="B20" s="27">
        <v>6</v>
      </c>
      <c r="C20" s="41">
        <v>60</v>
      </c>
      <c r="D20" s="27">
        <f>INDEX(章节关卡!$C$6:$C$20,芦花古楼!B20)*芦花古楼!C20</f>
        <v>1200</v>
      </c>
      <c r="E20" s="24">
        <f t="shared" si="2"/>
        <v>20</v>
      </c>
      <c r="F20" s="24">
        <f t="shared" si="3"/>
        <v>35</v>
      </c>
      <c r="G20" s="16">
        <f>INDEX(章节关卡!$E$6:$E$20,芦花古楼!B20)*芦花古楼!C20</f>
        <v>2400</v>
      </c>
      <c r="J20" s="19">
        <v>16</v>
      </c>
      <c r="K20" s="27">
        <v>6</v>
      </c>
      <c r="L20" s="41">
        <v>120</v>
      </c>
      <c r="M20" s="27">
        <f>INDEX(章节关卡!$C$6:$C$20,芦花古楼!K20)*芦花古楼!L20</f>
        <v>2400</v>
      </c>
      <c r="N20" s="24">
        <f t="shared" si="4"/>
        <v>25</v>
      </c>
      <c r="O20" s="24">
        <f t="shared" si="5"/>
        <v>35</v>
      </c>
      <c r="P20" s="16">
        <f>INDEX(章节关卡!$E$6:$E$20,芦花古楼!K20)*芦花古楼!L20</f>
        <v>4800</v>
      </c>
      <c r="S20" s="19">
        <v>16</v>
      </c>
      <c r="T20" s="27">
        <v>7</v>
      </c>
      <c r="U20" s="41">
        <v>180</v>
      </c>
      <c r="V20" s="27">
        <f>INDEX(章节关卡!$C$6:$C$20,芦花古楼!T20)*芦花古楼!U20</f>
        <v>4500</v>
      </c>
      <c r="W20" s="24">
        <f t="shared" si="0"/>
        <v>30</v>
      </c>
      <c r="X20" s="24">
        <f t="shared" si="1"/>
        <v>35</v>
      </c>
      <c r="Y20" s="16">
        <f>INDEX(章节关卡!$E$6:$E$20,芦花古楼!T20)*芦花古楼!U20</f>
        <v>9000</v>
      </c>
      <c r="AB20" s="19">
        <v>16</v>
      </c>
      <c r="AC20" s="27">
        <v>7</v>
      </c>
      <c r="AD20" s="41">
        <v>180</v>
      </c>
      <c r="AE20" s="27">
        <f>INDEX(章节关卡!$C$6:$C$20,芦花古楼!AC20)*芦花古楼!AD20</f>
        <v>4500</v>
      </c>
      <c r="AF20" s="24">
        <f t="shared" si="6"/>
        <v>35</v>
      </c>
      <c r="AG20" s="24">
        <f t="shared" si="7"/>
        <v>35</v>
      </c>
      <c r="AH20" s="16">
        <f>INDEX(章节关卡!$E$6:$E$20,芦花古楼!AC20)*芦花古楼!AD20</f>
        <v>9000</v>
      </c>
      <c r="AK20" s="20">
        <v>15</v>
      </c>
      <c r="AL20" s="20">
        <v>2</v>
      </c>
      <c r="AN20" s="20">
        <v>15</v>
      </c>
      <c r="AO20" s="20">
        <f t="shared" si="11"/>
        <v>3</v>
      </c>
      <c r="AQ20" s="20">
        <v>15</v>
      </c>
      <c r="AR20" s="20">
        <f t="shared" si="12"/>
        <v>4</v>
      </c>
      <c r="AT20" s="20">
        <v>15</v>
      </c>
      <c r="AU20" s="20">
        <f t="shared" si="13"/>
        <v>5</v>
      </c>
      <c r="AX20" s="20">
        <v>15</v>
      </c>
      <c r="AY20" s="16">
        <f t="shared" si="8"/>
        <v>480</v>
      </c>
      <c r="AZ20" s="16">
        <f t="shared" si="9"/>
        <v>275</v>
      </c>
      <c r="BA20" s="16">
        <f t="shared" si="10"/>
        <v>94320</v>
      </c>
      <c r="BC20" s="20">
        <v>16</v>
      </c>
      <c r="BD20" s="24">
        <v>10</v>
      </c>
      <c r="BG20" s="24">
        <v>2</v>
      </c>
      <c r="BH20" s="24">
        <f>BH19*$BH$17+$BG$17</f>
        <v>1.51</v>
      </c>
      <c r="BI20" s="22">
        <f t="shared" ref="BI20:BI43" si="15">BH20/BI$17</f>
        <v>7.9305400409853642E-3</v>
      </c>
      <c r="BJ20" s="16">
        <f t="shared" ref="BJ20:BJ44" si="16">INT($BH$14/$BH$9*$BI20*BH$6/5)*5</f>
        <v>0</v>
      </c>
      <c r="BK20" s="16">
        <f t="shared" ref="BK20:BK44" si="17">INT($BH$14/$BH$9*$BI20*BI$6/5)*5</f>
        <v>0</v>
      </c>
      <c r="BL20" s="16">
        <f t="shared" ref="BL20:BL44" si="18">INT($BH$14/$BH$9*$BI20*BJ$6/5)*5</f>
        <v>0</v>
      </c>
      <c r="BM20" s="16">
        <f t="shared" ref="BM20:BM44" si="19">INT($BH$14/$BH$9*$BI20*BK$6/5)*5</f>
        <v>0</v>
      </c>
      <c r="BN20" s="16">
        <f t="shared" ref="BN20:BN44" si="20">INT($BH$14/$BH$9*$BI20*BL$6/5)*5</f>
        <v>0</v>
      </c>
      <c r="BO20" s="16">
        <f t="shared" ref="BO20:BO44" si="21">INT($BH$14/$BH$9*$BI20*BM$6/5)*5</f>
        <v>0</v>
      </c>
      <c r="BP20" s="16">
        <f t="shared" ref="BP20:BP44" si="22">INT($BH$14/$BH$9*$BI20*BN$6/5)*5</f>
        <v>0</v>
      </c>
      <c r="BR20" s="24">
        <v>2</v>
      </c>
      <c r="BS20" s="24">
        <v>1</v>
      </c>
    </row>
    <row r="21" spans="1:71" ht="16.5" x14ac:dyDescent="0.2">
      <c r="A21" s="19">
        <v>17</v>
      </c>
      <c r="B21" s="27">
        <v>6</v>
      </c>
      <c r="C21" s="41">
        <v>60</v>
      </c>
      <c r="D21" s="27">
        <f>INDEX(章节关卡!$C$6:$C$20,芦花古楼!B21)*芦花古楼!C21</f>
        <v>1200</v>
      </c>
      <c r="E21" s="24">
        <f t="shared" si="2"/>
        <v>20</v>
      </c>
      <c r="F21" s="24">
        <f t="shared" si="3"/>
        <v>35</v>
      </c>
      <c r="G21" s="16">
        <f>INDEX(章节关卡!$E$6:$E$20,芦花古楼!B21)*芦花古楼!C21</f>
        <v>2400</v>
      </c>
      <c r="J21" s="19">
        <v>17</v>
      </c>
      <c r="K21" s="27">
        <v>6</v>
      </c>
      <c r="L21" s="41">
        <v>120</v>
      </c>
      <c r="M21" s="27">
        <f>INDEX(章节关卡!$C$6:$C$20,芦花古楼!K21)*芦花古楼!L21</f>
        <v>2400</v>
      </c>
      <c r="N21" s="24">
        <f t="shared" si="4"/>
        <v>25</v>
      </c>
      <c r="O21" s="24">
        <f t="shared" si="5"/>
        <v>35</v>
      </c>
      <c r="P21" s="16">
        <f>INDEX(章节关卡!$E$6:$E$20,芦花古楼!K21)*芦花古楼!L21</f>
        <v>4800</v>
      </c>
      <c r="S21" s="19">
        <v>17</v>
      </c>
      <c r="T21" s="27">
        <v>7</v>
      </c>
      <c r="U21" s="41">
        <v>180</v>
      </c>
      <c r="V21" s="27">
        <f>INDEX(章节关卡!$C$6:$C$20,芦花古楼!T21)*芦花古楼!U21</f>
        <v>4500</v>
      </c>
      <c r="W21" s="24">
        <f t="shared" si="0"/>
        <v>30</v>
      </c>
      <c r="X21" s="24">
        <f t="shared" si="1"/>
        <v>35</v>
      </c>
      <c r="Y21" s="16">
        <f>INDEX(章节关卡!$E$6:$E$20,芦花古楼!T21)*芦花古楼!U21</f>
        <v>9000</v>
      </c>
      <c r="AB21" s="19">
        <v>17</v>
      </c>
      <c r="AC21" s="27">
        <v>7</v>
      </c>
      <c r="AD21" s="41">
        <v>180</v>
      </c>
      <c r="AE21" s="27">
        <f>INDEX(章节关卡!$C$6:$C$20,芦花古楼!AC21)*芦花古楼!AD21</f>
        <v>4500</v>
      </c>
      <c r="AF21" s="24">
        <f t="shared" si="6"/>
        <v>35</v>
      </c>
      <c r="AG21" s="24">
        <f t="shared" si="7"/>
        <v>35</v>
      </c>
      <c r="AH21" s="16">
        <f>INDEX(章节关卡!$E$6:$E$20,芦花古楼!AC21)*芦花古楼!AD21</f>
        <v>9000</v>
      </c>
      <c r="AK21" s="20">
        <v>16</v>
      </c>
      <c r="AL21" s="20">
        <v>2</v>
      </c>
      <c r="AN21" s="20">
        <v>16</v>
      </c>
      <c r="AO21" s="20">
        <f t="shared" si="11"/>
        <v>3</v>
      </c>
      <c r="AQ21" s="20">
        <v>16</v>
      </c>
      <c r="AR21" s="20">
        <f t="shared" si="12"/>
        <v>4</v>
      </c>
      <c r="AT21" s="20">
        <v>16</v>
      </c>
      <c r="AU21" s="20">
        <f t="shared" si="13"/>
        <v>5</v>
      </c>
      <c r="AX21" s="20">
        <v>16</v>
      </c>
      <c r="AY21" s="16">
        <f t="shared" si="8"/>
        <v>495</v>
      </c>
      <c r="AZ21" s="16">
        <f t="shared" si="9"/>
        <v>285</v>
      </c>
      <c r="BA21" s="16">
        <f t="shared" si="10"/>
        <v>101520</v>
      </c>
      <c r="BC21" s="20">
        <v>17</v>
      </c>
      <c r="BD21" s="24">
        <v>10</v>
      </c>
      <c r="BG21" s="24">
        <v>3</v>
      </c>
      <c r="BH21" s="24">
        <f t="shared" ref="BH21:BH43" si="23">BH20*$BH$17+$BG$17</f>
        <v>2.0251000000000001</v>
      </c>
      <c r="BI21" s="22">
        <f t="shared" si="15"/>
        <v>1.0635852077483087E-2</v>
      </c>
      <c r="BJ21" s="16">
        <f t="shared" si="16"/>
        <v>0</v>
      </c>
      <c r="BK21" s="16">
        <f t="shared" si="17"/>
        <v>0</v>
      </c>
      <c r="BL21" s="16">
        <f t="shared" si="18"/>
        <v>0</v>
      </c>
      <c r="BM21" s="16">
        <f t="shared" si="19"/>
        <v>0</v>
      </c>
      <c r="BN21" s="16">
        <f t="shared" si="20"/>
        <v>0</v>
      </c>
      <c r="BO21" s="16">
        <f t="shared" si="21"/>
        <v>0</v>
      </c>
      <c r="BP21" s="16">
        <f t="shared" si="22"/>
        <v>0</v>
      </c>
      <c r="BR21" s="24">
        <v>3</v>
      </c>
      <c r="BS21" s="24">
        <v>2</v>
      </c>
    </row>
    <row r="22" spans="1:71" ht="16.5" x14ac:dyDescent="0.2">
      <c r="A22" s="19">
        <v>18</v>
      </c>
      <c r="B22" s="27">
        <v>6</v>
      </c>
      <c r="C22" s="41">
        <v>60</v>
      </c>
      <c r="D22" s="27">
        <f>INDEX(章节关卡!$C$6:$C$20,芦花古楼!B22)*芦花古楼!C22</f>
        <v>1200</v>
      </c>
      <c r="E22" s="24">
        <f t="shared" si="2"/>
        <v>20</v>
      </c>
      <c r="F22" s="24">
        <f t="shared" si="3"/>
        <v>35</v>
      </c>
      <c r="G22" s="16">
        <f>INDEX(章节关卡!$E$6:$E$20,芦花古楼!B22)*芦花古楼!C22</f>
        <v>2400</v>
      </c>
      <c r="J22" s="19">
        <v>18</v>
      </c>
      <c r="K22" s="27">
        <v>6</v>
      </c>
      <c r="L22" s="41">
        <v>120</v>
      </c>
      <c r="M22" s="27">
        <f>INDEX(章节关卡!$C$6:$C$20,芦花古楼!K22)*芦花古楼!L22</f>
        <v>2400</v>
      </c>
      <c r="N22" s="24">
        <f t="shared" si="4"/>
        <v>25</v>
      </c>
      <c r="O22" s="24">
        <f t="shared" si="5"/>
        <v>35</v>
      </c>
      <c r="P22" s="16">
        <f>INDEX(章节关卡!$E$6:$E$20,芦花古楼!K22)*芦花古楼!L22</f>
        <v>4800</v>
      </c>
      <c r="S22" s="19">
        <v>18</v>
      </c>
      <c r="T22" s="27">
        <v>7</v>
      </c>
      <c r="U22" s="41">
        <v>180</v>
      </c>
      <c r="V22" s="27">
        <f>INDEX(章节关卡!$C$6:$C$20,芦花古楼!T22)*芦花古楼!U22</f>
        <v>4500</v>
      </c>
      <c r="W22" s="24">
        <f t="shared" si="0"/>
        <v>30</v>
      </c>
      <c r="X22" s="24">
        <f t="shared" si="1"/>
        <v>35</v>
      </c>
      <c r="Y22" s="16">
        <f>INDEX(章节关卡!$E$6:$E$20,芦花古楼!T22)*芦花古楼!U22</f>
        <v>9000</v>
      </c>
      <c r="AB22" s="19">
        <v>18</v>
      </c>
      <c r="AC22" s="27">
        <v>7</v>
      </c>
      <c r="AD22" s="41">
        <v>180</v>
      </c>
      <c r="AE22" s="27">
        <f>INDEX(章节关卡!$C$6:$C$20,芦花古楼!AC22)*芦花古楼!AD22</f>
        <v>4500</v>
      </c>
      <c r="AF22" s="24">
        <f t="shared" si="6"/>
        <v>35</v>
      </c>
      <c r="AG22" s="24">
        <f t="shared" si="7"/>
        <v>35</v>
      </c>
      <c r="AH22" s="16">
        <f>INDEX(章节关卡!$E$6:$E$20,芦花古楼!AC22)*芦花古楼!AD22</f>
        <v>9000</v>
      </c>
      <c r="AK22" s="20">
        <v>17</v>
      </c>
      <c r="AL22" s="20">
        <v>2</v>
      </c>
      <c r="AN22" s="20">
        <v>17</v>
      </c>
      <c r="AO22" s="20">
        <f t="shared" si="11"/>
        <v>3</v>
      </c>
      <c r="AQ22" s="20">
        <v>17</v>
      </c>
      <c r="AR22" s="20">
        <f t="shared" si="12"/>
        <v>4</v>
      </c>
      <c r="AT22" s="20">
        <v>17</v>
      </c>
      <c r="AU22" s="20">
        <f t="shared" si="13"/>
        <v>5</v>
      </c>
      <c r="AX22" s="20">
        <v>17</v>
      </c>
      <c r="AY22" s="16">
        <f t="shared" si="8"/>
        <v>515</v>
      </c>
      <c r="AZ22" s="16">
        <f t="shared" si="9"/>
        <v>290</v>
      </c>
      <c r="BA22" s="16">
        <f t="shared" si="10"/>
        <v>105120</v>
      </c>
      <c r="BC22" s="20">
        <v>18</v>
      </c>
      <c r="BD22" s="24">
        <v>10</v>
      </c>
      <c r="BG22" s="24">
        <v>4</v>
      </c>
      <c r="BH22" s="24">
        <f t="shared" si="23"/>
        <v>2.5453510000000001</v>
      </c>
      <c r="BI22" s="22">
        <f t="shared" si="15"/>
        <v>1.3368217234345788E-2</v>
      </c>
      <c r="BJ22" s="16">
        <f t="shared" si="16"/>
        <v>0</v>
      </c>
      <c r="BK22" s="16">
        <f t="shared" si="17"/>
        <v>0</v>
      </c>
      <c r="BL22" s="16">
        <f t="shared" si="18"/>
        <v>0</v>
      </c>
      <c r="BM22" s="16">
        <f t="shared" si="19"/>
        <v>0</v>
      </c>
      <c r="BN22" s="16">
        <f t="shared" si="20"/>
        <v>0</v>
      </c>
      <c r="BO22" s="16">
        <f t="shared" si="21"/>
        <v>0</v>
      </c>
      <c r="BP22" s="16">
        <f t="shared" si="22"/>
        <v>0</v>
      </c>
      <c r="BR22" s="24">
        <v>4</v>
      </c>
      <c r="BS22" s="24">
        <v>3</v>
      </c>
    </row>
    <row r="23" spans="1:71" ht="16.5" x14ac:dyDescent="0.2">
      <c r="A23" s="19">
        <v>19</v>
      </c>
      <c r="B23" s="27">
        <v>6</v>
      </c>
      <c r="C23" s="41">
        <v>60</v>
      </c>
      <c r="D23" s="27">
        <f>INDEX(章节关卡!$C$6:$C$20,芦花古楼!B23)*芦花古楼!C23</f>
        <v>1200</v>
      </c>
      <c r="E23" s="24">
        <f t="shared" si="2"/>
        <v>20</v>
      </c>
      <c r="F23" s="24">
        <f t="shared" si="3"/>
        <v>35</v>
      </c>
      <c r="G23" s="16">
        <f>INDEX(章节关卡!$E$6:$E$20,芦花古楼!B23)*芦花古楼!C23</f>
        <v>2400</v>
      </c>
      <c r="J23" s="19">
        <v>19</v>
      </c>
      <c r="K23" s="27">
        <v>6</v>
      </c>
      <c r="L23" s="41">
        <v>120</v>
      </c>
      <c r="M23" s="27">
        <f>INDEX(章节关卡!$C$6:$C$20,芦花古楼!K23)*芦花古楼!L23</f>
        <v>2400</v>
      </c>
      <c r="N23" s="24">
        <f t="shared" si="4"/>
        <v>25</v>
      </c>
      <c r="O23" s="24">
        <f t="shared" si="5"/>
        <v>35</v>
      </c>
      <c r="P23" s="16">
        <f>INDEX(章节关卡!$E$6:$E$20,芦花古楼!K23)*芦花古楼!L23</f>
        <v>4800</v>
      </c>
      <c r="S23" s="19">
        <v>19</v>
      </c>
      <c r="T23" s="27">
        <v>7</v>
      </c>
      <c r="U23" s="41">
        <v>180</v>
      </c>
      <c r="V23" s="27">
        <f>INDEX(章节关卡!$C$6:$C$20,芦花古楼!T23)*芦花古楼!U23</f>
        <v>4500</v>
      </c>
      <c r="W23" s="24">
        <f t="shared" si="0"/>
        <v>30</v>
      </c>
      <c r="X23" s="24">
        <f t="shared" si="1"/>
        <v>35</v>
      </c>
      <c r="Y23" s="16">
        <f>INDEX(章节关卡!$E$6:$E$20,芦花古楼!T23)*芦花古楼!U23</f>
        <v>9000</v>
      </c>
      <c r="AB23" s="19">
        <v>19</v>
      </c>
      <c r="AC23" s="27">
        <v>7</v>
      </c>
      <c r="AD23" s="41">
        <v>180</v>
      </c>
      <c r="AE23" s="27">
        <f>INDEX(章节关卡!$C$6:$C$20,芦花古楼!AC23)*芦花古楼!AD23</f>
        <v>4500</v>
      </c>
      <c r="AF23" s="24">
        <f t="shared" si="6"/>
        <v>35</v>
      </c>
      <c r="AG23" s="24">
        <f t="shared" si="7"/>
        <v>35</v>
      </c>
      <c r="AH23" s="16">
        <f>INDEX(章节关卡!$E$6:$E$20,芦花古楼!AC23)*芦花古楼!AD23</f>
        <v>9000</v>
      </c>
      <c r="AK23" s="20">
        <v>18</v>
      </c>
      <c r="AL23" s="20">
        <v>3</v>
      </c>
      <c r="AN23" s="20">
        <v>18</v>
      </c>
      <c r="AO23" s="20">
        <f t="shared" si="11"/>
        <v>4</v>
      </c>
      <c r="AQ23" s="20">
        <v>18</v>
      </c>
      <c r="AR23" s="20">
        <f t="shared" si="12"/>
        <v>5</v>
      </c>
      <c r="AT23" s="20">
        <v>18</v>
      </c>
      <c r="AU23" s="20">
        <f t="shared" si="13"/>
        <v>6</v>
      </c>
      <c r="AX23" s="20">
        <v>18</v>
      </c>
      <c r="AY23" s="16">
        <f t="shared" si="8"/>
        <v>525</v>
      </c>
      <c r="AZ23" s="16">
        <f t="shared" si="9"/>
        <v>300</v>
      </c>
      <c r="BA23" s="16">
        <f t="shared" si="10"/>
        <v>106200</v>
      </c>
      <c r="BC23" s="20">
        <v>19</v>
      </c>
      <c r="BD23" s="24">
        <v>10</v>
      </c>
      <c r="BG23" s="24">
        <v>5</v>
      </c>
      <c r="BH23" s="24">
        <f t="shared" si="23"/>
        <v>3.0708045100000003</v>
      </c>
      <c r="BI23" s="22">
        <f t="shared" si="15"/>
        <v>1.6127906042777116E-2</v>
      </c>
      <c r="BJ23" s="16">
        <f t="shared" si="16"/>
        <v>0</v>
      </c>
      <c r="BK23" s="16">
        <f t="shared" si="17"/>
        <v>0</v>
      </c>
      <c r="BL23" s="16">
        <f t="shared" si="18"/>
        <v>0</v>
      </c>
      <c r="BM23" s="16">
        <f t="shared" si="19"/>
        <v>0</v>
      </c>
      <c r="BN23" s="16">
        <f t="shared" si="20"/>
        <v>0</v>
      </c>
      <c r="BO23" s="16">
        <f t="shared" si="21"/>
        <v>0</v>
      </c>
      <c r="BP23" s="16">
        <f t="shared" si="22"/>
        <v>0</v>
      </c>
      <c r="BR23" s="24">
        <v>5</v>
      </c>
      <c r="BS23" s="24">
        <v>3</v>
      </c>
    </row>
    <row r="24" spans="1:71" ht="16.5" x14ac:dyDescent="0.2">
      <c r="A24" s="19">
        <v>20</v>
      </c>
      <c r="B24" s="27">
        <v>6</v>
      </c>
      <c r="C24" s="41">
        <v>60</v>
      </c>
      <c r="D24" s="27">
        <f>INDEX(章节关卡!$C$6:$C$20,芦花古楼!B24)*芦花古楼!C24</f>
        <v>1200</v>
      </c>
      <c r="E24" s="24">
        <f t="shared" si="2"/>
        <v>20</v>
      </c>
      <c r="F24" s="24">
        <f t="shared" si="3"/>
        <v>40</v>
      </c>
      <c r="G24" s="16">
        <f>INDEX(章节关卡!$E$6:$E$20,芦花古楼!B24)*芦花古楼!C24</f>
        <v>2400</v>
      </c>
      <c r="J24" s="19">
        <v>20</v>
      </c>
      <c r="K24" s="27">
        <v>6</v>
      </c>
      <c r="L24" s="41">
        <v>120</v>
      </c>
      <c r="M24" s="27">
        <f>INDEX(章节关卡!$C$6:$C$20,芦花古楼!K24)*芦花古楼!L24</f>
        <v>2400</v>
      </c>
      <c r="N24" s="24">
        <f t="shared" si="4"/>
        <v>25</v>
      </c>
      <c r="O24" s="24">
        <f t="shared" si="5"/>
        <v>40</v>
      </c>
      <c r="P24" s="16">
        <f>INDEX(章节关卡!$E$6:$E$20,芦花古楼!K24)*芦花古楼!L24</f>
        <v>4800</v>
      </c>
      <c r="S24" s="19">
        <v>20</v>
      </c>
      <c r="T24" s="27">
        <v>8</v>
      </c>
      <c r="U24" s="41">
        <v>180</v>
      </c>
      <c r="V24" s="27">
        <f>INDEX(章节关卡!$C$6:$C$20,芦花古楼!T24)*芦花古楼!U24</f>
        <v>5400</v>
      </c>
      <c r="W24" s="24">
        <f t="shared" si="0"/>
        <v>30</v>
      </c>
      <c r="X24" s="24">
        <f t="shared" si="1"/>
        <v>40</v>
      </c>
      <c r="Y24" s="16">
        <f>INDEX(章节关卡!$E$6:$E$20,芦花古楼!T24)*芦花古楼!U24</f>
        <v>10800</v>
      </c>
      <c r="AB24" s="19">
        <v>20</v>
      </c>
      <c r="AC24" s="27">
        <v>8</v>
      </c>
      <c r="AD24" s="41">
        <v>180</v>
      </c>
      <c r="AE24" s="27">
        <f>INDEX(章节关卡!$C$6:$C$20,芦花古楼!AC24)*芦花古楼!AD24</f>
        <v>5400</v>
      </c>
      <c r="AF24" s="24">
        <f t="shared" si="6"/>
        <v>35</v>
      </c>
      <c r="AG24" s="24">
        <f t="shared" si="7"/>
        <v>40</v>
      </c>
      <c r="AH24" s="16">
        <f>INDEX(章节关卡!$E$6:$E$20,芦花古楼!AC24)*芦花古楼!AD24</f>
        <v>10800</v>
      </c>
      <c r="AK24" s="20">
        <v>19</v>
      </c>
      <c r="AL24" s="20">
        <v>3</v>
      </c>
      <c r="AN24" s="20">
        <v>19</v>
      </c>
      <c r="AO24" s="20">
        <f t="shared" si="11"/>
        <v>4</v>
      </c>
      <c r="AQ24" s="20">
        <v>19</v>
      </c>
      <c r="AR24" s="20">
        <f t="shared" si="12"/>
        <v>5</v>
      </c>
      <c r="AT24" s="20">
        <v>19</v>
      </c>
      <c r="AU24" s="20">
        <f t="shared" si="13"/>
        <v>6</v>
      </c>
      <c r="AX24" s="20">
        <v>19</v>
      </c>
      <c r="AY24" s="16">
        <f t="shared" si="8"/>
        <v>480</v>
      </c>
      <c r="AZ24" s="16">
        <f t="shared" si="9"/>
        <v>310</v>
      </c>
      <c r="BA24" s="16">
        <f t="shared" si="10"/>
        <v>104040</v>
      </c>
      <c r="BC24" s="20">
        <v>20</v>
      </c>
      <c r="BD24" s="24">
        <v>20</v>
      </c>
      <c r="BG24" s="24">
        <v>6</v>
      </c>
      <c r="BH24" s="24">
        <f t="shared" si="23"/>
        <v>3.6015125551000002</v>
      </c>
      <c r="BI24" s="22">
        <f t="shared" si="15"/>
        <v>1.8915191739292753E-2</v>
      </c>
      <c r="BJ24" s="16">
        <f t="shared" si="16"/>
        <v>0</v>
      </c>
      <c r="BK24" s="16">
        <f t="shared" si="17"/>
        <v>0</v>
      </c>
      <c r="BL24" s="16">
        <f t="shared" si="18"/>
        <v>0</v>
      </c>
      <c r="BM24" s="16">
        <f t="shared" si="19"/>
        <v>0</v>
      </c>
      <c r="BN24" s="16">
        <f t="shared" si="20"/>
        <v>0</v>
      </c>
      <c r="BO24" s="16">
        <f t="shared" si="21"/>
        <v>0</v>
      </c>
      <c r="BP24" s="16">
        <f t="shared" si="22"/>
        <v>0</v>
      </c>
      <c r="BR24" s="24">
        <v>6</v>
      </c>
      <c r="BS24" s="24">
        <v>5</v>
      </c>
    </row>
    <row r="25" spans="1:71" ht="16.5" x14ac:dyDescent="0.2">
      <c r="A25" s="19">
        <v>21</v>
      </c>
      <c r="B25" s="27">
        <v>7</v>
      </c>
      <c r="C25" s="41">
        <v>60</v>
      </c>
      <c r="D25" s="27">
        <f>INDEX(章节关卡!$C$6:$C$20,芦花古楼!B25)*芦花古楼!C25</f>
        <v>1500</v>
      </c>
      <c r="E25" s="24">
        <f t="shared" si="2"/>
        <v>25</v>
      </c>
      <c r="F25" s="24">
        <f t="shared" si="3"/>
        <v>40</v>
      </c>
      <c r="G25" s="16">
        <f>INDEX(章节关卡!$E$6:$E$20,芦花古楼!B25)*芦花古楼!C25</f>
        <v>3000</v>
      </c>
      <c r="J25" s="19">
        <v>21</v>
      </c>
      <c r="K25" s="27">
        <v>6</v>
      </c>
      <c r="L25" s="41">
        <v>120</v>
      </c>
      <c r="M25" s="27">
        <f>INDEX(章节关卡!$C$6:$C$20,芦花古楼!K25)*芦花古楼!L25</f>
        <v>2400</v>
      </c>
      <c r="N25" s="24">
        <f t="shared" si="4"/>
        <v>30</v>
      </c>
      <c r="O25" s="24">
        <f t="shared" si="5"/>
        <v>40</v>
      </c>
      <c r="P25" s="16">
        <f>INDEX(章节关卡!$E$6:$E$20,芦花古楼!K25)*芦花古楼!L25</f>
        <v>4800</v>
      </c>
      <c r="S25" s="19">
        <v>21</v>
      </c>
      <c r="T25" s="27">
        <v>8</v>
      </c>
      <c r="U25" s="41">
        <v>180</v>
      </c>
      <c r="V25" s="27">
        <f>INDEX(章节关卡!$C$6:$C$20,芦花古楼!T25)*芦花古楼!U25</f>
        <v>5400</v>
      </c>
      <c r="W25" s="24">
        <f t="shared" si="0"/>
        <v>35</v>
      </c>
      <c r="X25" s="24">
        <f t="shared" si="1"/>
        <v>40</v>
      </c>
      <c r="Y25" s="16">
        <f>INDEX(章节关卡!$E$6:$E$20,芦花古楼!T25)*芦花古楼!U25</f>
        <v>10800</v>
      </c>
      <c r="AB25" s="19">
        <v>21</v>
      </c>
      <c r="AC25" s="27">
        <v>8</v>
      </c>
      <c r="AD25" s="41">
        <v>180</v>
      </c>
      <c r="AE25" s="27">
        <f>INDEX(章节关卡!$C$6:$C$20,芦花古楼!AC25)*芦花古楼!AD25</f>
        <v>5400</v>
      </c>
      <c r="AF25" s="24">
        <f t="shared" si="6"/>
        <v>40</v>
      </c>
      <c r="AG25" s="24">
        <f t="shared" si="7"/>
        <v>40</v>
      </c>
      <c r="AH25" s="16">
        <f>INDEX(章节关卡!$E$6:$E$20,芦花古楼!AC25)*芦花古楼!AD25</f>
        <v>10800</v>
      </c>
      <c r="AK25" s="20">
        <v>20</v>
      </c>
      <c r="AL25" s="20">
        <v>3</v>
      </c>
      <c r="AN25" s="20">
        <v>20</v>
      </c>
      <c r="AO25" s="20">
        <f t="shared" si="11"/>
        <v>4</v>
      </c>
      <c r="AQ25" s="20">
        <v>20</v>
      </c>
      <c r="AR25" s="20">
        <f t="shared" si="12"/>
        <v>5</v>
      </c>
      <c r="AT25" s="20">
        <v>20</v>
      </c>
      <c r="AU25" s="20">
        <f t="shared" si="13"/>
        <v>6</v>
      </c>
      <c r="AX25" s="20">
        <v>20</v>
      </c>
      <c r="AY25" s="16">
        <f t="shared" si="8"/>
        <v>425</v>
      </c>
      <c r="AZ25" s="16">
        <f t="shared" si="9"/>
        <v>315</v>
      </c>
      <c r="BA25" s="16">
        <f t="shared" si="10"/>
        <v>99000</v>
      </c>
      <c r="BC25" s="20">
        <v>21</v>
      </c>
      <c r="BD25" s="24">
        <v>20</v>
      </c>
      <c r="BG25" s="24">
        <v>7</v>
      </c>
      <c r="BH25" s="24">
        <f t="shared" si="23"/>
        <v>4.1375276806510008</v>
      </c>
      <c r="BI25" s="22">
        <f t="shared" si="15"/>
        <v>2.1730350292773554E-2</v>
      </c>
      <c r="BJ25" s="16">
        <f t="shared" si="16"/>
        <v>0</v>
      </c>
      <c r="BK25" s="16">
        <f t="shared" si="17"/>
        <v>0</v>
      </c>
      <c r="BL25" s="16">
        <f t="shared" si="18"/>
        <v>0</v>
      </c>
      <c r="BM25" s="16">
        <f t="shared" si="19"/>
        <v>0</v>
      </c>
      <c r="BN25" s="16">
        <f t="shared" si="20"/>
        <v>0</v>
      </c>
      <c r="BO25" s="16">
        <f t="shared" si="21"/>
        <v>0</v>
      </c>
      <c r="BP25" s="16">
        <f t="shared" si="22"/>
        <v>0</v>
      </c>
      <c r="BR25" s="24">
        <v>7</v>
      </c>
      <c r="BS25" s="24">
        <v>5</v>
      </c>
    </row>
    <row r="26" spans="1:71" ht="16.5" x14ac:dyDescent="0.2">
      <c r="A26" s="19">
        <v>22</v>
      </c>
      <c r="B26" s="27">
        <v>7</v>
      </c>
      <c r="C26" s="41">
        <v>60</v>
      </c>
      <c r="D26" s="27">
        <f>INDEX(章节关卡!$C$6:$C$20,芦花古楼!B26)*芦花古楼!C26</f>
        <v>1500</v>
      </c>
      <c r="E26" s="24">
        <f t="shared" si="2"/>
        <v>25</v>
      </c>
      <c r="F26" s="24">
        <f t="shared" si="3"/>
        <v>40</v>
      </c>
      <c r="G26" s="16">
        <f>INDEX(章节关卡!$E$6:$E$20,芦花古楼!B26)*芦花古楼!C26</f>
        <v>3000</v>
      </c>
      <c r="J26" s="19">
        <v>22</v>
      </c>
      <c r="K26" s="27">
        <v>6</v>
      </c>
      <c r="L26" s="41">
        <v>120</v>
      </c>
      <c r="M26" s="27">
        <f>INDEX(章节关卡!$C$6:$C$20,芦花古楼!K26)*芦花古楼!L26</f>
        <v>2400</v>
      </c>
      <c r="N26" s="24">
        <f t="shared" si="4"/>
        <v>30</v>
      </c>
      <c r="O26" s="24">
        <f t="shared" si="5"/>
        <v>40</v>
      </c>
      <c r="P26" s="16">
        <f>INDEX(章节关卡!$E$6:$E$20,芦花古楼!K26)*芦花古楼!L26</f>
        <v>4800</v>
      </c>
      <c r="S26" s="19">
        <v>22</v>
      </c>
      <c r="T26" s="27">
        <v>8</v>
      </c>
      <c r="U26" s="41">
        <v>180</v>
      </c>
      <c r="V26" s="27">
        <f>INDEX(章节关卡!$C$6:$C$20,芦花古楼!T26)*芦花古楼!U26</f>
        <v>5400</v>
      </c>
      <c r="W26" s="24">
        <f t="shared" si="0"/>
        <v>35</v>
      </c>
      <c r="X26" s="24">
        <f t="shared" si="1"/>
        <v>40</v>
      </c>
      <c r="Y26" s="16">
        <f>INDEX(章节关卡!$E$6:$E$20,芦花古楼!T26)*芦花古楼!U26</f>
        <v>10800</v>
      </c>
      <c r="AB26" s="19">
        <v>22</v>
      </c>
      <c r="AC26" s="27">
        <v>8</v>
      </c>
      <c r="AD26" s="41">
        <v>180</v>
      </c>
      <c r="AE26" s="27">
        <f>INDEX(章节关卡!$C$6:$C$20,芦花古楼!AC26)*芦花古楼!AD26</f>
        <v>5400</v>
      </c>
      <c r="AF26" s="24">
        <f t="shared" si="6"/>
        <v>40</v>
      </c>
      <c r="AG26" s="24">
        <f t="shared" si="7"/>
        <v>40</v>
      </c>
      <c r="AH26" s="16">
        <f>INDEX(章节关卡!$E$6:$E$20,芦花古楼!AC26)*芦花古楼!AD26</f>
        <v>10800</v>
      </c>
      <c r="AK26" s="20">
        <v>21</v>
      </c>
      <c r="AL26" s="20">
        <v>3</v>
      </c>
      <c r="AN26" s="20">
        <v>21</v>
      </c>
      <c r="AO26" s="20">
        <f t="shared" si="11"/>
        <v>4</v>
      </c>
      <c r="AQ26" s="20">
        <v>21</v>
      </c>
      <c r="AR26" s="20">
        <f t="shared" si="12"/>
        <v>5</v>
      </c>
      <c r="AT26" s="20">
        <v>21</v>
      </c>
      <c r="AU26" s="20">
        <f t="shared" si="13"/>
        <v>6</v>
      </c>
      <c r="AX26" s="20">
        <v>21</v>
      </c>
      <c r="AY26" s="16">
        <f t="shared" si="8"/>
        <v>360</v>
      </c>
      <c r="AZ26" s="16">
        <f t="shared" si="9"/>
        <v>320</v>
      </c>
      <c r="BA26" s="16">
        <f t="shared" si="10"/>
        <v>82800</v>
      </c>
      <c r="BC26" s="20">
        <v>22</v>
      </c>
      <c r="BD26" s="24">
        <v>20</v>
      </c>
      <c r="BG26" s="24">
        <v>8</v>
      </c>
      <c r="BH26" s="24">
        <f t="shared" si="23"/>
        <v>4.6789029574575105</v>
      </c>
      <c r="BI26" s="22">
        <f t="shared" si="15"/>
        <v>2.4573660431789157E-2</v>
      </c>
      <c r="BJ26" s="16">
        <f t="shared" si="16"/>
        <v>0</v>
      </c>
      <c r="BK26" s="16">
        <f t="shared" si="17"/>
        <v>0</v>
      </c>
      <c r="BL26" s="16">
        <f t="shared" si="18"/>
        <v>0</v>
      </c>
      <c r="BM26" s="16">
        <f t="shared" si="19"/>
        <v>0</v>
      </c>
      <c r="BN26" s="16">
        <f t="shared" si="20"/>
        <v>0</v>
      </c>
      <c r="BO26" s="16">
        <f t="shared" si="21"/>
        <v>0</v>
      </c>
      <c r="BP26" s="16">
        <f t="shared" si="22"/>
        <v>0</v>
      </c>
      <c r="BR26" s="24">
        <v>8</v>
      </c>
      <c r="BS26" s="24">
        <v>5</v>
      </c>
    </row>
    <row r="27" spans="1:71" ht="16.5" x14ac:dyDescent="0.2">
      <c r="A27" s="19">
        <v>23</v>
      </c>
      <c r="B27" s="27">
        <v>7</v>
      </c>
      <c r="C27" s="41">
        <v>60</v>
      </c>
      <c r="D27" s="27">
        <f>INDEX(章节关卡!$C$6:$C$20,芦花古楼!B27)*芦花古楼!C27</f>
        <v>1500</v>
      </c>
      <c r="E27" s="24">
        <f t="shared" si="2"/>
        <v>25</v>
      </c>
      <c r="F27" s="24">
        <f t="shared" si="3"/>
        <v>40</v>
      </c>
      <c r="G27" s="16">
        <f>INDEX(章节关卡!$E$6:$E$20,芦花古楼!B27)*芦花古楼!C27</f>
        <v>3000</v>
      </c>
      <c r="J27" s="19">
        <v>23</v>
      </c>
      <c r="K27" s="27">
        <v>6</v>
      </c>
      <c r="L27" s="41">
        <v>120</v>
      </c>
      <c r="M27" s="27">
        <f>INDEX(章节关卡!$C$6:$C$20,芦花古楼!K27)*芦花古楼!L27</f>
        <v>2400</v>
      </c>
      <c r="N27" s="24">
        <f t="shared" si="4"/>
        <v>30</v>
      </c>
      <c r="O27" s="24">
        <f t="shared" si="5"/>
        <v>40</v>
      </c>
      <c r="P27" s="16">
        <f>INDEX(章节关卡!$E$6:$E$20,芦花古楼!K27)*芦花古楼!L27</f>
        <v>4800</v>
      </c>
      <c r="S27" s="19">
        <v>23</v>
      </c>
      <c r="T27" s="27">
        <v>8</v>
      </c>
      <c r="U27" s="41">
        <v>180</v>
      </c>
      <c r="V27" s="27">
        <f>INDEX(章节关卡!$C$6:$C$20,芦花古楼!T27)*芦花古楼!U27</f>
        <v>5400</v>
      </c>
      <c r="W27" s="24">
        <f t="shared" si="0"/>
        <v>35</v>
      </c>
      <c r="X27" s="24">
        <f t="shared" si="1"/>
        <v>40</v>
      </c>
      <c r="Y27" s="16">
        <f>INDEX(章节关卡!$E$6:$E$20,芦花古楼!T27)*芦花古楼!U27</f>
        <v>10800</v>
      </c>
      <c r="AB27" s="19">
        <v>23</v>
      </c>
      <c r="AC27" s="27">
        <v>8</v>
      </c>
      <c r="AD27" s="41">
        <v>180</v>
      </c>
      <c r="AE27" s="27">
        <f>INDEX(章节关卡!$C$6:$C$20,芦花古楼!AC27)*芦花古楼!AD27</f>
        <v>5400</v>
      </c>
      <c r="AF27" s="24">
        <f t="shared" si="6"/>
        <v>40</v>
      </c>
      <c r="AG27" s="24">
        <f t="shared" si="7"/>
        <v>40</v>
      </c>
      <c r="AH27" s="16">
        <f>INDEX(章节关卡!$E$6:$E$20,芦花古楼!AC27)*芦花古楼!AD27</f>
        <v>10800</v>
      </c>
      <c r="AK27" s="20">
        <v>22</v>
      </c>
      <c r="AL27" s="20">
        <v>3</v>
      </c>
      <c r="AN27" s="20">
        <v>22</v>
      </c>
      <c r="AO27" s="20">
        <f t="shared" si="11"/>
        <v>4</v>
      </c>
      <c r="AQ27" s="20">
        <v>22</v>
      </c>
      <c r="AR27" s="20">
        <f t="shared" si="12"/>
        <v>5</v>
      </c>
      <c r="AT27" s="20">
        <v>22</v>
      </c>
      <c r="AU27" s="20">
        <f t="shared" si="13"/>
        <v>6</v>
      </c>
      <c r="AX27" s="20">
        <v>22</v>
      </c>
      <c r="AY27" s="16">
        <f t="shared" si="8"/>
        <v>290</v>
      </c>
      <c r="AZ27" s="16">
        <f t="shared" si="9"/>
        <v>320</v>
      </c>
      <c r="BA27" s="16">
        <f t="shared" si="10"/>
        <v>63000</v>
      </c>
      <c r="BC27" s="20">
        <v>23</v>
      </c>
      <c r="BD27" s="24">
        <v>20</v>
      </c>
      <c r="BG27" s="24">
        <v>9</v>
      </c>
      <c r="BH27" s="24">
        <f t="shared" si="23"/>
        <v>5.2256919870320857</v>
      </c>
      <c r="BI27" s="22">
        <f t="shared" si="15"/>
        <v>2.7445403672194918E-2</v>
      </c>
      <c r="BJ27" s="16">
        <f t="shared" si="16"/>
        <v>0</v>
      </c>
      <c r="BK27" s="16">
        <f t="shared" si="17"/>
        <v>0</v>
      </c>
      <c r="BL27" s="16">
        <f t="shared" si="18"/>
        <v>0</v>
      </c>
      <c r="BM27" s="16">
        <f t="shared" si="19"/>
        <v>0</v>
      </c>
      <c r="BN27" s="16">
        <f t="shared" si="20"/>
        <v>0</v>
      </c>
      <c r="BO27" s="16">
        <f t="shared" si="21"/>
        <v>0</v>
      </c>
      <c r="BP27" s="16">
        <f t="shared" si="22"/>
        <v>0</v>
      </c>
      <c r="BR27" s="24">
        <v>9</v>
      </c>
      <c r="BS27" s="24">
        <v>5</v>
      </c>
    </row>
    <row r="28" spans="1:71" ht="16.5" x14ac:dyDescent="0.2">
      <c r="A28" s="19">
        <v>24</v>
      </c>
      <c r="B28" s="27">
        <v>7</v>
      </c>
      <c r="C28" s="41">
        <v>60</v>
      </c>
      <c r="D28" s="27">
        <f>INDEX(章节关卡!$C$6:$C$20,芦花古楼!B28)*芦花古楼!C28</f>
        <v>1500</v>
      </c>
      <c r="E28" s="24">
        <f t="shared" si="2"/>
        <v>25</v>
      </c>
      <c r="F28" s="24">
        <f t="shared" si="3"/>
        <v>40</v>
      </c>
      <c r="G28" s="16">
        <f>INDEX(章节关卡!$E$6:$E$20,芦花古楼!B28)*芦花古楼!C28</f>
        <v>3000</v>
      </c>
      <c r="J28" s="19">
        <v>24</v>
      </c>
      <c r="K28" s="27">
        <v>6</v>
      </c>
      <c r="L28" s="41">
        <v>120</v>
      </c>
      <c r="M28" s="27">
        <f>INDEX(章节关卡!$C$6:$C$20,芦花古楼!K28)*芦花古楼!L28</f>
        <v>2400</v>
      </c>
      <c r="N28" s="24">
        <f t="shared" si="4"/>
        <v>30</v>
      </c>
      <c r="O28" s="24">
        <f t="shared" si="5"/>
        <v>40</v>
      </c>
      <c r="P28" s="16">
        <f>INDEX(章节关卡!$E$6:$E$20,芦花古楼!K28)*芦花古楼!L28</f>
        <v>4800</v>
      </c>
      <c r="S28" s="19">
        <v>24</v>
      </c>
      <c r="T28" s="27">
        <v>8</v>
      </c>
      <c r="U28" s="41">
        <v>180</v>
      </c>
      <c r="V28" s="27">
        <f>INDEX(章节关卡!$C$6:$C$20,芦花古楼!T28)*芦花古楼!U28</f>
        <v>5400</v>
      </c>
      <c r="W28" s="24">
        <f t="shared" si="0"/>
        <v>35</v>
      </c>
      <c r="X28" s="24">
        <f t="shared" si="1"/>
        <v>40</v>
      </c>
      <c r="Y28" s="16">
        <f>INDEX(章节关卡!$E$6:$E$20,芦花古楼!T28)*芦花古楼!U28</f>
        <v>10800</v>
      </c>
      <c r="AB28" s="19">
        <v>24</v>
      </c>
      <c r="AC28" s="27">
        <v>8</v>
      </c>
      <c r="AD28" s="41">
        <v>180</v>
      </c>
      <c r="AE28" s="27">
        <f>INDEX(章节关卡!$C$6:$C$20,芦花古楼!AC28)*芦花古楼!AD28</f>
        <v>5400</v>
      </c>
      <c r="AF28" s="24">
        <f t="shared" si="6"/>
        <v>40</v>
      </c>
      <c r="AG28" s="24">
        <f t="shared" si="7"/>
        <v>40</v>
      </c>
      <c r="AH28" s="16">
        <f>INDEX(章节关卡!$E$6:$E$20,芦花古楼!AC28)*芦花古楼!AD28</f>
        <v>10800</v>
      </c>
      <c r="AK28" s="20">
        <v>23</v>
      </c>
      <c r="AL28" s="20">
        <v>4</v>
      </c>
      <c r="AN28" s="20">
        <v>23</v>
      </c>
      <c r="AO28" s="20">
        <f t="shared" si="11"/>
        <v>5</v>
      </c>
      <c r="AQ28" s="20">
        <v>23</v>
      </c>
      <c r="AR28" s="20">
        <f t="shared" si="12"/>
        <v>6</v>
      </c>
      <c r="AT28" s="20">
        <v>23</v>
      </c>
      <c r="AU28" s="20">
        <f t="shared" si="13"/>
        <v>7</v>
      </c>
      <c r="AX28" s="20">
        <v>23</v>
      </c>
      <c r="AY28" s="16">
        <f t="shared" si="8"/>
        <v>290</v>
      </c>
      <c r="AZ28" s="16">
        <f t="shared" si="9"/>
        <v>325</v>
      </c>
      <c r="BA28" s="16">
        <f t="shared" si="10"/>
        <v>63000</v>
      </c>
      <c r="BC28" s="20">
        <v>24</v>
      </c>
      <c r="BD28" s="24">
        <v>20</v>
      </c>
      <c r="BG28" s="24">
        <v>10</v>
      </c>
      <c r="BH28" s="24">
        <f t="shared" si="23"/>
        <v>5.7779489069024068</v>
      </c>
      <c r="BI28" s="22">
        <f t="shared" si="15"/>
        <v>3.0345864345004737E-2</v>
      </c>
      <c r="BJ28" s="16">
        <f t="shared" si="16"/>
        <v>0</v>
      </c>
      <c r="BK28" s="16">
        <f t="shared" si="17"/>
        <v>0</v>
      </c>
      <c r="BL28" s="16">
        <f t="shared" si="18"/>
        <v>0</v>
      </c>
      <c r="BM28" s="16">
        <f t="shared" si="19"/>
        <v>0</v>
      </c>
      <c r="BN28" s="16">
        <f t="shared" si="20"/>
        <v>0</v>
      </c>
      <c r="BO28" s="16">
        <f t="shared" si="21"/>
        <v>0</v>
      </c>
      <c r="BP28" s="16">
        <f t="shared" si="22"/>
        <v>0</v>
      </c>
      <c r="BR28" s="24">
        <v>10</v>
      </c>
      <c r="BS28" s="24">
        <v>7</v>
      </c>
    </row>
    <row r="29" spans="1:71" ht="16.5" x14ac:dyDescent="0.2">
      <c r="A29" s="19">
        <v>25</v>
      </c>
      <c r="B29" s="27">
        <v>7</v>
      </c>
      <c r="C29" s="41">
        <v>60</v>
      </c>
      <c r="D29" s="27">
        <f>INDEX(章节关卡!$C$6:$C$20,芦花古楼!B29)*芦花古楼!C29</f>
        <v>1500</v>
      </c>
      <c r="E29" s="24">
        <f t="shared" si="2"/>
        <v>25</v>
      </c>
      <c r="F29" s="24">
        <f t="shared" si="3"/>
        <v>45</v>
      </c>
      <c r="G29" s="16">
        <f>INDEX(章节关卡!$E$6:$E$20,芦花古楼!B29)*芦花古楼!C29</f>
        <v>3000</v>
      </c>
      <c r="J29" s="19">
        <v>25</v>
      </c>
      <c r="K29" s="27">
        <v>7</v>
      </c>
      <c r="L29" s="41">
        <v>120</v>
      </c>
      <c r="M29" s="27">
        <f>INDEX(章节关卡!$C$6:$C$20,芦花古楼!K29)*芦花古楼!L29</f>
        <v>3000</v>
      </c>
      <c r="N29" s="24">
        <f t="shared" si="4"/>
        <v>30</v>
      </c>
      <c r="O29" s="24">
        <f t="shared" si="5"/>
        <v>45</v>
      </c>
      <c r="P29" s="16">
        <f>INDEX(章节关卡!$E$6:$E$20,芦花古楼!K29)*芦花古楼!L29</f>
        <v>6000</v>
      </c>
      <c r="S29" s="19">
        <v>25</v>
      </c>
      <c r="T29" s="27">
        <v>8</v>
      </c>
      <c r="U29" s="41">
        <v>180</v>
      </c>
      <c r="V29" s="27">
        <f>INDEX(章节关卡!$C$6:$C$20,芦花古楼!T29)*芦花古楼!U29</f>
        <v>5400</v>
      </c>
      <c r="W29" s="24">
        <f t="shared" si="0"/>
        <v>35</v>
      </c>
      <c r="X29" s="24">
        <f t="shared" si="1"/>
        <v>45</v>
      </c>
      <c r="Y29" s="16">
        <f>INDEX(章节关卡!$E$6:$E$20,芦花古楼!T29)*芦花古楼!U29</f>
        <v>10800</v>
      </c>
      <c r="AB29" s="19">
        <v>25</v>
      </c>
      <c r="AC29" s="27">
        <v>8</v>
      </c>
      <c r="AD29" s="41">
        <v>180</v>
      </c>
      <c r="AE29" s="27">
        <f>INDEX(章节关卡!$C$6:$C$20,芦花古楼!AC29)*芦花古楼!AD29</f>
        <v>5400</v>
      </c>
      <c r="AF29" s="24">
        <f t="shared" si="6"/>
        <v>40</v>
      </c>
      <c r="AG29" s="24">
        <f t="shared" si="7"/>
        <v>45</v>
      </c>
      <c r="AH29" s="16">
        <f>INDEX(章节关卡!$E$6:$E$20,芦花古楼!AC29)*芦花古楼!AD29</f>
        <v>10800</v>
      </c>
      <c r="AK29" s="20">
        <v>24</v>
      </c>
      <c r="AL29" s="20">
        <v>4</v>
      </c>
      <c r="AN29" s="20">
        <v>24</v>
      </c>
      <c r="AO29" s="20">
        <f t="shared" si="11"/>
        <v>5</v>
      </c>
      <c r="AQ29" s="20">
        <v>24</v>
      </c>
      <c r="AR29" s="20">
        <f t="shared" si="12"/>
        <v>6</v>
      </c>
      <c r="AT29" s="20">
        <v>24</v>
      </c>
      <c r="AU29" s="20">
        <f t="shared" si="13"/>
        <v>7</v>
      </c>
      <c r="AX29" s="20">
        <v>24</v>
      </c>
      <c r="AY29" s="16">
        <f t="shared" si="8"/>
        <v>295</v>
      </c>
      <c r="AZ29" s="16">
        <f t="shared" si="9"/>
        <v>330</v>
      </c>
      <c r="BA29" s="16">
        <f t="shared" si="10"/>
        <v>63000</v>
      </c>
      <c r="BC29" s="20">
        <v>25</v>
      </c>
      <c r="BD29" s="24">
        <v>20</v>
      </c>
      <c r="BG29" s="24">
        <v>11</v>
      </c>
      <c r="BH29" s="24">
        <f t="shared" si="23"/>
        <v>6.3357283959714312</v>
      </c>
      <c r="BI29" s="22">
        <f t="shared" si="15"/>
        <v>3.3275329624542653E-2</v>
      </c>
      <c r="BJ29" s="16">
        <f t="shared" si="16"/>
        <v>0</v>
      </c>
      <c r="BK29" s="16">
        <f t="shared" si="17"/>
        <v>0</v>
      </c>
      <c r="BL29" s="16">
        <f t="shared" si="18"/>
        <v>0</v>
      </c>
      <c r="BM29" s="16">
        <f t="shared" si="19"/>
        <v>0</v>
      </c>
      <c r="BN29" s="16">
        <f t="shared" si="20"/>
        <v>0</v>
      </c>
      <c r="BO29" s="16">
        <f t="shared" si="21"/>
        <v>0</v>
      </c>
      <c r="BP29" s="16">
        <f t="shared" si="22"/>
        <v>0</v>
      </c>
      <c r="BR29" s="24">
        <v>11</v>
      </c>
      <c r="BS29" s="24">
        <v>7</v>
      </c>
    </row>
    <row r="30" spans="1:71" ht="16.5" x14ac:dyDescent="0.2">
      <c r="A30" s="19">
        <v>26</v>
      </c>
      <c r="B30" s="27">
        <v>7</v>
      </c>
      <c r="C30" s="41">
        <v>60</v>
      </c>
      <c r="D30" s="27">
        <f>INDEX(章节关卡!$C$6:$C$20,芦花古楼!B30)*芦花古楼!C30</f>
        <v>1500</v>
      </c>
      <c r="E30" s="24">
        <f t="shared" si="2"/>
        <v>30</v>
      </c>
      <c r="F30" s="24">
        <f t="shared" si="3"/>
        <v>45</v>
      </c>
      <c r="G30" s="16">
        <f>INDEX(章节关卡!$E$6:$E$20,芦花古楼!B30)*芦花古楼!C30</f>
        <v>3000</v>
      </c>
      <c r="J30" s="19">
        <v>26</v>
      </c>
      <c r="K30" s="27">
        <v>7</v>
      </c>
      <c r="L30" s="41">
        <v>120</v>
      </c>
      <c r="M30" s="27">
        <f>INDEX(章节关卡!$C$6:$C$20,芦花古楼!K30)*芦花古楼!L30</f>
        <v>3000</v>
      </c>
      <c r="N30" s="24">
        <f t="shared" si="4"/>
        <v>35</v>
      </c>
      <c r="O30" s="24">
        <f t="shared" si="5"/>
        <v>45</v>
      </c>
      <c r="P30" s="16">
        <f>INDEX(章节关卡!$E$6:$E$20,芦花古楼!K30)*芦花古楼!L30</f>
        <v>6000</v>
      </c>
      <c r="S30" s="19">
        <v>26</v>
      </c>
      <c r="T30" s="27">
        <v>8</v>
      </c>
      <c r="U30" s="41">
        <v>180</v>
      </c>
      <c r="V30" s="27">
        <f>INDEX(章节关卡!$C$6:$C$20,芦花古楼!T30)*芦花古楼!U30</f>
        <v>5400</v>
      </c>
      <c r="W30" s="24">
        <f t="shared" si="0"/>
        <v>40</v>
      </c>
      <c r="X30" s="24">
        <f t="shared" si="1"/>
        <v>45</v>
      </c>
      <c r="Y30" s="16">
        <f>INDEX(章节关卡!$E$6:$E$20,芦花古楼!T30)*芦花古楼!U30</f>
        <v>10800</v>
      </c>
      <c r="AB30" s="19">
        <v>26</v>
      </c>
      <c r="AC30" s="27">
        <v>8</v>
      </c>
      <c r="AD30" s="41">
        <v>180</v>
      </c>
      <c r="AE30" s="27">
        <f>INDEX(章节关卡!$C$6:$C$20,芦花古楼!AC30)*芦花古楼!AD30</f>
        <v>5400</v>
      </c>
      <c r="AF30" s="24">
        <f t="shared" si="6"/>
        <v>45</v>
      </c>
      <c r="AG30" s="24">
        <f t="shared" si="7"/>
        <v>45</v>
      </c>
      <c r="AH30" s="16">
        <f>INDEX(章节关卡!$E$6:$E$20,芦花古楼!AC30)*芦花古楼!AD30</f>
        <v>10800</v>
      </c>
      <c r="AK30" s="20">
        <v>25</v>
      </c>
      <c r="AL30" s="20">
        <v>4</v>
      </c>
      <c r="AN30" s="20">
        <v>25</v>
      </c>
      <c r="AO30" s="20">
        <f t="shared" si="11"/>
        <v>5</v>
      </c>
      <c r="AQ30" s="20">
        <v>25</v>
      </c>
      <c r="AR30" s="20">
        <f t="shared" si="12"/>
        <v>6</v>
      </c>
      <c r="AT30" s="20">
        <v>25</v>
      </c>
      <c r="AU30" s="20">
        <f t="shared" si="13"/>
        <v>7</v>
      </c>
      <c r="AX30" s="20">
        <v>25</v>
      </c>
      <c r="AY30" s="16">
        <f t="shared" si="8"/>
        <v>300</v>
      </c>
      <c r="AZ30" s="16">
        <f t="shared" si="9"/>
        <v>335</v>
      </c>
      <c r="BA30" s="16">
        <f t="shared" si="10"/>
        <v>63000</v>
      </c>
      <c r="BC30" s="20">
        <v>26</v>
      </c>
      <c r="BD30" s="24">
        <v>20</v>
      </c>
      <c r="BG30" s="24">
        <v>12</v>
      </c>
      <c r="BH30" s="24">
        <f t="shared" si="23"/>
        <v>6.8990856799311455</v>
      </c>
      <c r="BI30" s="22">
        <f t="shared" si="15"/>
        <v>3.6234089556875952E-2</v>
      </c>
      <c r="BJ30" s="16">
        <f t="shared" si="16"/>
        <v>0</v>
      </c>
      <c r="BK30" s="16">
        <f t="shared" si="17"/>
        <v>0</v>
      </c>
      <c r="BL30" s="16">
        <f t="shared" si="18"/>
        <v>0</v>
      </c>
      <c r="BM30" s="16">
        <f t="shared" si="19"/>
        <v>0</v>
      </c>
      <c r="BN30" s="16">
        <f t="shared" si="20"/>
        <v>0</v>
      </c>
      <c r="BO30" s="16">
        <f t="shared" si="21"/>
        <v>0</v>
      </c>
      <c r="BP30" s="16">
        <f t="shared" si="22"/>
        <v>0</v>
      </c>
      <c r="BR30" s="24">
        <v>12</v>
      </c>
      <c r="BS30" s="24">
        <v>7</v>
      </c>
    </row>
    <row r="31" spans="1:71" ht="16.5" x14ac:dyDescent="0.2">
      <c r="A31" s="19">
        <v>27</v>
      </c>
      <c r="B31" s="27">
        <v>7</v>
      </c>
      <c r="C31" s="41">
        <v>60</v>
      </c>
      <c r="D31" s="27">
        <f>INDEX(章节关卡!$C$6:$C$20,芦花古楼!B31)*芦花古楼!C31</f>
        <v>1500</v>
      </c>
      <c r="E31" s="24">
        <f t="shared" si="2"/>
        <v>30</v>
      </c>
      <c r="F31" s="24">
        <f t="shared" si="3"/>
        <v>45</v>
      </c>
      <c r="G31" s="16">
        <f>INDEX(章节关卡!$E$6:$E$20,芦花古楼!B31)*芦花古楼!C31</f>
        <v>3000</v>
      </c>
      <c r="J31" s="19">
        <v>27</v>
      </c>
      <c r="K31" s="27">
        <v>7</v>
      </c>
      <c r="L31" s="41">
        <v>120</v>
      </c>
      <c r="M31" s="27">
        <f>INDEX(章节关卡!$C$6:$C$20,芦花古楼!K31)*芦花古楼!L31</f>
        <v>3000</v>
      </c>
      <c r="N31" s="24">
        <f t="shared" si="4"/>
        <v>35</v>
      </c>
      <c r="O31" s="24">
        <f t="shared" si="5"/>
        <v>45</v>
      </c>
      <c r="P31" s="16">
        <f>INDEX(章节关卡!$E$6:$E$20,芦花古楼!K31)*芦花古楼!L31</f>
        <v>6000</v>
      </c>
      <c r="S31" s="19">
        <v>27</v>
      </c>
      <c r="T31" s="27">
        <v>8</v>
      </c>
      <c r="U31" s="41">
        <v>180</v>
      </c>
      <c r="V31" s="27">
        <f>INDEX(章节关卡!$C$6:$C$20,芦花古楼!T31)*芦花古楼!U31</f>
        <v>5400</v>
      </c>
      <c r="W31" s="24">
        <f t="shared" si="0"/>
        <v>40</v>
      </c>
      <c r="X31" s="24">
        <f t="shared" si="1"/>
        <v>45</v>
      </c>
      <c r="Y31" s="16">
        <f>INDEX(章节关卡!$E$6:$E$20,芦花古楼!T31)*芦花古楼!U31</f>
        <v>10800</v>
      </c>
      <c r="AB31" s="19">
        <v>27</v>
      </c>
      <c r="AC31" s="27">
        <v>8</v>
      </c>
      <c r="AD31" s="41">
        <v>180</v>
      </c>
      <c r="AE31" s="27">
        <f>INDEX(章节关卡!$C$6:$C$20,芦花古楼!AC31)*芦花古楼!AD31</f>
        <v>5400</v>
      </c>
      <c r="AF31" s="24">
        <f t="shared" si="6"/>
        <v>45</v>
      </c>
      <c r="AG31" s="24">
        <f t="shared" si="7"/>
        <v>45</v>
      </c>
      <c r="AH31" s="16">
        <f>INDEX(章节关卡!$E$6:$E$20,芦花古楼!AC31)*芦花古楼!AD31</f>
        <v>10800</v>
      </c>
      <c r="AK31" s="20">
        <v>26</v>
      </c>
      <c r="AL31" s="20">
        <v>4</v>
      </c>
      <c r="AN31" s="20">
        <v>26</v>
      </c>
      <c r="AO31" s="20">
        <f t="shared" si="11"/>
        <v>5</v>
      </c>
      <c r="AQ31" s="20">
        <v>26</v>
      </c>
      <c r="AR31" s="20">
        <f t="shared" si="12"/>
        <v>6</v>
      </c>
      <c r="AT31" s="20">
        <v>26</v>
      </c>
      <c r="AU31" s="20">
        <f t="shared" si="13"/>
        <v>7</v>
      </c>
      <c r="AX31" s="20">
        <v>26</v>
      </c>
      <c r="AY31" s="16">
        <f t="shared" si="8"/>
        <v>305</v>
      </c>
      <c r="AZ31" s="16">
        <f t="shared" si="9"/>
        <v>340</v>
      </c>
      <c r="BA31" s="16">
        <f t="shared" si="10"/>
        <v>63000</v>
      </c>
      <c r="BC31" s="20">
        <v>27</v>
      </c>
      <c r="BD31" s="24">
        <v>20</v>
      </c>
      <c r="BG31" s="24">
        <v>13</v>
      </c>
      <c r="BH31" s="24">
        <f t="shared" si="23"/>
        <v>7.4680765367304573</v>
      </c>
      <c r="BI31" s="22">
        <f t="shared" si="15"/>
        <v>3.9222437088532583E-2</v>
      </c>
      <c r="BJ31" s="16">
        <f t="shared" si="16"/>
        <v>0</v>
      </c>
      <c r="BK31" s="16">
        <f t="shared" si="17"/>
        <v>0</v>
      </c>
      <c r="BL31" s="16">
        <f t="shared" si="18"/>
        <v>0</v>
      </c>
      <c r="BM31" s="16">
        <f t="shared" si="19"/>
        <v>0</v>
      </c>
      <c r="BN31" s="16">
        <f t="shared" si="20"/>
        <v>0</v>
      </c>
      <c r="BO31" s="16">
        <f t="shared" si="21"/>
        <v>0</v>
      </c>
      <c r="BP31" s="16">
        <f t="shared" si="22"/>
        <v>0</v>
      </c>
      <c r="BR31" s="24">
        <v>13</v>
      </c>
      <c r="BS31" s="24">
        <v>7</v>
      </c>
    </row>
    <row r="32" spans="1:71" ht="16.5" x14ac:dyDescent="0.2">
      <c r="A32" s="19">
        <v>28</v>
      </c>
      <c r="B32" s="27">
        <v>7</v>
      </c>
      <c r="C32" s="41">
        <v>60</v>
      </c>
      <c r="D32" s="27">
        <f>INDEX(章节关卡!$C$6:$C$20,芦花古楼!B32)*芦花古楼!C32</f>
        <v>1500</v>
      </c>
      <c r="E32" s="24">
        <f t="shared" si="2"/>
        <v>30</v>
      </c>
      <c r="F32" s="24">
        <f t="shared" si="3"/>
        <v>45</v>
      </c>
      <c r="G32" s="16">
        <f>INDEX(章节关卡!$E$6:$E$20,芦花古楼!B32)*芦花古楼!C32</f>
        <v>3000</v>
      </c>
      <c r="J32" s="19">
        <v>28</v>
      </c>
      <c r="K32" s="27">
        <v>7</v>
      </c>
      <c r="L32" s="41">
        <v>120</v>
      </c>
      <c r="M32" s="27">
        <f>INDEX(章节关卡!$C$6:$C$20,芦花古楼!K32)*芦花古楼!L32</f>
        <v>3000</v>
      </c>
      <c r="N32" s="24">
        <f t="shared" si="4"/>
        <v>35</v>
      </c>
      <c r="O32" s="24">
        <f t="shared" si="5"/>
        <v>45</v>
      </c>
      <c r="P32" s="16">
        <f>INDEX(章节关卡!$E$6:$E$20,芦花古楼!K32)*芦花古楼!L32</f>
        <v>6000</v>
      </c>
      <c r="S32" s="19">
        <v>28</v>
      </c>
      <c r="T32" s="27">
        <v>8</v>
      </c>
      <c r="U32" s="41">
        <v>180</v>
      </c>
      <c r="V32" s="27">
        <f>INDEX(章节关卡!$C$6:$C$20,芦花古楼!T32)*芦花古楼!U32</f>
        <v>5400</v>
      </c>
      <c r="W32" s="24">
        <f t="shared" si="0"/>
        <v>40</v>
      </c>
      <c r="X32" s="24">
        <f t="shared" si="1"/>
        <v>45</v>
      </c>
      <c r="Y32" s="16">
        <f>INDEX(章节关卡!$E$6:$E$20,芦花古楼!T32)*芦花古楼!U32</f>
        <v>10800</v>
      </c>
      <c r="AB32" s="19">
        <v>28</v>
      </c>
      <c r="AC32" s="27">
        <v>8</v>
      </c>
      <c r="AD32" s="41">
        <v>180</v>
      </c>
      <c r="AE32" s="27">
        <f>INDEX(章节关卡!$C$6:$C$20,芦花古楼!AC32)*芦花古楼!AD32</f>
        <v>5400</v>
      </c>
      <c r="AF32" s="24">
        <f t="shared" si="6"/>
        <v>45</v>
      </c>
      <c r="AG32" s="24">
        <f t="shared" si="7"/>
        <v>45</v>
      </c>
      <c r="AH32" s="16">
        <f>INDEX(章节关卡!$E$6:$E$20,芦花古楼!AC32)*芦花古楼!AD32</f>
        <v>10800</v>
      </c>
      <c r="AK32" s="20">
        <v>27</v>
      </c>
      <c r="AL32" s="20">
        <v>4</v>
      </c>
      <c r="AN32" s="20">
        <v>27</v>
      </c>
      <c r="AO32" s="20">
        <f t="shared" si="11"/>
        <v>5</v>
      </c>
      <c r="AQ32" s="20">
        <v>27</v>
      </c>
      <c r="AR32" s="20">
        <f t="shared" si="12"/>
        <v>6</v>
      </c>
      <c r="AT32" s="20">
        <v>27</v>
      </c>
      <c r="AU32" s="20">
        <f t="shared" si="13"/>
        <v>7</v>
      </c>
      <c r="AX32" s="20">
        <v>27</v>
      </c>
      <c r="AY32" s="16">
        <f t="shared" si="8"/>
        <v>310</v>
      </c>
      <c r="AZ32" s="16">
        <f t="shared" si="9"/>
        <v>340</v>
      </c>
      <c r="BA32" s="16">
        <f t="shared" si="10"/>
        <v>63000</v>
      </c>
      <c r="BC32" s="20">
        <v>28</v>
      </c>
      <c r="BD32" s="24">
        <v>20</v>
      </c>
      <c r="BG32" s="24">
        <v>14</v>
      </c>
      <c r="BH32" s="24">
        <f t="shared" si="23"/>
        <v>8.0427573020977619</v>
      </c>
      <c r="BI32" s="22">
        <f t="shared" si="15"/>
        <v>4.2240668095505772E-2</v>
      </c>
      <c r="BJ32" s="16">
        <f t="shared" si="16"/>
        <v>0</v>
      </c>
      <c r="BK32" s="16">
        <f t="shared" si="17"/>
        <v>0</v>
      </c>
      <c r="BL32" s="16">
        <f t="shared" si="18"/>
        <v>0</v>
      </c>
      <c r="BM32" s="16">
        <f t="shared" si="19"/>
        <v>0</v>
      </c>
      <c r="BN32" s="16">
        <f t="shared" si="20"/>
        <v>0</v>
      </c>
      <c r="BO32" s="16">
        <f t="shared" si="21"/>
        <v>0</v>
      </c>
      <c r="BP32" s="16">
        <f t="shared" si="22"/>
        <v>0</v>
      </c>
      <c r="BR32" s="24">
        <v>14</v>
      </c>
      <c r="BS32" s="24">
        <v>7</v>
      </c>
    </row>
    <row r="33" spans="1:71" ht="16.5" x14ac:dyDescent="0.2">
      <c r="A33" s="19">
        <v>29</v>
      </c>
      <c r="B33" s="27">
        <v>7</v>
      </c>
      <c r="C33" s="41">
        <v>60</v>
      </c>
      <c r="D33" s="27">
        <f>INDEX(章节关卡!$C$6:$C$20,芦花古楼!B33)*芦花古楼!C33</f>
        <v>1500</v>
      </c>
      <c r="E33" s="24">
        <f t="shared" si="2"/>
        <v>30</v>
      </c>
      <c r="F33" s="24">
        <f t="shared" si="3"/>
        <v>45</v>
      </c>
      <c r="G33" s="16">
        <f>INDEX(章节关卡!$E$6:$E$20,芦花古楼!B33)*芦花古楼!C33</f>
        <v>3000</v>
      </c>
      <c r="J33" s="19">
        <v>29</v>
      </c>
      <c r="K33" s="27">
        <v>7</v>
      </c>
      <c r="L33" s="41">
        <v>120</v>
      </c>
      <c r="M33" s="27">
        <f>INDEX(章节关卡!$C$6:$C$20,芦花古楼!K33)*芦花古楼!L33</f>
        <v>3000</v>
      </c>
      <c r="N33" s="24">
        <f t="shared" si="4"/>
        <v>35</v>
      </c>
      <c r="O33" s="24">
        <f t="shared" si="5"/>
        <v>45</v>
      </c>
      <c r="P33" s="16">
        <f>INDEX(章节关卡!$E$6:$E$20,芦花古楼!K33)*芦花古楼!L33</f>
        <v>6000</v>
      </c>
      <c r="S33" s="19">
        <v>29</v>
      </c>
      <c r="T33" s="27">
        <v>8</v>
      </c>
      <c r="U33" s="41">
        <v>180</v>
      </c>
      <c r="V33" s="27">
        <f>INDEX(章节关卡!$C$6:$C$20,芦花古楼!T33)*芦花古楼!U33</f>
        <v>5400</v>
      </c>
      <c r="W33" s="24">
        <f t="shared" si="0"/>
        <v>40</v>
      </c>
      <c r="X33" s="24">
        <f t="shared" si="1"/>
        <v>45</v>
      </c>
      <c r="Y33" s="16">
        <f>INDEX(章节关卡!$E$6:$E$20,芦花古楼!T33)*芦花古楼!U33</f>
        <v>10800</v>
      </c>
      <c r="AB33" s="19">
        <v>29</v>
      </c>
      <c r="AC33" s="27">
        <v>8</v>
      </c>
      <c r="AD33" s="41">
        <v>180</v>
      </c>
      <c r="AE33" s="27">
        <f>INDEX(章节关卡!$C$6:$C$20,芦花古楼!AC33)*芦花古楼!AD33</f>
        <v>5400</v>
      </c>
      <c r="AF33" s="24">
        <f t="shared" si="6"/>
        <v>45</v>
      </c>
      <c r="AG33" s="24">
        <f t="shared" si="7"/>
        <v>45</v>
      </c>
      <c r="AH33" s="16">
        <f>INDEX(章节关卡!$E$6:$E$20,芦花古楼!AC33)*芦花古楼!AD33</f>
        <v>10800</v>
      </c>
      <c r="AK33" s="20">
        <v>28</v>
      </c>
      <c r="AL33" s="20">
        <v>5</v>
      </c>
      <c r="AN33" s="20">
        <v>28</v>
      </c>
      <c r="AO33" s="20">
        <f t="shared" si="11"/>
        <v>6</v>
      </c>
      <c r="AQ33" s="20">
        <v>28</v>
      </c>
      <c r="AR33" s="20">
        <f t="shared" si="12"/>
        <v>7</v>
      </c>
      <c r="AT33" s="20">
        <v>28</v>
      </c>
      <c r="AU33" s="20">
        <f t="shared" si="13"/>
        <v>8</v>
      </c>
      <c r="AX33" s="20">
        <v>28</v>
      </c>
      <c r="AY33" s="16">
        <f t="shared" si="8"/>
        <v>310</v>
      </c>
      <c r="AZ33" s="16">
        <f t="shared" si="9"/>
        <v>345</v>
      </c>
      <c r="BA33" s="16">
        <f t="shared" si="10"/>
        <v>63000</v>
      </c>
      <c r="BC33" s="20">
        <v>29</v>
      </c>
      <c r="BD33" s="24">
        <v>20</v>
      </c>
      <c r="BG33" s="24">
        <v>15</v>
      </c>
      <c r="BH33" s="24">
        <f t="shared" si="23"/>
        <v>8.6231848751187403</v>
      </c>
      <c r="BI33" s="22">
        <f t="shared" si="15"/>
        <v>4.5289081412548705E-2</v>
      </c>
      <c r="BJ33" s="16">
        <f t="shared" si="16"/>
        <v>0</v>
      </c>
      <c r="BK33" s="16">
        <f t="shared" si="17"/>
        <v>0</v>
      </c>
      <c r="BL33" s="16">
        <f t="shared" si="18"/>
        <v>0</v>
      </c>
      <c r="BM33" s="16">
        <f t="shared" si="19"/>
        <v>0</v>
      </c>
      <c r="BN33" s="16">
        <f t="shared" si="20"/>
        <v>0</v>
      </c>
      <c r="BO33" s="16">
        <f t="shared" si="21"/>
        <v>0</v>
      </c>
      <c r="BP33" s="16">
        <f t="shared" si="22"/>
        <v>0</v>
      </c>
      <c r="BR33" s="24">
        <v>15</v>
      </c>
      <c r="BS33" s="24">
        <v>10</v>
      </c>
    </row>
    <row r="34" spans="1:71" ht="16.5" x14ac:dyDescent="0.2">
      <c r="A34" s="19">
        <v>30</v>
      </c>
      <c r="B34" s="27">
        <v>8</v>
      </c>
      <c r="C34" s="41">
        <v>60</v>
      </c>
      <c r="D34" s="27">
        <f>INDEX(章节关卡!$C$6:$C$20,芦花古楼!B34)*芦花古楼!C34</f>
        <v>1800</v>
      </c>
      <c r="E34" s="24">
        <f t="shared" si="2"/>
        <v>30</v>
      </c>
      <c r="F34" s="24">
        <f t="shared" si="3"/>
        <v>50</v>
      </c>
      <c r="G34" s="16">
        <f>INDEX(章节关卡!$E$6:$E$20,芦花古楼!B34)*芦花古楼!C34</f>
        <v>3600</v>
      </c>
      <c r="J34" s="19">
        <v>30</v>
      </c>
      <c r="K34" s="27">
        <v>7</v>
      </c>
      <c r="L34" s="41">
        <v>120</v>
      </c>
      <c r="M34" s="27">
        <f>INDEX(章节关卡!$C$6:$C$20,芦花古楼!K34)*芦花古楼!L34</f>
        <v>3000</v>
      </c>
      <c r="N34" s="24">
        <f t="shared" si="4"/>
        <v>35</v>
      </c>
      <c r="O34" s="24">
        <f t="shared" si="5"/>
        <v>50</v>
      </c>
      <c r="P34" s="16">
        <f>INDEX(章节关卡!$E$6:$E$20,芦花古楼!K34)*芦花古楼!L34</f>
        <v>6000</v>
      </c>
      <c r="S34" s="19">
        <v>30</v>
      </c>
      <c r="T34" s="27">
        <v>9</v>
      </c>
      <c r="U34" s="41">
        <v>180</v>
      </c>
      <c r="V34" s="27">
        <f>INDEX(章节关卡!$C$6:$C$20,芦花古楼!T34)*芦花古楼!U34</f>
        <v>6480</v>
      </c>
      <c r="W34" s="24">
        <f t="shared" si="0"/>
        <v>40</v>
      </c>
      <c r="X34" s="24">
        <f t="shared" si="1"/>
        <v>50</v>
      </c>
      <c r="Y34" s="16">
        <f>INDEX(章节关卡!$E$6:$E$20,芦花古楼!T34)*芦花古楼!U34</f>
        <v>12960</v>
      </c>
      <c r="AB34" s="19">
        <v>30</v>
      </c>
      <c r="AC34" s="27">
        <v>9</v>
      </c>
      <c r="AD34" s="41">
        <v>180</v>
      </c>
      <c r="AE34" s="27">
        <f>INDEX(章节关卡!$C$6:$C$20,芦花古楼!AC34)*芦花古楼!AD34</f>
        <v>6480</v>
      </c>
      <c r="AF34" s="24">
        <f t="shared" si="6"/>
        <v>45</v>
      </c>
      <c r="AG34" s="24">
        <f t="shared" si="7"/>
        <v>50</v>
      </c>
      <c r="AH34" s="16">
        <f>INDEX(章节关卡!$E$6:$E$20,芦花古楼!AC34)*芦花古楼!AD34</f>
        <v>12960</v>
      </c>
      <c r="AK34" s="20">
        <v>29</v>
      </c>
      <c r="AL34" s="20">
        <v>5</v>
      </c>
      <c r="AN34" s="20">
        <v>29</v>
      </c>
      <c r="AO34" s="20">
        <f t="shared" si="11"/>
        <v>6</v>
      </c>
      <c r="AQ34" s="20">
        <v>29</v>
      </c>
      <c r="AR34" s="20">
        <f t="shared" si="12"/>
        <v>7</v>
      </c>
      <c r="AT34" s="20">
        <v>29</v>
      </c>
      <c r="AU34" s="20">
        <f t="shared" si="13"/>
        <v>8</v>
      </c>
      <c r="AX34" s="20">
        <v>29</v>
      </c>
      <c r="AY34" s="16">
        <f t="shared" si="8"/>
        <v>315</v>
      </c>
      <c r="AZ34" s="16">
        <f t="shared" si="9"/>
        <v>350</v>
      </c>
      <c r="BA34" s="16">
        <f t="shared" si="10"/>
        <v>63000</v>
      </c>
      <c r="BC34" s="20">
        <v>30</v>
      </c>
      <c r="BD34" s="20">
        <v>30</v>
      </c>
      <c r="BG34" s="24">
        <v>16</v>
      </c>
      <c r="BH34" s="24">
        <f t="shared" si="23"/>
        <v>9.2094167238699285</v>
      </c>
      <c r="BI34" s="22">
        <f t="shared" si="15"/>
        <v>4.8367978862762062E-2</v>
      </c>
      <c r="BJ34" s="16">
        <f t="shared" si="16"/>
        <v>0</v>
      </c>
      <c r="BK34" s="16">
        <f t="shared" si="17"/>
        <v>0</v>
      </c>
      <c r="BL34" s="16">
        <f t="shared" si="18"/>
        <v>0</v>
      </c>
      <c r="BM34" s="16">
        <f t="shared" si="19"/>
        <v>0</v>
      </c>
      <c r="BN34" s="16">
        <f t="shared" si="20"/>
        <v>0</v>
      </c>
      <c r="BO34" s="16">
        <f t="shared" si="21"/>
        <v>0</v>
      </c>
      <c r="BP34" s="16">
        <f t="shared" si="22"/>
        <v>0</v>
      </c>
      <c r="BR34" s="24">
        <v>16</v>
      </c>
      <c r="BS34" s="24">
        <v>10</v>
      </c>
    </row>
    <row r="35" spans="1:71" ht="16.5" x14ac:dyDescent="0.2">
      <c r="A35" s="19">
        <v>31</v>
      </c>
      <c r="B35" s="27">
        <v>8</v>
      </c>
      <c r="C35" s="41">
        <v>60</v>
      </c>
      <c r="D35" s="27">
        <f>INDEX(章节关卡!$C$6:$C$20,芦花古楼!B35)*芦花古楼!C35</f>
        <v>1800</v>
      </c>
      <c r="E35" s="24">
        <f t="shared" si="2"/>
        <v>35</v>
      </c>
      <c r="F35" s="24">
        <f t="shared" si="3"/>
        <v>50</v>
      </c>
      <c r="G35" s="16">
        <f>INDEX(章节关卡!$E$6:$E$20,芦花古楼!B35)*芦花古楼!C35</f>
        <v>3600</v>
      </c>
      <c r="J35" s="19">
        <v>31</v>
      </c>
      <c r="K35" s="27">
        <v>7</v>
      </c>
      <c r="L35" s="41">
        <v>120</v>
      </c>
      <c r="M35" s="27">
        <f>INDEX(章节关卡!$C$6:$C$20,芦花古楼!K35)*芦花古楼!L35</f>
        <v>3000</v>
      </c>
      <c r="N35" s="24">
        <f t="shared" si="4"/>
        <v>40</v>
      </c>
      <c r="O35" s="24">
        <f t="shared" si="5"/>
        <v>50</v>
      </c>
      <c r="P35" s="16">
        <f>INDEX(章节关卡!$E$6:$E$20,芦花古楼!K35)*芦花古楼!L35</f>
        <v>6000</v>
      </c>
      <c r="S35" s="19">
        <v>31</v>
      </c>
      <c r="T35" s="27">
        <v>9</v>
      </c>
      <c r="U35" s="41">
        <v>180</v>
      </c>
      <c r="V35" s="27">
        <f>INDEX(章节关卡!$C$6:$C$20,芦花古楼!T35)*芦花古楼!U35</f>
        <v>6480</v>
      </c>
      <c r="W35" s="24">
        <f t="shared" si="0"/>
        <v>45</v>
      </c>
      <c r="X35" s="24">
        <f t="shared" si="1"/>
        <v>50</v>
      </c>
      <c r="Y35" s="16">
        <f>INDEX(章节关卡!$E$6:$E$20,芦花古楼!T35)*芦花古楼!U35</f>
        <v>12960</v>
      </c>
      <c r="AB35" s="19">
        <v>31</v>
      </c>
      <c r="AC35" s="27">
        <v>9</v>
      </c>
      <c r="AD35" s="41">
        <v>180</v>
      </c>
      <c r="AE35" s="27">
        <f>INDEX(章节关卡!$C$6:$C$20,芦花古楼!AC35)*芦花古楼!AD35</f>
        <v>6480</v>
      </c>
      <c r="AF35" s="24">
        <f t="shared" si="6"/>
        <v>50</v>
      </c>
      <c r="AG35" s="24">
        <f t="shared" si="7"/>
        <v>50</v>
      </c>
      <c r="AH35" s="16">
        <f>INDEX(章节关卡!$E$6:$E$20,芦花古楼!AC35)*芦花古楼!AD35</f>
        <v>12960</v>
      </c>
      <c r="AK35" s="20">
        <v>30</v>
      </c>
      <c r="AL35" s="20">
        <v>5</v>
      </c>
      <c r="AN35" s="20">
        <v>30</v>
      </c>
      <c r="AO35" s="20">
        <f t="shared" si="11"/>
        <v>6</v>
      </c>
      <c r="AQ35" s="20">
        <v>30</v>
      </c>
      <c r="AR35" s="20">
        <f t="shared" si="12"/>
        <v>7</v>
      </c>
      <c r="AT35" s="20">
        <v>30</v>
      </c>
      <c r="AU35" s="20">
        <f t="shared" si="13"/>
        <v>8</v>
      </c>
      <c r="AX35" s="20">
        <v>30</v>
      </c>
      <c r="AY35" s="16">
        <f t="shared" si="8"/>
        <v>320</v>
      </c>
      <c r="AZ35" s="16">
        <f t="shared" si="9"/>
        <v>355</v>
      </c>
      <c r="BA35" s="16">
        <f t="shared" si="10"/>
        <v>66600</v>
      </c>
      <c r="BC35" s="20">
        <v>31</v>
      </c>
      <c r="BD35" s="24">
        <v>30</v>
      </c>
      <c r="BG35" s="24">
        <v>17</v>
      </c>
      <c r="BH35" s="24">
        <f t="shared" si="23"/>
        <v>9.8015108911086273</v>
      </c>
      <c r="BI35" s="22">
        <f t="shared" si="15"/>
        <v>5.1477665287477554E-2</v>
      </c>
      <c r="BJ35" s="16">
        <f t="shared" si="16"/>
        <v>0</v>
      </c>
      <c r="BK35" s="16">
        <f t="shared" si="17"/>
        <v>0</v>
      </c>
      <c r="BL35" s="16">
        <f t="shared" si="18"/>
        <v>0</v>
      </c>
      <c r="BM35" s="16">
        <f t="shared" si="19"/>
        <v>0</v>
      </c>
      <c r="BN35" s="16">
        <f t="shared" si="20"/>
        <v>0</v>
      </c>
      <c r="BO35" s="16">
        <f t="shared" si="21"/>
        <v>0</v>
      </c>
      <c r="BP35" s="16">
        <f t="shared" si="22"/>
        <v>0</v>
      </c>
      <c r="BR35" s="24">
        <v>17</v>
      </c>
      <c r="BS35" s="24">
        <v>10</v>
      </c>
    </row>
    <row r="36" spans="1:71" ht="16.5" x14ac:dyDescent="0.2">
      <c r="A36" s="19">
        <v>32</v>
      </c>
      <c r="B36" s="27">
        <v>8</v>
      </c>
      <c r="C36" s="41">
        <v>60</v>
      </c>
      <c r="D36" s="27">
        <f>INDEX(章节关卡!$C$6:$C$20,芦花古楼!B36)*芦花古楼!C36</f>
        <v>1800</v>
      </c>
      <c r="E36" s="24">
        <f t="shared" si="2"/>
        <v>35</v>
      </c>
      <c r="F36" s="24">
        <f t="shared" si="3"/>
        <v>50</v>
      </c>
      <c r="G36" s="16">
        <f>INDEX(章节关卡!$E$6:$E$20,芦花古楼!B36)*芦花古楼!C36</f>
        <v>3600</v>
      </c>
      <c r="J36" s="19">
        <v>32</v>
      </c>
      <c r="K36" s="27">
        <v>7</v>
      </c>
      <c r="L36" s="41">
        <v>120</v>
      </c>
      <c r="M36" s="27">
        <f>INDEX(章节关卡!$C$6:$C$20,芦花古楼!K36)*芦花古楼!L36</f>
        <v>3000</v>
      </c>
      <c r="N36" s="24">
        <f t="shared" si="4"/>
        <v>40</v>
      </c>
      <c r="O36" s="24">
        <f t="shared" si="5"/>
        <v>50</v>
      </c>
      <c r="P36" s="16">
        <f>INDEX(章节关卡!$E$6:$E$20,芦花古楼!K36)*芦花古楼!L36</f>
        <v>6000</v>
      </c>
      <c r="S36" s="19">
        <v>32</v>
      </c>
      <c r="T36" s="27">
        <v>9</v>
      </c>
      <c r="U36" s="41">
        <v>180</v>
      </c>
      <c r="V36" s="27">
        <f>INDEX(章节关卡!$C$6:$C$20,芦花古楼!T36)*芦花古楼!U36</f>
        <v>6480</v>
      </c>
      <c r="W36" s="24">
        <f t="shared" si="0"/>
        <v>45</v>
      </c>
      <c r="X36" s="24">
        <f t="shared" si="1"/>
        <v>50</v>
      </c>
      <c r="Y36" s="16">
        <f>INDEX(章节关卡!$E$6:$E$20,芦花古楼!T36)*芦花古楼!U36</f>
        <v>12960</v>
      </c>
      <c r="AB36" s="19">
        <v>32</v>
      </c>
      <c r="AC36" s="27">
        <v>9</v>
      </c>
      <c r="AD36" s="41">
        <v>180</v>
      </c>
      <c r="AE36" s="27">
        <f>INDEX(章节关卡!$C$6:$C$20,芦花古楼!AC36)*芦花古楼!AD36</f>
        <v>6480</v>
      </c>
      <c r="AF36" s="24">
        <f t="shared" si="6"/>
        <v>50</v>
      </c>
      <c r="AG36" s="24">
        <f t="shared" si="7"/>
        <v>50</v>
      </c>
      <c r="AH36" s="16">
        <f>INDEX(章节关卡!$E$6:$E$20,芦花古楼!AC36)*芦花古楼!AD36</f>
        <v>12960</v>
      </c>
      <c r="AK36" s="20">
        <v>31</v>
      </c>
      <c r="AL36" s="20">
        <v>5</v>
      </c>
      <c r="AN36" s="20">
        <v>31</v>
      </c>
      <c r="AO36" s="20">
        <f t="shared" si="11"/>
        <v>6</v>
      </c>
      <c r="AQ36" s="20">
        <v>31</v>
      </c>
      <c r="AR36" s="20">
        <f t="shared" si="12"/>
        <v>7</v>
      </c>
      <c r="AT36" s="20">
        <v>31</v>
      </c>
      <c r="AU36" s="20">
        <f t="shared" si="13"/>
        <v>8</v>
      </c>
      <c r="AX36" s="20">
        <v>31</v>
      </c>
      <c r="AY36" s="16">
        <f t="shared" si="8"/>
        <v>250</v>
      </c>
      <c r="AZ36" s="16">
        <f t="shared" si="9"/>
        <v>360</v>
      </c>
      <c r="BA36" s="16">
        <f t="shared" si="10"/>
        <v>64800</v>
      </c>
      <c r="BC36" s="20">
        <v>32</v>
      </c>
      <c r="BD36" s="24">
        <v>30</v>
      </c>
      <c r="BG36" s="24">
        <v>18</v>
      </c>
      <c r="BH36" s="24">
        <f t="shared" si="23"/>
        <v>10.399526000019714</v>
      </c>
      <c r="BI36" s="22">
        <f t="shared" si="15"/>
        <v>5.4618448576440201E-2</v>
      </c>
      <c r="BJ36" s="16">
        <f t="shared" si="16"/>
        <v>0</v>
      </c>
      <c r="BK36" s="16">
        <f t="shared" si="17"/>
        <v>0</v>
      </c>
      <c r="BL36" s="16">
        <f t="shared" si="18"/>
        <v>0</v>
      </c>
      <c r="BM36" s="16">
        <f t="shared" si="19"/>
        <v>0</v>
      </c>
      <c r="BN36" s="16">
        <f t="shared" si="20"/>
        <v>0</v>
      </c>
      <c r="BO36" s="16">
        <f t="shared" si="21"/>
        <v>0</v>
      </c>
      <c r="BP36" s="16">
        <f t="shared" si="22"/>
        <v>0</v>
      </c>
      <c r="BR36" s="24">
        <v>18</v>
      </c>
      <c r="BS36" s="24">
        <v>10</v>
      </c>
    </row>
    <row r="37" spans="1:71" ht="16.5" x14ac:dyDescent="0.2">
      <c r="A37" s="19">
        <v>33</v>
      </c>
      <c r="B37" s="27">
        <v>8</v>
      </c>
      <c r="C37" s="41">
        <v>60</v>
      </c>
      <c r="D37" s="27">
        <f>INDEX(章节关卡!$C$6:$C$20,芦花古楼!B37)*芦花古楼!C37</f>
        <v>1800</v>
      </c>
      <c r="E37" s="24">
        <f t="shared" si="2"/>
        <v>35</v>
      </c>
      <c r="F37" s="24">
        <f t="shared" si="3"/>
        <v>50</v>
      </c>
      <c r="G37" s="16">
        <f>INDEX(章节关卡!$E$6:$E$20,芦花古楼!B37)*芦花古楼!C37</f>
        <v>3600</v>
      </c>
      <c r="J37" s="19">
        <v>33</v>
      </c>
      <c r="K37" s="27">
        <v>7</v>
      </c>
      <c r="L37" s="41">
        <v>120</v>
      </c>
      <c r="M37" s="27">
        <f>INDEX(章节关卡!$C$6:$C$20,芦花古楼!K37)*芦花古楼!L37</f>
        <v>3000</v>
      </c>
      <c r="N37" s="24">
        <f t="shared" si="4"/>
        <v>40</v>
      </c>
      <c r="O37" s="24">
        <f t="shared" si="5"/>
        <v>50</v>
      </c>
      <c r="P37" s="16">
        <f>INDEX(章节关卡!$E$6:$E$20,芦花古楼!K37)*芦花古楼!L37</f>
        <v>6000</v>
      </c>
      <c r="S37" s="19">
        <v>33</v>
      </c>
      <c r="T37" s="27">
        <v>9</v>
      </c>
      <c r="U37" s="41">
        <v>180</v>
      </c>
      <c r="V37" s="27">
        <f>INDEX(章节关卡!$C$6:$C$20,芦花古楼!T37)*芦花古楼!U37</f>
        <v>6480</v>
      </c>
      <c r="W37" s="24">
        <f t="shared" ref="W37:W68" si="24">INT((S37-1)/5+3)*5</f>
        <v>45</v>
      </c>
      <c r="X37" s="24">
        <f t="shared" ref="X37:X68" si="25">INT(S37/5)*5+20</f>
        <v>50</v>
      </c>
      <c r="Y37" s="16">
        <f>INDEX(章节关卡!$E$6:$E$20,芦花古楼!T37)*芦花古楼!U37</f>
        <v>12960</v>
      </c>
      <c r="AB37" s="19">
        <v>33</v>
      </c>
      <c r="AC37" s="27">
        <v>9</v>
      </c>
      <c r="AD37" s="41">
        <v>180</v>
      </c>
      <c r="AE37" s="27">
        <f>INDEX(章节关卡!$C$6:$C$20,芦花古楼!AC37)*芦花古楼!AD37</f>
        <v>6480</v>
      </c>
      <c r="AF37" s="24">
        <f t="shared" si="6"/>
        <v>50</v>
      </c>
      <c r="AG37" s="24">
        <f t="shared" si="7"/>
        <v>50</v>
      </c>
      <c r="AH37" s="16">
        <f>INDEX(章节关卡!$E$6:$E$20,芦花古楼!AC37)*芦花古楼!AD37</f>
        <v>12960</v>
      </c>
      <c r="AK37" s="20">
        <v>32</v>
      </c>
      <c r="AL37" s="20">
        <v>6</v>
      </c>
      <c r="AN37" s="20">
        <v>32</v>
      </c>
      <c r="AO37" s="20">
        <f t="shared" si="11"/>
        <v>7</v>
      </c>
      <c r="AQ37" s="20">
        <v>32</v>
      </c>
      <c r="AR37" s="20">
        <f t="shared" si="12"/>
        <v>8</v>
      </c>
      <c r="AT37" s="20">
        <v>32</v>
      </c>
      <c r="AU37" s="20">
        <f t="shared" si="13"/>
        <v>9</v>
      </c>
      <c r="AX37" s="20">
        <v>32</v>
      </c>
      <c r="AY37" s="16">
        <f t="shared" si="8"/>
        <v>250</v>
      </c>
      <c r="AZ37" s="16">
        <f t="shared" si="9"/>
        <v>360</v>
      </c>
      <c r="BA37" s="16">
        <f t="shared" si="10"/>
        <v>59400</v>
      </c>
      <c r="BC37" s="20">
        <v>33</v>
      </c>
      <c r="BD37" s="24">
        <v>30</v>
      </c>
      <c r="BG37" s="24">
        <v>19</v>
      </c>
      <c r="BH37" s="24">
        <f t="shared" si="23"/>
        <v>11.003521260019911</v>
      </c>
      <c r="BI37" s="22">
        <f t="shared" si="15"/>
        <v>5.779063969829247E-2</v>
      </c>
      <c r="BJ37" s="16">
        <f t="shared" si="16"/>
        <v>0</v>
      </c>
      <c r="BK37" s="16">
        <f t="shared" si="17"/>
        <v>0</v>
      </c>
      <c r="BL37" s="16">
        <f t="shared" si="18"/>
        <v>0</v>
      </c>
      <c r="BM37" s="16">
        <f t="shared" si="19"/>
        <v>0</v>
      </c>
      <c r="BN37" s="16">
        <f t="shared" si="20"/>
        <v>0</v>
      </c>
      <c r="BO37" s="16">
        <f t="shared" si="21"/>
        <v>0</v>
      </c>
      <c r="BP37" s="16">
        <f t="shared" si="22"/>
        <v>0</v>
      </c>
      <c r="BR37" s="24">
        <v>19</v>
      </c>
      <c r="BS37" s="24">
        <v>10</v>
      </c>
    </row>
    <row r="38" spans="1:71" ht="16.5" x14ac:dyDescent="0.2">
      <c r="A38" s="19">
        <v>34</v>
      </c>
      <c r="B38" s="27">
        <v>8</v>
      </c>
      <c r="C38" s="41">
        <v>60</v>
      </c>
      <c r="D38" s="27">
        <f>INDEX(章节关卡!$C$6:$C$20,芦花古楼!B38)*芦花古楼!C38</f>
        <v>1800</v>
      </c>
      <c r="E38" s="24">
        <f t="shared" si="2"/>
        <v>35</v>
      </c>
      <c r="F38" s="24">
        <f t="shared" si="3"/>
        <v>50</v>
      </c>
      <c r="G38" s="16">
        <f>INDEX(章节关卡!$E$6:$E$20,芦花古楼!B38)*芦花古楼!C38</f>
        <v>3600</v>
      </c>
      <c r="J38" s="19">
        <v>34</v>
      </c>
      <c r="K38" s="27">
        <v>7</v>
      </c>
      <c r="L38" s="41">
        <v>120</v>
      </c>
      <c r="M38" s="27">
        <f>INDEX(章节关卡!$C$6:$C$20,芦花古楼!K38)*芦花古楼!L38</f>
        <v>3000</v>
      </c>
      <c r="N38" s="24">
        <f t="shared" si="4"/>
        <v>40</v>
      </c>
      <c r="O38" s="24">
        <f t="shared" si="5"/>
        <v>50</v>
      </c>
      <c r="P38" s="16">
        <f>INDEX(章节关卡!$E$6:$E$20,芦花古楼!K38)*芦花古楼!L38</f>
        <v>6000</v>
      </c>
      <c r="S38" s="19">
        <v>34</v>
      </c>
      <c r="T38" s="27">
        <v>9</v>
      </c>
      <c r="U38" s="41">
        <v>180</v>
      </c>
      <c r="V38" s="27">
        <f>INDEX(章节关卡!$C$6:$C$20,芦花古楼!T38)*芦花古楼!U38</f>
        <v>6480</v>
      </c>
      <c r="W38" s="24">
        <f t="shared" si="24"/>
        <v>45</v>
      </c>
      <c r="X38" s="24">
        <f t="shared" si="25"/>
        <v>50</v>
      </c>
      <c r="Y38" s="16">
        <f>INDEX(章节关卡!$E$6:$E$20,芦花古楼!T38)*芦花古楼!U38</f>
        <v>12960</v>
      </c>
      <c r="AB38" s="19">
        <v>34</v>
      </c>
      <c r="AC38" s="27">
        <v>9</v>
      </c>
      <c r="AD38" s="41">
        <v>180</v>
      </c>
      <c r="AE38" s="27">
        <f>INDEX(章节关卡!$C$6:$C$20,芦花古楼!AC38)*芦花古楼!AD38</f>
        <v>6480</v>
      </c>
      <c r="AF38" s="24">
        <f t="shared" si="6"/>
        <v>50</v>
      </c>
      <c r="AG38" s="24">
        <f t="shared" si="7"/>
        <v>50</v>
      </c>
      <c r="AH38" s="16">
        <f>INDEX(章节关卡!$E$6:$E$20,芦花古楼!AC38)*芦花古楼!AD38</f>
        <v>12960</v>
      </c>
      <c r="AK38" s="20">
        <v>33</v>
      </c>
      <c r="AL38" s="20">
        <v>6</v>
      </c>
      <c r="AN38" s="20">
        <v>33</v>
      </c>
      <c r="AO38" s="20">
        <f t="shared" si="11"/>
        <v>7</v>
      </c>
      <c r="AQ38" s="20">
        <v>33</v>
      </c>
      <c r="AR38" s="20">
        <f t="shared" si="12"/>
        <v>8</v>
      </c>
      <c r="AT38" s="20">
        <v>33</v>
      </c>
      <c r="AU38" s="20">
        <f t="shared" si="13"/>
        <v>9</v>
      </c>
      <c r="AX38" s="20">
        <v>33</v>
      </c>
      <c r="AY38" s="16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6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6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20">
        <v>34</v>
      </c>
      <c r="BD38" s="24">
        <v>30</v>
      </c>
      <c r="BG38" s="24">
        <v>20</v>
      </c>
      <c r="BH38" s="24">
        <f t="shared" si="23"/>
        <v>11.613556472620109</v>
      </c>
      <c r="BI38" s="22">
        <f t="shared" si="15"/>
        <v>6.0994552731363255E-2</v>
      </c>
      <c r="BJ38" s="16">
        <f t="shared" si="16"/>
        <v>0</v>
      </c>
      <c r="BK38" s="16">
        <f t="shared" si="17"/>
        <v>0</v>
      </c>
      <c r="BL38" s="16">
        <f t="shared" si="18"/>
        <v>0</v>
      </c>
      <c r="BM38" s="16">
        <f t="shared" si="19"/>
        <v>0</v>
      </c>
      <c r="BN38" s="16">
        <f t="shared" si="20"/>
        <v>0</v>
      </c>
      <c r="BO38" s="16">
        <f t="shared" si="21"/>
        <v>0</v>
      </c>
      <c r="BP38" s="16">
        <f t="shared" si="22"/>
        <v>0</v>
      </c>
      <c r="BR38" s="24">
        <v>20</v>
      </c>
      <c r="BS38" s="24">
        <v>10</v>
      </c>
    </row>
    <row r="39" spans="1:71" ht="16.5" x14ac:dyDescent="0.2">
      <c r="A39" s="19">
        <v>35</v>
      </c>
      <c r="B39" s="27">
        <v>8</v>
      </c>
      <c r="C39" s="41">
        <v>60</v>
      </c>
      <c r="D39" s="27">
        <f>INDEX(章节关卡!$C$6:$C$20,芦花古楼!B39)*芦花古楼!C39</f>
        <v>1800</v>
      </c>
      <c r="E39" s="24">
        <f t="shared" si="2"/>
        <v>35</v>
      </c>
      <c r="F39" s="24">
        <f t="shared" si="3"/>
        <v>55</v>
      </c>
      <c r="G39" s="16">
        <f>INDEX(章节关卡!$E$6:$E$20,芦花古楼!B39)*芦花古楼!C39</f>
        <v>3600</v>
      </c>
      <c r="J39" s="19">
        <v>35</v>
      </c>
      <c r="K39" s="27">
        <v>8</v>
      </c>
      <c r="L39" s="41">
        <v>120</v>
      </c>
      <c r="M39" s="27">
        <f>INDEX(章节关卡!$C$6:$C$20,芦花古楼!K39)*芦花古楼!L39</f>
        <v>3600</v>
      </c>
      <c r="N39" s="24">
        <f t="shared" si="4"/>
        <v>40</v>
      </c>
      <c r="O39" s="24">
        <f t="shared" si="5"/>
        <v>55</v>
      </c>
      <c r="P39" s="16">
        <f>INDEX(章节关卡!$E$6:$E$20,芦花古楼!K39)*芦花古楼!L39</f>
        <v>7200</v>
      </c>
      <c r="S39" s="19">
        <v>35</v>
      </c>
      <c r="T39" s="27">
        <v>9</v>
      </c>
      <c r="U39" s="41">
        <v>180</v>
      </c>
      <c r="V39" s="27">
        <f>INDEX(章节关卡!$C$6:$C$20,芦花古楼!T39)*芦花古楼!U39</f>
        <v>6480</v>
      </c>
      <c r="W39" s="24">
        <f t="shared" si="24"/>
        <v>45</v>
      </c>
      <c r="X39" s="24">
        <f t="shared" si="25"/>
        <v>55</v>
      </c>
      <c r="Y39" s="16">
        <f>INDEX(章节关卡!$E$6:$E$20,芦花古楼!T39)*芦花古楼!U39</f>
        <v>12960</v>
      </c>
      <c r="AB39" s="19">
        <v>35</v>
      </c>
      <c r="AC39" s="27">
        <v>9</v>
      </c>
      <c r="AD39" s="41">
        <v>180</v>
      </c>
      <c r="AE39" s="27">
        <f>INDEX(章节关卡!$C$6:$C$20,芦花古楼!AC39)*芦花古楼!AD39</f>
        <v>6480</v>
      </c>
      <c r="AF39" s="24">
        <f t="shared" si="6"/>
        <v>50</v>
      </c>
      <c r="AG39" s="24">
        <f t="shared" si="7"/>
        <v>55</v>
      </c>
      <c r="AH39" s="16">
        <f>INDEX(章节关卡!$E$6:$E$20,芦花古楼!AC39)*芦花古楼!AD39</f>
        <v>12960</v>
      </c>
      <c r="AK39" s="20">
        <v>34</v>
      </c>
      <c r="AL39" s="20">
        <v>6</v>
      </c>
      <c r="AN39" s="20">
        <v>34</v>
      </c>
      <c r="AO39" s="20">
        <f t="shared" si="11"/>
        <v>7</v>
      </c>
      <c r="AQ39" s="20">
        <v>34</v>
      </c>
      <c r="AR39" s="20">
        <f t="shared" si="12"/>
        <v>8</v>
      </c>
      <c r="AT39" s="20">
        <v>34</v>
      </c>
      <c r="AU39" s="20">
        <f t="shared" si="13"/>
        <v>9</v>
      </c>
      <c r="AX39" s="20">
        <v>34</v>
      </c>
      <c r="AY39" s="16">
        <f t="shared" si="26"/>
        <v>160</v>
      </c>
      <c r="AZ39" s="16">
        <f t="shared" si="27"/>
        <v>360</v>
      </c>
      <c r="BA39" s="16">
        <f t="shared" si="28"/>
        <v>32400</v>
      </c>
      <c r="BC39" s="20">
        <v>35</v>
      </c>
      <c r="BD39" s="24">
        <v>30</v>
      </c>
      <c r="BG39" s="24">
        <v>21</v>
      </c>
      <c r="BH39" s="24">
        <f t="shared" si="23"/>
        <v>12.229692037346311</v>
      </c>
      <c r="BI39" s="22">
        <f t="shared" si="15"/>
        <v>6.4230504894764756E-2</v>
      </c>
      <c r="BJ39" s="16">
        <f t="shared" si="16"/>
        <v>0</v>
      </c>
      <c r="BK39" s="16">
        <f t="shared" si="17"/>
        <v>0</v>
      </c>
      <c r="BL39" s="16">
        <f t="shared" si="18"/>
        <v>0</v>
      </c>
      <c r="BM39" s="16">
        <f t="shared" si="19"/>
        <v>0</v>
      </c>
      <c r="BN39" s="16">
        <f t="shared" si="20"/>
        <v>0</v>
      </c>
      <c r="BO39" s="16">
        <f t="shared" si="21"/>
        <v>0</v>
      </c>
      <c r="BP39" s="16">
        <f t="shared" si="22"/>
        <v>0</v>
      </c>
      <c r="BR39" s="24">
        <v>21</v>
      </c>
      <c r="BS39" s="24">
        <v>15</v>
      </c>
    </row>
    <row r="40" spans="1:71" ht="16.5" x14ac:dyDescent="0.2">
      <c r="A40" s="19">
        <v>36</v>
      </c>
      <c r="B40" s="27">
        <v>8</v>
      </c>
      <c r="C40" s="41">
        <v>60</v>
      </c>
      <c r="D40" s="27">
        <f>INDEX(章节关卡!$C$6:$C$20,芦花古楼!B40)*芦花古楼!C40</f>
        <v>1800</v>
      </c>
      <c r="E40" s="24">
        <f t="shared" si="2"/>
        <v>40</v>
      </c>
      <c r="F40" s="24">
        <f t="shared" si="3"/>
        <v>55</v>
      </c>
      <c r="G40" s="16">
        <f>INDEX(章节关卡!$E$6:$E$20,芦花古楼!B40)*芦花古楼!C40</f>
        <v>3600</v>
      </c>
      <c r="J40" s="19">
        <v>36</v>
      </c>
      <c r="K40" s="27">
        <v>8</v>
      </c>
      <c r="L40" s="41">
        <v>120</v>
      </c>
      <c r="M40" s="27">
        <f>INDEX(章节关卡!$C$6:$C$20,芦花古楼!K40)*芦花古楼!L40</f>
        <v>3600</v>
      </c>
      <c r="N40" s="24">
        <f t="shared" si="4"/>
        <v>45</v>
      </c>
      <c r="O40" s="24">
        <f t="shared" si="5"/>
        <v>55</v>
      </c>
      <c r="P40" s="16">
        <f>INDEX(章节关卡!$E$6:$E$20,芦花古楼!K40)*芦花古楼!L40</f>
        <v>7200</v>
      </c>
      <c r="S40" s="19">
        <v>36</v>
      </c>
      <c r="T40" s="27">
        <v>9</v>
      </c>
      <c r="U40" s="41">
        <v>180</v>
      </c>
      <c r="V40" s="27">
        <f>INDEX(章节关卡!$C$6:$C$20,芦花古楼!T40)*芦花古楼!U40</f>
        <v>6480</v>
      </c>
      <c r="W40" s="24">
        <f t="shared" si="24"/>
        <v>50</v>
      </c>
      <c r="X40" s="24">
        <f t="shared" si="25"/>
        <v>55</v>
      </c>
      <c r="Y40" s="16">
        <f>INDEX(章节关卡!$E$6:$E$20,芦花古楼!T40)*芦花古楼!U40</f>
        <v>12960</v>
      </c>
      <c r="AB40" s="19">
        <v>36</v>
      </c>
      <c r="AC40" s="27">
        <v>9</v>
      </c>
      <c r="AD40" s="41">
        <v>180</v>
      </c>
      <c r="AE40" s="27">
        <f>INDEX(章节关卡!$C$6:$C$20,芦花古楼!AC40)*芦花古楼!AD40</f>
        <v>6480</v>
      </c>
      <c r="AF40" s="24">
        <f t="shared" si="6"/>
        <v>55</v>
      </c>
      <c r="AG40" s="24">
        <f t="shared" si="7"/>
        <v>55</v>
      </c>
      <c r="AH40" s="16">
        <f>INDEX(章节关卡!$E$6:$E$20,芦花古楼!AC40)*芦花古楼!AD40</f>
        <v>12960</v>
      </c>
      <c r="AK40" s="20">
        <v>35</v>
      </c>
      <c r="AL40" s="20">
        <v>6</v>
      </c>
      <c r="AN40" s="20">
        <v>35</v>
      </c>
      <c r="AO40" s="20">
        <f t="shared" si="11"/>
        <v>7</v>
      </c>
      <c r="AQ40" s="20">
        <v>35</v>
      </c>
      <c r="AR40" s="20">
        <f t="shared" si="12"/>
        <v>8</v>
      </c>
      <c r="AT40" s="20">
        <v>35</v>
      </c>
      <c r="AU40" s="20">
        <f t="shared" si="13"/>
        <v>9</v>
      </c>
      <c r="AX40" s="20">
        <v>35</v>
      </c>
      <c r="AY40" s="16">
        <f t="shared" si="26"/>
        <v>170</v>
      </c>
      <c r="AZ40" s="16">
        <f t="shared" si="27"/>
        <v>360</v>
      </c>
      <c r="BA40" s="16">
        <f t="shared" si="28"/>
        <v>37800</v>
      </c>
      <c r="BC40" s="20">
        <v>36</v>
      </c>
      <c r="BD40" s="24">
        <v>30</v>
      </c>
      <c r="BG40" s="24">
        <v>22</v>
      </c>
      <c r="BH40" s="24">
        <f t="shared" si="23"/>
        <v>12.851988957719774</v>
      </c>
      <c r="BI40" s="22">
        <f t="shared" si="15"/>
        <v>6.749881657980028E-2</v>
      </c>
      <c r="BJ40" s="16">
        <f t="shared" si="16"/>
        <v>0</v>
      </c>
      <c r="BK40" s="16">
        <f t="shared" si="17"/>
        <v>0</v>
      </c>
      <c r="BL40" s="16">
        <f t="shared" si="18"/>
        <v>0</v>
      </c>
      <c r="BM40" s="16">
        <f t="shared" si="19"/>
        <v>0</v>
      </c>
      <c r="BN40" s="16">
        <f t="shared" si="20"/>
        <v>0</v>
      </c>
      <c r="BO40" s="16">
        <f t="shared" si="21"/>
        <v>0</v>
      </c>
      <c r="BP40" s="16">
        <f t="shared" si="22"/>
        <v>0</v>
      </c>
      <c r="BR40" s="24">
        <v>22</v>
      </c>
      <c r="BS40" s="24">
        <v>15</v>
      </c>
    </row>
    <row r="41" spans="1:71" ht="16.5" x14ac:dyDescent="0.2">
      <c r="A41" s="19">
        <v>37</v>
      </c>
      <c r="B41" s="27">
        <v>8</v>
      </c>
      <c r="C41" s="41">
        <v>60</v>
      </c>
      <c r="D41" s="27">
        <f>INDEX(章节关卡!$C$6:$C$20,芦花古楼!B41)*芦花古楼!C41</f>
        <v>1800</v>
      </c>
      <c r="E41" s="24">
        <f t="shared" si="2"/>
        <v>40</v>
      </c>
      <c r="F41" s="24">
        <f t="shared" si="3"/>
        <v>55</v>
      </c>
      <c r="G41" s="16">
        <f>INDEX(章节关卡!$E$6:$E$20,芦花古楼!B41)*芦花古楼!C41</f>
        <v>3600</v>
      </c>
      <c r="J41" s="19">
        <v>37</v>
      </c>
      <c r="K41" s="27">
        <v>8</v>
      </c>
      <c r="L41" s="41">
        <v>120</v>
      </c>
      <c r="M41" s="27">
        <f>INDEX(章节关卡!$C$6:$C$20,芦花古楼!K41)*芦花古楼!L41</f>
        <v>3600</v>
      </c>
      <c r="N41" s="24">
        <f t="shared" si="4"/>
        <v>45</v>
      </c>
      <c r="O41" s="24">
        <f t="shared" si="5"/>
        <v>55</v>
      </c>
      <c r="P41" s="16">
        <f>INDEX(章节关卡!$E$6:$E$20,芦花古楼!K41)*芦花古楼!L41</f>
        <v>7200</v>
      </c>
      <c r="S41" s="19">
        <v>37</v>
      </c>
      <c r="T41" s="27">
        <v>9</v>
      </c>
      <c r="U41" s="41">
        <v>180</v>
      </c>
      <c r="V41" s="27">
        <f>INDEX(章节关卡!$C$6:$C$20,芦花古楼!T41)*芦花古楼!U41</f>
        <v>6480</v>
      </c>
      <c r="W41" s="24">
        <f t="shared" si="24"/>
        <v>50</v>
      </c>
      <c r="X41" s="24">
        <f t="shared" si="25"/>
        <v>55</v>
      </c>
      <c r="Y41" s="16">
        <f>INDEX(章节关卡!$E$6:$E$20,芦花古楼!T41)*芦花古楼!U41</f>
        <v>12960</v>
      </c>
      <c r="AB41" s="19">
        <v>37</v>
      </c>
      <c r="AC41" s="27">
        <v>9</v>
      </c>
      <c r="AD41" s="41">
        <v>180</v>
      </c>
      <c r="AE41" s="27">
        <f>INDEX(章节关卡!$C$6:$C$20,芦花古楼!AC41)*芦花古楼!AD41</f>
        <v>6480</v>
      </c>
      <c r="AF41" s="24">
        <f t="shared" si="6"/>
        <v>55</v>
      </c>
      <c r="AG41" s="24">
        <f t="shared" si="7"/>
        <v>55</v>
      </c>
      <c r="AH41" s="16">
        <f>INDEX(章节关卡!$E$6:$E$20,芦花古楼!AC41)*芦花古楼!AD41</f>
        <v>12960</v>
      </c>
      <c r="AK41" s="20">
        <v>36</v>
      </c>
      <c r="AL41" s="20">
        <v>7</v>
      </c>
      <c r="AN41" s="20">
        <v>36</v>
      </c>
      <c r="AO41" s="20">
        <f t="shared" si="11"/>
        <v>8</v>
      </c>
      <c r="AQ41" s="20">
        <v>36</v>
      </c>
      <c r="AR41" s="20">
        <f t="shared" si="12"/>
        <v>9</v>
      </c>
      <c r="AT41" s="20">
        <v>36</v>
      </c>
      <c r="AU41" s="20">
        <f t="shared" si="13"/>
        <v>10</v>
      </c>
      <c r="AX41" s="20">
        <v>36</v>
      </c>
      <c r="AY41" s="16">
        <f t="shared" si="26"/>
        <v>160</v>
      </c>
      <c r="AZ41" s="16">
        <f t="shared" si="27"/>
        <v>365</v>
      </c>
      <c r="BA41" s="16">
        <f t="shared" si="28"/>
        <v>33600</v>
      </c>
      <c r="BC41" s="20">
        <v>37</v>
      </c>
      <c r="BD41" s="24">
        <v>30</v>
      </c>
      <c r="BG41" s="24">
        <v>23</v>
      </c>
      <c r="BH41" s="24">
        <f t="shared" si="23"/>
        <v>13.480508847296973</v>
      </c>
      <c r="BI41" s="22">
        <f t="shared" si="15"/>
        <v>7.0799811381686159E-2</v>
      </c>
      <c r="BJ41" s="16">
        <f t="shared" si="16"/>
        <v>0</v>
      </c>
      <c r="BK41" s="16">
        <f t="shared" si="17"/>
        <v>0</v>
      </c>
      <c r="BL41" s="16">
        <f t="shared" si="18"/>
        <v>0</v>
      </c>
      <c r="BM41" s="16">
        <f t="shared" si="19"/>
        <v>0</v>
      </c>
      <c r="BN41" s="16">
        <f t="shared" si="20"/>
        <v>0</v>
      </c>
      <c r="BO41" s="16">
        <f t="shared" si="21"/>
        <v>0</v>
      </c>
      <c r="BP41" s="16">
        <f t="shared" si="22"/>
        <v>0</v>
      </c>
      <c r="BR41" s="24">
        <v>23</v>
      </c>
      <c r="BS41" s="24">
        <v>15</v>
      </c>
    </row>
    <row r="42" spans="1:71" ht="16.5" x14ac:dyDescent="0.2">
      <c r="A42" s="19">
        <v>38</v>
      </c>
      <c r="B42" s="27">
        <v>8</v>
      </c>
      <c r="C42" s="41">
        <v>60</v>
      </c>
      <c r="D42" s="27">
        <f>INDEX(章节关卡!$C$6:$C$20,芦花古楼!B42)*芦花古楼!C42</f>
        <v>1800</v>
      </c>
      <c r="E42" s="24">
        <f t="shared" si="2"/>
        <v>40</v>
      </c>
      <c r="F42" s="24">
        <f t="shared" si="3"/>
        <v>55</v>
      </c>
      <c r="G42" s="16">
        <f>INDEX(章节关卡!$E$6:$E$20,芦花古楼!B42)*芦花古楼!C42</f>
        <v>3600</v>
      </c>
      <c r="J42" s="19">
        <v>38</v>
      </c>
      <c r="K42" s="27">
        <v>8</v>
      </c>
      <c r="L42" s="41">
        <v>120</v>
      </c>
      <c r="M42" s="27">
        <f>INDEX(章节关卡!$C$6:$C$20,芦花古楼!K42)*芦花古楼!L42</f>
        <v>3600</v>
      </c>
      <c r="N42" s="24">
        <f t="shared" si="4"/>
        <v>45</v>
      </c>
      <c r="O42" s="24">
        <f t="shared" si="5"/>
        <v>55</v>
      </c>
      <c r="P42" s="16">
        <f>INDEX(章节关卡!$E$6:$E$20,芦花古楼!K42)*芦花古楼!L42</f>
        <v>7200</v>
      </c>
      <c r="S42" s="19">
        <v>38</v>
      </c>
      <c r="T42" s="27">
        <v>9</v>
      </c>
      <c r="U42" s="41">
        <v>180</v>
      </c>
      <c r="V42" s="27">
        <f>INDEX(章节关卡!$C$6:$C$20,芦花古楼!T42)*芦花古楼!U42</f>
        <v>6480</v>
      </c>
      <c r="W42" s="24">
        <f t="shared" si="24"/>
        <v>50</v>
      </c>
      <c r="X42" s="24">
        <f t="shared" si="25"/>
        <v>55</v>
      </c>
      <c r="Y42" s="16">
        <f>INDEX(章节关卡!$E$6:$E$20,芦花古楼!T42)*芦花古楼!U42</f>
        <v>12960</v>
      </c>
      <c r="AB42" s="19">
        <v>38</v>
      </c>
      <c r="AC42" s="27">
        <v>9</v>
      </c>
      <c r="AD42" s="41">
        <v>180</v>
      </c>
      <c r="AE42" s="27">
        <f>INDEX(章节关卡!$C$6:$C$20,芦花古楼!AC42)*芦花古楼!AD42</f>
        <v>6480</v>
      </c>
      <c r="AF42" s="24">
        <f t="shared" si="6"/>
        <v>55</v>
      </c>
      <c r="AG42" s="24">
        <f t="shared" si="7"/>
        <v>55</v>
      </c>
      <c r="AH42" s="16">
        <f>INDEX(章节关卡!$E$6:$E$20,芦花古楼!AC42)*芦花古楼!AD42</f>
        <v>12960</v>
      </c>
      <c r="AK42" s="20">
        <v>37</v>
      </c>
      <c r="AL42" s="20">
        <v>7</v>
      </c>
      <c r="AN42" s="20">
        <v>37</v>
      </c>
      <c r="AO42" s="20">
        <f t="shared" si="11"/>
        <v>8</v>
      </c>
      <c r="AQ42" s="20">
        <v>37</v>
      </c>
      <c r="AR42" s="20">
        <f t="shared" si="12"/>
        <v>9</v>
      </c>
      <c r="AT42" s="20">
        <v>37</v>
      </c>
      <c r="AU42" s="20">
        <f t="shared" si="13"/>
        <v>10</v>
      </c>
      <c r="AX42" s="20">
        <v>37</v>
      </c>
      <c r="AY42" s="16">
        <f t="shared" si="26"/>
        <v>170</v>
      </c>
      <c r="AZ42" s="16">
        <f t="shared" si="27"/>
        <v>370</v>
      </c>
      <c r="BA42" s="16">
        <f t="shared" si="28"/>
        <v>40200</v>
      </c>
      <c r="BC42" s="20">
        <v>38</v>
      </c>
      <c r="BD42" s="24">
        <v>30</v>
      </c>
      <c r="BG42" s="24">
        <v>24</v>
      </c>
      <c r="BH42" s="24">
        <f t="shared" si="23"/>
        <v>14.115313935769942</v>
      </c>
      <c r="BI42" s="22">
        <f t="shared" si="15"/>
        <v>7.4133816131590882E-2</v>
      </c>
      <c r="BJ42" s="16">
        <f t="shared" si="16"/>
        <v>0</v>
      </c>
      <c r="BK42" s="16">
        <f t="shared" si="17"/>
        <v>0</v>
      </c>
      <c r="BL42" s="16">
        <f t="shared" si="18"/>
        <v>0</v>
      </c>
      <c r="BM42" s="16">
        <f t="shared" si="19"/>
        <v>0</v>
      </c>
      <c r="BN42" s="16">
        <f t="shared" si="20"/>
        <v>0</v>
      </c>
      <c r="BO42" s="16">
        <f t="shared" si="21"/>
        <v>0</v>
      </c>
      <c r="BP42" s="16">
        <f t="shared" si="22"/>
        <v>0</v>
      </c>
      <c r="BR42" s="24">
        <v>24</v>
      </c>
      <c r="BS42" s="24">
        <v>15</v>
      </c>
    </row>
    <row r="43" spans="1:71" ht="16.5" x14ac:dyDescent="0.2">
      <c r="A43" s="19">
        <v>39</v>
      </c>
      <c r="B43" s="27">
        <v>8</v>
      </c>
      <c r="C43" s="41">
        <v>60</v>
      </c>
      <c r="D43" s="27">
        <f>INDEX(章节关卡!$C$6:$C$20,芦花古楼!B43)*芦花古楼!C43</f>
        <v>1800</v>
      </c>
      <c r="E43" s="24">
        <f t="shared" si="2"/>
        <v>40</v>
      </c>
      <c r="F43" s="24">
        <f t="shared" si="3"/>
        <v>55</v>
      </c>
      <c r="G43" s="16">
        <f>INDEX(章节关卡!$E$6:$E$20,芦花古楼!B43)*芦花古楼!C43</f>
        <v>3600</v>
      </c>
      <c r="J43" s="19">
        <v>39</v>
      </c>
      <c r="K43" s="27">
        <v>8</v>
      </c>
      <c r="L43" s="41">
        <v>120</v>
      </c>
      <c r="M43" s="27">
        <f>INDEX(章节关卡!$C$6:$C$20,芦花古楼!K43)*芦花古楼!L43</f>
        <v>3600</v>
      </c>
      <c r="N43" s="24">
        <f t="shared" si="4"/>
        <v>45</v>
      </c>
      <c r="O43" s="24">
        <f t="shared" si="5"/>
        <v>55</v>
      </c>
      <c r="P43" s="16">
        <f>INDEX(章节关卡!$E$6:$E$20,芦花古楼!K43)*芦花古楼!L43</f>
        <v>7200</v>
      </c>
      <c r="S43" s="19">
        <v>39</v>
      </c>
      <c r="T43" s="27">
        <v>9</v>
      </c>
      <c r="U43" s="41">
        <v>180</v>
      </c>
      <c r="V43" s="27">
        <f>INDEX(章节关卡!$C$6:$C$20,芦花古楼!T43)*芦花古楼!U43</f>
        <v>6480</v>
      </c>
      <c r="W43" s="24">
        <f t="shared" si="24"/>
        <v>50</v>
      </c>
      <c r="X43" s="24">
        <f t="shared" si="25"/>
        <v>55</v>
      </c>
      <c r="Y43" s="16">
        <f>INDEX(章节关卡!$E$6:$E$20,芦花古楼!T43)*芦花古楼!U43</f>
        <v>12960</v>
      </c>
      <c r="AB43" s="19">
        <v>39</v>
      </c>
      <c r="AC43" s="27">
        <v>9</v>
      </c>
      <c r="AD43" s="41">
        <v>180</v>
      </c>
      <c r="AE43" s="27">
        <f>INDEX(章节关卡!$C$6:$C$20,芦花古楼!AC43)*芦花古楼!AD43</f>
        <v>6480</v>
      </c>
      <c r="AF43" s="24">
        <f t="shared" si="6"/>
        <v>55</v>
      </c>
      <c r="AG43" s="24">
        <f t="shared" si="7"/>
        <v>55</v>
      </c>
      <c r="AH43" s="16">
        <f>INDEX(章节关卡!$E$6:$E$20,芦花古楼!AC43)*芦花古楼!AD43</f>
        <v>12960</v>
      </c>
      <c r="AK43" s="20">
        <v>38</v>
      </c>
      <c r="AL43" s="20">
        <v>7</v>
      </c>
      <c r="AN43" s="20">
        <v>38</v>
      </c>
      <c r="AO43" s="20">
        <f t="shared" si="11"/>
        <v>8</v>
      </c>
      <c r="AQ43" s="20">
        <v>38</v>
      </c>
      <c r="AR43" s="20">
        <f t="shared" si="12"/>
        <v>9</v>
      </c>
      <c r="AT43" s="20">
        <v>38</v>
      </c>
      <c r="AU43" s="20">
        <f t="shared" si="13"/>
        <v>10</v>
      </c>
      <c r="AX43" s="20">
        <v>38</v>
      </c>
      <c r="AY43" s="16">
        <f t="shared" si="26"/>
        <v>165</v>
      </c>
      <c r="AZ43" s="16">
        <f t="shared" si="27"/>
        <v>375</v>
      </c>
      <c r="BA43" s="16">
        <f t="shared" si="28"/>
        <v>33600</v>
      </c>
      <c r="BC43" s="20">
        <v>39</v>
      </c>
      <c r="BD43" s="24">
        <v>30</v>
      </c>
      <c r="BG43" s="24">
        <v>25</v>
      </c>
      <c r="BH43" s="24">
        <f t="shared" si="23"/>
        <v>14.756467075127642</v>
      </c>
      <c r="BI43" s="22">
        <f t="shared" si="15"/>
        <v>7.7501160928994658E-2</v>
      </c>
      <c r="BJ43" s="16">
        <f t="shared" si="16"/>
        <v>0</v>
      </c>
      <c r="BK43" s="16">
        <f t="shared" si="17"/>
        <v>0</v>
      </c>
      <c r="BL43" s="16">
        <f t="shared" si="18"/>
        <v>0</v>
      </c>
      <c r="BM43" s="16">
        <f t="shared" si="19"/>
        <v>0</v>
      </c>
      <c r="BN43" s="16">
        <f t="shared" si="20"/>
        <v>0</v>
      </c>
      <c r="BO43" s="16">
        <f t="shared" si="21"/>
        <v>0</v>
      </c>
      <c r="BP43" s="16">
        <f t="shared" si="22"/>
        <v>0</v>
      </c>
      <c r="BR43" s="24">
        <v>25</v>
      </c>
      <c r="BS43" s="24">
        <v>15</v>
      </c>
    </row>
    <row r="44" spans="1:71" ht="16.5" x14ac:dyDescent="0.2">
      <c r="A44" s="19">
        <v>40</v>
      </c>
      <c r="B44" s="27">
        <v>8</v>
      </c>
      <c r="C44" s="41">
        <v>60</v>
      </c>
      <c r="D44" s="27">
        <f>INDEX(章节关卡!$C$6:$C$20,芦花古楼!B44)*芦花古楼!C44</f>
        <v>1800</v>
      </c>
      <c r="E44" s="24">
        <f t="shared" si="2"/>
        <v>40</v>
      </c>
      <c r="F44" s="24">
        <f t="shared" si="3"/>
        <v>60</v>
      </c>
      <c r="G44" s="16">
        <f>INDEX(章节关卡!$E$6:$E$20,芦花古楼!B44)*芦花古楼!C44</f>
        <v>3600</v>
      </c>
      <c r="J44" s="19">
        <v>40</v>
      </c>
      <c r="K44" s="27">
        <v>8</v>
      </c>
      <c r="L44" s="41">
        <v>120</v>
      </c>
      <c r="M44" s="27">
        <f>INDEX(章节关卡!$C$6:$C$20,芦花古楼!K44)*芦花古楼!L44</f>
        <v>3600</v>
      </c>
      <c r="N44" s="24">
        <f t="shared" si="4"/>
        <v>45</v>
      </c>
      <c r="O44" s="24">
        <f t="shared" si="5"/>
        <v>60</v>
      </c>
      <c r="P44" s="16">
        <f>INDEX(章节关卡!$E$6:$E$20,芦花古楼!K44)*芦花古楼!L44</f>
        <v>7200</v>
      </c>
      <c r="S44" s="19">
        <v>40</v>
      </c>
      <c r="T44" s="27">
        <v>10</v>
      </c>
      <c r="U44" s="41">
        <v>180</v>
      </c>
      <c r="V44" s="27">
        <f>INDEX(章节关卡!$C$6:$C$20,芦花古楼!T44)*芦花古楼!U44</f>
        <v>7920</v>
      </c>
      <c r="W44" s="24">
        <f t="shared" si="24"/>
        <v>50</v>
      </c>
      <c r="X44" s="24">
        <f t="shared" si="25"/>
        <v>60</v>
      </c>
      <c r="Y44" s="16">
        <f>INDEX(章节关卡!$E$6:$E$20,芦花古楼!T44)*芦花古楼!U44</f>
        <v>16200</v>
      </c>
      <c r="AB44" s="19">
        <v>40</v>
      </c>
      <c r="AC44" s="27">
        <v>10</v>
      </c>
      <c r="AD44" s="41">
        <v>180</v>
      </c>
      <c r="AE44" s="27">
        <f>INDEX(章节关卡!$C$6:$C$20,芦花古楼!AC44)*芦花古楼!AD44</f>
        <v>7920</v>
      </c>
      <c r="AF44" s="24">
        <f t="shared" si="6"/>
        <v>55</v>
      </c>
      <c r="AG44" s="24">
        <f t="shared" si="7"/>
        <v>60</v>
      </c>
      <c r="AH44" s="16">
        <f>INDEX(章节关卡!$E$6:$E$20,芦花古楼!AC44)*芦花古楼!AD44</f>
        <v>16200</v>
      </c>
      <c r="AK44" s="20">
        <v>39</v>
      </c>
      <c r="AL44" s="20">
        <v>8</v>
      </c>
      <c r="AN44" s="20">
        <v>39</v>
      </c>
      <c r="AO44" s="20">
        <f t="shared" si="11"/>
        <v>9</v>
      </c>
      <c r="AQ44" s="20">
        <v>39</v>
      </c>
      <c r="AR44" s="20">
        <f t="shared" si="12"/>
        <v>10</v>
      </c>
      <c r="AT44" s="20">
        <v>39</v>
      </c>
      <c r="AU44" s="20">
        <f t="shared" si="13"/>
        <v>11</v>
      </c>
      <c r="AX44" s="20">
        <v>39</v>
      </c>
      <c r="AY44" s="16">
        <f t="shared" si="26"/>
        <v>175</v>
      </c>
      <c r="AZ44" s="16">
        <f t="shared" si="27"/>
        <v>380</v>
      </c>
      <c r="BA44" s="16">
        <f t="shared" si="28"/>
        <v>40200</v>
      </c>
      <c r="BC44" s="20">
        <v>40</v>
      </c>
      <c r="BD44" s="20">
        <v>50</v>
      </c>
      <c r="BG44" s="24">
        <v>26</v>
      </c>
      <c r="BH44" s="24"/>
      <c r="BI44" s="22">
        <f>BI43*1.1</f>
        <v>8.5251277021894126E-2</v>
      </c>
      <c r="BJ44" s="16">
        <f t="shared" si="16"/>
        <v>0</v>
      </c>
      <c r="BK44" s="16">
        <f t="shared" si="17"/>
        <v>0</v>
      </c>
      <c r="BL44" s="16">
        <f t="shared" si="18"/>
        <v>0</v>
      </c>
      <c r="BM44" s="16">
        <f t="shared" si="19"/>
        <v>0</v>
      </c>
      <c r="BN44" s="16">
        <f t="shared" si="20"/>
        <v>0</v>
      </c>
      <c r="BO44" s="16">
        <f t="shared" si="21"/>
        <v>0</v>
      </c>
      <c r="BP44" s="16">
        <f t="shared" si="22"/>
        <v>0</v>
      </c>
      <c r="BR44" s="24">
        <v>26</v>
      </c>
      <c r="BS44" s="24">
        <v>25</v>
      </c>
    </row>
    <row r="45" spans="1:71" ht="16.5" x14ac:dyDescent="0.2">
      <c r="A45" s="19">
        <v>41</v>
      </c>
      <c r="B45" s="27">
        <v>8</v>
      </c>
      <c r="C45" s="41">
        <v>60</v>
      </c>
      <c r="D45" s="27">
        <f>INDEX(章节关卡!$C$6:$C$20,芦花古楼!B45)*芦花古楼!C45</f>
        <v>1800</v>
      </c>
      <c r="E45" s="24">
        <f t="shared" si="2"/>
        <v>45</v>
      </c>
      <c r="F45" s="24">
        <f t="shared" si="3"/>
        <v>60</v>
      </c>
      <c r="G45" s="16">
        <f>INDEX(章节关卡!$E$6:$E$20,芦花古楼!B45)*芦花古楼!C45</f>
        <v>3600</v>
      </c>
      <c r="J45" s="19">
        <v>41</v>
      </c>
      <c r="K45" s="27">
        <v>8</v>
      </c>
      <c r="L45" s="41">
        <v>120</v>
      </c>
      <c r="M45" s="27">
        <f>INDEX(章节关卡!$C$6:$C$20,芦花古楼!K45)*芦花古楼!L45</f>
        <v>3600</v>
      </c>
      <c r="N45" s="24">
        <f t="shared" si="4"/>
        <v>50</v>
      </c>
      <c r="O45" s="24">
        <f t="shared" si="5"/>
        <v>60</v>
      </c>
      <c r="P45" s="16">
        <f>INDEX(章节关卡!$E$6:$E$20,芦花古楼!K45)*芦花古楼!L45</f>
        <v>7200</v>
      </c>
      <c r="S45" s="19">
        <v>41</v>
      </c>
      <c r="T45" s="27">
        <v>10</v>
      </c>
      <c r="U45" s="41">
        <v>180</v>
      </c>
      <c r="V45" s="27">
        <f>INDEX(章节关卡!$C$6:$C$20,芦花古楼!T45)*芦花古楼!U45</f>
        <v>7920</v>
      </c>
      <c r="W45" s="24">
        <f t="shared" si="24"/>
        <v>55</v>
      </c>
      <c r="X45" s="24">
        <f t="shared" si="25"/>
        <v>60</v>
      </c>
      <c r="Y45" s="16">
        <f>INDEX(章节关卡!$E$6:$E$20,芦花古楼!T45)*芦花古楼!U45</f>
        <v>16200</v>
      </c>
      <c r="AB45" s="19">
        <v>41</v>
      </c>
      <c r="AC45" s="27">
        <v>10</v>
      </c>
      <c r="AD45" s="41">
        <v>180</v>
      </c>
      <c r="AE45" s="27">
        <f>INDEX(章节关卡!$C$6:$C$20,芦花古楼!AC45)*芦花古楼!AD45</f>
        <v>7920</v>
      </c>
      <c r="AF45" s="24">
        <f t="shared" si="6"/>
        <v>60</v>
      </c>
      <c r="AG45" s="24">
        <f t="shared" si="7"/>
        <v>60</v>
      </c>
      <c r="AH45" s="16">
        <f>INDEX(章节关卡!$E$6:$E$20,芦花古楼!AC45)*芦花古楼!AD45</f>
        <v>16200</v>
      </c>
      <c r="AK45" s="20">
        <v>40</v>
      </c>
      <c r="AL45" s="20">
        <v>8</v>
      </c>
      <c r="AN45" s="20">
        <v>40</v>
      </c>
      <c r="AO45" s="20">
        <f t="shared" si="11"/>
        <v>9</v>
      </c>
      <c r="AQ45" s="20">
        <v>40</v>
      </c>
      <c r="AR45" s="20">
        <f t="shared" si="12"/>
        <v>10</v>
      </c>
      <c r="AT45" s="20">
        <v>40</v>
      </c>
      <c r="AU45" s="20">
        <f t="shared" si="13"/>
        <v>11</v>
      </c>
      <c r="AX45" s="20">
        <v>40</v>
      </c>
      <c r="AY45" s="16">
        <f t="shared" si="26"/>
        <v>170</v>
      </c>
      <c r="AZ45" s="16">
        <f t="shared" si="27"/>
        <v>380</v>
      </c>
      <c r="BA45" s="16">
        <f t="shared" si="28"/>
        <v>33600</v>
      </c>
      <c r="BG45" s="24">
        <v>27</v>
      </c>
      <c r="BH45" s="24"/>
      <c r="BI45" s="22">
        <f t="shared" ref="BI45:BI58" si="29">BI44*1.1</f>
        <v>9.3776404724083551E-2</v>
      </c>
      <c r="BJ45" s="16">
        <f t="shared" ref="BJ45:BJ58" si="30">INT($BH$14/$BH$9*$BI45*BH$6/5)*5</f>
        <v>0</v>
      </c>
      <c r="BK45" s="16">
        <f t="shared" ref="BK45:BK58" si="31">INT($BH$14/$BH$9*$BI45*BI$6/5)*5</f>
        <v>0</v>
      </c>
      <c r="BL45" s="16">
        <f t="shared" ref="BL45:BL58" si="32">INT($BH$14/$BH$9*$BI45*BJ$6/5)*5</f>
        <v>0</v>
      </c>
      <c r="BM45" s="16">
        <f t="shared" ref="BM45:BM58" si="33">INT($BH$14/$BH$9*$BI45*BK$6/5)*5</f>
        <v>0</v>
      </c>
      <c r="BN45" s="16">
        <f t="shared" ref="BN45:BN58" si="34">INT($BH$14/$BH$9*$BI45*BL$6/5)*5</f>
        <v>0</v>
      </c>
      <c r="BO45" s="16">
        <f t="shared" ref="BO45:BO58" si="35">INT($BH$14/$BH$9*$BI45*BM$6/5)*5</f>
        <v>0</v>
      </c>
      <c r="BP45" s="16">
        <f t="shared" ref="BP45:BP58" si="36">INT($BH$14/$BH$9*$BI45*BN$6/5)*5</f>
        <v>0</v>
      </c>
      <c r="BR45" s="24">
        <v>27</v>
      </c>
      <c r="BS45" s="24">
        <v>25</v>
      </c>
    </row>
    <row r="46" spans="1:71" ht="16.5" x14ac:dyDescent="0.2">
      <c r="A46" s="19">
        <v>42</v>
      </c>
      <c r="B46" s="27">
        <v>8</v>
      </c>
      <c r="C46" s="41">
        <v>60</v>
      </c>
      <c r="D46" s="27">
        <f>INDEX(章节关卡!$C$6:$C$20,芦花古楼!B46)*芦花古楼!C46</f>
        <v>1800</v>
      </c>
      <c r="E46" s="24">
        <f t="shared" si="2"/>
        <v>45</v>
      </c>
      <c r="F46" s="24">
        <f t="shared" si="3"/>
        <v>60</v>
      </c>
      <c r="G46" s="16">
        <f>INDEX(章节关卡!$E$6:$E$20,芦花古楼!B46)*芦花古楼!C46</f>
        <v>3600</v>
      </c>
      <c r="J46" s="19">
        <v>42</v>
      </c>
      <c r="K46" s="27">
        <v>8</v>
      </c>
      <c r="L46" s="41">
        <v>120</v>
      </c>
      <c r="M46" s="27">
        <f>INDEX(章节关卡!$C$6:$C$20,芦花古楼!K46)*芦花古楼!L46</f>
        <v>3600</v>
      </c>
      <c r="N46" s="24">
        <f t="shared" si="4"/>
        <v>50</v>
      </c>
      <c r="O46" s="24">
        <f t="shared" si="5"/>
        <v>60</v>
      </c>
      <c r="P46" s="16">
        <f>INDEX(章节关卡!$E$6:$E$20,芦花古楼!K46)*芦花古楼!L46</f>
        <v>7200</v>
      </c>
      <c r="S46" s="19">
        <v>42</v>
      </c>
      <c r="T46" s="27">
        <v>10</v>
      </c>
      <c r="U46" s="41">
        <v>180</v>
      </c>
      <c r="V46" s="27">
        <f>INDEX(章节关卡!$C$6:$C$20,芦花古楼!T46)*芦花古楼!U46</f>
        <v>7920</v>
      </c>
      <c r="W46" s="24">
        <f t="shared" si="24"/>
        <v>55</v>
      </c>
      <c r="X46" s="24">
        <f t="shared" si="25"/>
        <v>60</v>
      </c>
      <c r="Y46" s="16">
        <f>INDEX(章节关卡!$E$6:$E$20,芦花古楼!T46)*芦花古楼!U46</f>
        <v>16200</v>
      </c>
      <c r="AB46" s="19">
        <v>42</v>
      </c>
      <c r="AC46" s="27">
        <v>10</v>
      </c>
      <c r="AD46" s="41">
        <v>180</v>
      </c>
      <c r="AE46" s="27">
        <f>INDEX(章节关卡!$C$6:$C$20,芦花古楼!AC46)*芦花古楼!AD46</f>
        <v>7920</v>
      </c>
      <c r="AF46" s="24">
        <f t="shared" si="6"/>
        <v>60</v>
      </c>
      <c r="AG46" s="24">
        <f t="shared" si="7"/>
        <v>60</v>
      </c>
      <c r="AH46" s="16">
        <f>INDEX(章节关卡!$E$6:$E$20,芦花古楼!AC46)*芦花古楼!AD46</f>
        <v>16200</v>
      </c>
      <c r="AK46" s="20">
        <v>41</v>
      </c>
      <c r="AL46" s="20">
        <v>8</v>
      </c>
      <c r="AN46" s="20">
        <v>41</v>
      </c>
      <c r="AO46" s="20">
        <f t="shared" si="11"/>
        <v>9</v>
      </c>
      <c r="AQ46" s="20">
        <v>41</v>
      </c>
      <c r="AR46" s="20">
        <f t="shared" si="12"/>
        <v>10</v>
      </c>
      <c r="AT46" s="20">
        <v>41</v>
      </c>
      <c r="AU46" s="20">
        <f t="shared" si="13"/>
        <v>11</v>
      </c>
      <c r="AX46" s="20">
        <v>41</v>
      </c>
      <c r="AY46" s="16">
        <f t="shared" si="26"/>
        <v>180</v>
      </c>
      <c r="AZ46" s="16">
        <f t="shared" si="27"/>
        <v>380</v>
      </c>
      <c r="BA46" s="16">
        <f t="shared" si="28"/>
        <v>40200</v>
      </c>
      <c r="BG46" s="24">
        <v>28</v>
      </c>
      <c r="BH46" s="24"/>
      <c r="BI46" s="22">
        <f t="shared" si="29"/>
        <v>0.10315404519649192</v>
      </c>
      <c r="BJ46" s="16">
        <f t="shared" si="30"/>
        <v>0</v>
      </c>
      <c r="BK46" s="16">
        <f t="shared" si="31"/>
        <v>0</v>
      </c>
      <c r="BL46" s="16">
        <f t="shared" si="32"/>
        <v>0</v>
      </c>
      <c r="BM46" s="16">
        <f t="shared" si="33"/>
        <v>0</v>
      </c>
      <c r="BN46" s="16">
        <f t="shared" si="34"/>
        <v>0</v>
      </c>
      <c r="BO46" s="16">
        <f t="shared" si="35"/>
        <v>0</v>
      </c>
      <c r="BP46" s="16">
        <f t="shared" si="36"/>
        <v>0</v>
      </c>
      <c r="BR46" s="24">
        <v>28</v>
      </c>
      <c r="BS46" s="24">
        <v>25</v>
      </c>
    </row>
    <row r="47" spans="1:71" ht="16.5" x14ac:dyDescent="0.2">
      <c r="A47" s="19">
        <v>43</v>
      </c>
      <c r="B47" s="27">
        <v>8</v>
      </c>
      <c r="C47" s="41">
        <v>60</v>
      </c>
      <c r="D47" s="27">
        <f>INDEX(章节关卡!$C$6:$C$20,芦花古楼!B47)*芦花古楼!C47</f>
        <v>1800</v>
      </c>
      <c r="E47" s="24">
        <f t="shared" si="2"/>
        <v>45</v>
      </c>
      <c r="F47" s="24">
        <f t="shared" si="3"/>
        <v>60</v>
      </c>
      <c r="G47" s="16">
        <f>INDEX(章节关卡!$E$6:$E$20,芦花古楼!B47)*芦花古楼!C47</f>
        <v>3600</v>
      </c>
      <c r="J47" s="19">
        <v>43</v>
      </c>
      <c r="K47" s="27">
        <v>8</v>
      </c>
      <c r="L47" s="41">
        <v>120</v>
      </c>
      <c r="M47" s="27">
        <f>INDEX(章节关卡!$C$6:$C$20,芦花古楼!K47)*芦花古楼!L47</f>
        <v>3600</v>
      </c>
      <c r="N47" s="24">
        <f t="shared" si="4"/>
        <v>50</v>
      </c>
      <c r="O47" s="24">
        <f t="shared" si="5"/>
        <v>60</v>
      </c>
      <c r="P47" s="16">
        <f>INDEX(章节关卡!$E$6:$E$20,芦花古楼!K47)*芦花古楼!L47</f>
        <v>7200</v>
      </c>
      <c r="S47" s="19">
        <v>43</v>
      </c>
      <c r="T47" s="27">
        <v>10</v>
      </c>
      <c r="U47" s="41">
        <v>180</v>
      </c>
      <c r="V47" s="27">
        <f>INDEX(章节关卡!$C$6:$C$20,芦花古楼!T47)*芦花古楼!U47</f>
        <v>7920</v>
      </c>
      <c r="W47" s="24">
        <f t="shared" si="24"/>
        <v>55</v>
      </c>
      <c r="X47" s="24">
        <f t="shared" si="25"/>
        <v>60</v>
      </c>
      <c r="Y47" s="16">
        <f>INDEX(章节关卡!$E$6:$E$20,芦花古楼!T47)*芦花古楼!U47</f>
        <v>16200</v>
      </c>
      <c r="AB47" s="19">
        <v>43</v>
      </c>
      <c r="AC47" s="27">
        <v>10</v>
      </c>
      <c r="AD47" s="41">
        <v>180</v>
      </c>
      <c r="AE47" s="27">
        <f>INDEX(章节关卡!$C$6:$C$20,芦花古楼!AC47)*芦花古楼!AD47</f>
        <v>7920</v>
      </c>
      <c r="AF47" s="24">
        <f t="shared" si="6"/>
        <v>60</v>
      </c>
      <c r="AG47" s="24">
        <f t="shared" si="7"/>
        <v>60</v>
      </c>
      <c r="AH47" s="16">
        <f>INDEX(章节关卡!$E$6:$E$20,芦花古楼!AC47)*芦花古楼!AD47</f>
        <v>16200</v>
      </c>
      <c r="AK47" s="20">
        <v>42</v>
      </c>
      <c r="AL47" s="20">
        <v>9</v>
      </c>
      <c r="AN47" s="20">
        <v>42</v>
      </c>
      <c r="AO47" s="20">
        <f t="shared" si="11"/>
        <v>10</v>
      </c>
      <c r="AQ47" s="20">
        <v>42</v>
      </c>
      <c r="AR47" s="20">
        <f t="shared" si="12"/>
        <v>11</v>
      </c>
      <c r="AT47" s="20">
        <v>42</v>
      </c>
      <c r="AU47" s="20">
        <f t="shared" si="13"/>
        <v>12</v>
      </c>
      <c r="AX47" s="20">
        <v>42</v>
      </c>
      <c r="AY47" s="16">
        <f t="shared" si="26"/>
        <v>170</v>
      </c>
      <c r="AZ47" s="16">
        <f t="shared" si="27"/>
        <v>380</v>
      </c>
      <c r="BA47" s="16">
        <f t="shared" si="28"/>
        <v>33600</v>
      </c>
      <c r="BG47" s="24">
        <v>29</v>
      </c>
      <c r="BH47" s="24"/>
      <c r="BI47" s="22">
        <f t="shared" si="29"/>
        <v>0.11346944971614112</v>
      </c>
      <c r="BJ47" s="16">
        <f t="shared" si="30"/>
        <v>0</v>
      </c>
      <c r="BK47" s="16">
        <f t="shared" si="31"/>
        <v>0</v>
      </c>
      <c r="BL47" s="16">
        <f t="shared" si="32"/>
        <v>0</v>
      </c>
      <c r="BM47" s="16">
        <f t="shared" si="33"/>
        <v>0</v>
      </c>
      <c r="BN47" s="16">
        <f t="shared" si="34"/>
        <v>0</v>
      </c>
      <c r="BO47" s="16">
        <f t="shared" si="35"/>
        <v>0</v>
      </c>
      <c r="BP47" s="16">
        <f t="shared" si="36"/>
        <v>0</v>
      </c>
      <c r="BR47" s="24">
        <v>29</v>
      </c>
      <c r="BS47" s="24">
        <v>25</v>
      </c>
    </row>
    <row r="48" spans="1:71" ht="16.5" x14ac:dyDescent="0.2">
      <c r="A48" s="19">
        <v>44</v>
      </c>
      <c r="B48" s="27">
        <v>8</v>
      </c>
      <c r="C48" s="41">
        <v>60</v>
      </c>
      <c r="D48" s="27">
        <f>INDEX(章节关卡!$C$6:$C$20,芦花古楼!B48)*芦花古楼!C48</f>
        <v>1800</v>
      </c>
      <c r="E48" s="24">
        <f t="shared" si="2"/>
        <v>45</v>
      </c>
      <c r="F48" s="24">
        <f t="shared" si="3"/>
        <v>60</v>
      </c>
      <c r="G48" s="16">
        <f>INDEX(章节关卡!$E$6:$E$20,芦花古楼!B48)*芦花古楼!C48</f>
        <v>3600</v>
      </c>
      <c r="J48" s="19">
        <v>44</v>
      </c>
      <c r="K48" s="27">
        <v>8</v>
      </c>
      <c r="L48" s="41">
        <v>120</v>
      </c>
      <c r="M48" s="27">
        <f>INDEX(章节关卡!$C$6:$C$20,芦花古楼!K48)*芦花古楼!L48</f>
        <v>3600</v>
      </c>
      <c r="N48" s="24">
        <f t="shared" si="4"/>
        <v>50</v>
      </c>
      <c r="O48" s="24">
        <f t="shared" si="5"/>
        <v>60</v>
      </c>
      <c r="P48" s="16">
        <f>INDEX(章节关卡!$E$6:$E$20,芦花古楼!K48)*芦花古楼!L48</f>
        <v>7200</v>
      </c>
      <c r="S48" s="19">
        <v>44</v>
      </c>
      <c r="T48" s="27">
        <v>10</v>
      </c>
      <c r="U48" s="41">
        <v>180</v>
      </c>
      <c r="V48" s="27">
        <f>INDEX(章节关卡!$C$6:$C$20,芦花古楼!T48)*芦花古楼!U48</f>
        <v>7920</v>
      </c>
      <c r="W48" s="24">
        <f t="shared" si="24"/>
        <v>55</v>
      </c>
      <c r="X48" s="24">
        <f t="shared" si="25"/>
        <v>60</v>
      </c>
      <c r="Y48" s="16">
        <f>INDEX(章节关卡!$E$6:$E$20,芦花古楼!T48)*芦花古楼!U48</f>
        <v>16200</v>
      </c>
      <c r="AB48" s="19">
        <v>44</v>
      </c>
      <c r="AC48" s="27">
        <v>10</v>
      </c>
      <c r="AD48" s="41">
        <v>180</v>
      </c>
      <c r="AE48" s="27">
        <f>INDEX(章节关卡!$C$6:$C$20,芦花古楼!AC48)*芦花古楼!AD48</f>
        <v>7920</v>
      </c>
      <c r="AF48" s="24">
        <f t="shared" si="6"/>
        <v>60</v>
      </c>
      <c r="AG48" s="24">
        <f t="shared" si="7"/>
        <v>60</v>
      </c>
      <c r="AH48" s="16">
        <f>INDEX(章节关卡!$E$6:$E$20,芦花古楼!AC48)*芦花古楼!AD48</f>
        <v>16200</v>
      </c>
      <c r="AK48" s="20">
        <v>43</v>
      </c>
      <c r="AL48" s="20">
        <v>9</v>
      </c>
      <c r="AN48" s="20">
        <v>43</v>
      </c>
      <c r="AO48" s="20">
        <f t="shared" si="11"/>
        <v>10</v>
      </c>
      <c r="AQ48" s="20">
        <v>43</v>
      </c>
      <c r="AR48" s="20">
        <f t="shared" si="12"/>
        <v>11</v>
      </c>
      <c r="AT48" s="20">
        <v>43</v>
      </c>
      <c r="AU48" s="20">
        <f t="shared" si="13"/>
        <v>12</v>
      </c>
      <c r="AX48" s="20">
        <v>43</v>
      </c>
      <c r="AY48" s="16">
        <f t="shared" si="26"/>
        <v>180</v>
      </c>
      <c r="AZ48" s="16">
        <f t="shared" si="27"/>
        <v>380</v>
      </c>
      <c r="BA48" s="16">
        <f t="shared" si="28"/>
        <v>40200</v>
      </c>
      <c r="BG48" s="24">
        <v>30</v>
      </c>
      <c r="BH48" s="24"/>
      <c r="BI48" s="22">
        <f t="shared" si="29"/>
        <v>0.12481639468775524</v>
      </c>
      <c r="BJ48" s="16">
        <f t="shared" si="30"/>
        <v>0</v>
      </c>
      <c r="BK48" s="16">
        <f t="shared" si="31"/>
        <v>0</v>
      </c>
      <c r="BL48" s="16">
        <f t="shared" si="32"/>
        <v>0</v>
      </c>
      <c r="BM48" s="16">
        <f t="shared" si="33"/>
        <v>0</v>
      </c>
      <c r="BN48" s="16">
        <f t="shared" si="34"/>
        <v>0</v>
      </c>
      <c r="BO48" s="16">
        <f t="shared" si="35"/>
        <v>0</v>
      </c>
      <c r="BP48" s="16">
        <f t="shared" si="36"/>
        <v>0</v>
      </c>
      <c r="BR48" s="24">
        <v>30</v>
      </c>
      <c r="BS48" s="24">
        <v>25</v>
      </c>
    </row>
    <row r="49" spans="1:71" ht="16.5" x14ac:dyDescent="0.2">
      <c r="A49" s="19">
        <v>45</v>
      </c>
      <c r="B49" s="27">
        <v>9</v>
      </c>
      <c r="C49" s="41">
        <v>60</v>
      </c>
      <c r="D49" s="27">
        <f>INDEX(章节关卡!$C$6:$C$20,芦花古楼!B49)*芦花古楼!C49</f>
        <v>2160</v>
      </c>
      <c r="E49" s="24">
        <f t="shared" si="2"/>
        <v>45</v>
      </c>
      <c r="F49" s="24">
        <f t="shared" si="3"/>
        <v>65</v>
      </c>
      <c r="G49" s="16">
        <f>INDEX(章节关卡!$E$6:$E$20,芦花古楼!B49)*芦花古楼!C49</f>
        <v>4320</v>
      </c>
      <c r="J49" s="19">
        <v>45</v>
      </c>
      <c r="K49" s="27">
        <v>9</v>
      </c>
      <c r="L49" s="41">
        <v>120</v>
      </c>
      <c r="M49" s="27">
        <f>INDEX(章节关卡!$C$6:$C$20,芦花古楼!K49)*芦花古楼!L49</f>
        <v>4320</v>
      </c>
      <c r="N49" s="24">
        <f t="shared" si="4"/>
        <v>50</v>
      </c>
      <c r="O49" s="24">
        <f t="shared" si="5"/>
        <v>65</v>
      </c>
      <c r="P49" s="16">
        <f>INDEX(章节关卡!$E$6:$E$20,芦花古楼!K49)*芦花古楼!L49</f>
        <v>8640</v>
      </c>
      <c r="S49" s="19">
        <v>45</v>
      </c>
      <c r="T49" s="27">
        <v>10</v>
      </c>
      <c r="U49" s="41">
        <v>180</v>
      </c>
      <c r="V49" s="27">
        <f>INDEX(章节关卡!$C$6:$C$20,芦花古楼!T49)*芦花古楼!U49</f>
        <v>7920</v>
      </c>
      <c r="W49" s="24">
        <f t="shared" si="24"/>
        <v>55</v>
      </c>
      <c r="X49" s="24">
        <f t="shared" si="25"/>
        <v>65</v>
      </c>
      <c r="Y49" s="16">
        <f>INDEX(章节关卡!$E$6:$E$20,芦花古楼!T49)*芦花古楼!U49</f>
        <v>16200</v>
      </c>
      <c r="AB49" s="19">
        <v>45</v>
      </c>
      <c r="AC49" s="27">
        <v>10</v>
      </c>
      <c r="AD49" s="41">
        <v>180</v>
      </c>
      <c r="AE49" s="27">
        <f>INDEX(章节关卡!$C$6:$C$20,芦花古楼!AC49)*芦花古楼!AD49</f>
        <v>7920</v>
      </c>
      <c r="AF49" s="24">
        <f t="shared" si="6"/>
        <v>60</v>
      </c>
      <c r="AG49" s="24">
        <f t="shared" si="7"/>
        <v>65</v>
      </c>
      <c r="AH49" s="16">
        <f>INDEX(章节关卡!$E$6:$E$20,芦花古楼!AC49)*芦花古楼!AD49</f>
        <v>16200</v>
      </c>
      <c r="AK49" s="20">
        <v>44</v>
      </c>
      <c r="AL49" s="20">
        <v>9</v>
      </c>
      <c r="AN49" s="20">
        <v>44</v>
      </c>
      <c r="AO49" s="20">
        <f t="shared" si="11"/>
        <v>10</v>
      </c>
      <c r="AQ49" s="20">
        <v>44</v>
      </c>
      <c r="AR49" s="20">
        <f t="shared" si="12"/>
        <v>11</v>
      </c>
      <c r="AT49" s="20">
        <v>44</v>
      </c>
      <c r="AU49" s="20">
        <f t="shared" si="13"/>
        <v>12</v>
      </c>
      <c r="AX49" s="20">
        <v>44</v>
      </c>
      <c r="AY49" s="16">
        <f t="shared" si="26"/>
        <v>170</v>
      </c>
      <c r="AZ49" s="16">
        <f t="shared" si="27"/>
        <v>380</v>
      </c>
      <c r="BA49" s="16">
        <f t="shared" si="28"/>
        <v>33600</v>
      </c>
      <c r="BG49" s="24">
        <v>31</v>
      </c>
      <c r="BH49" s="24"/>
      <c r="BI49" s="22">
        <f t="shared" si="29"/>
        <v>0.13729803415653077</v>
      </c>
      <c r="BJ49" s="16">
        <f t="shared" si="30"/>
        <v>0</v>
      </c>
      <c r="BK49" s="16">
        <f t="shared" si="31"/>
        <v>0</v>
      </c>
      <c r="BL49" s="16">
        <f t="shared" si="32"/>
        <v>0</v>
      </c>
      <c r="BM49" s="16">
        <f t="shared" si="33"/>
        <v>0</v>
      </c>
      <c r="BN49" s="16">
        <f t="shared" si="34"/>
        <v>0</v>
      </c>
      <c r="BO49" s="16">
        <f t="shared" si="35"/>
        <v>0</v>
      </c>
      <c r="BP49" s="16">
        <f t="shared" si="36"/>
        <v>0</v>
      </c>
      <c r="BR49" s="24">
        <v>31</v>
      </c>
      <c r="BS49" s="24">
        <v>30</v>
      </c>
    </row>
    <row r="50" spans="1:71" ht="16.5" x14ac:dyDescent="0.2">
      <c r="A50" s="19">
        <v>46</v>
      </c>
      <c r="B50" s="27">
        <v>9</v>
      </c>
      <c r="C50" s="41">
        <v>60</v>
      </c>
      <c r="D50" s="27">
        <f>INDEX(章节关卡!$C$6:$C$20,芦花古楼!B50)*芦花古楼!C50</f>
        <v>2160</v>
      </c>
      <c r="E50" s="24">
        <f t="shared" si="2"/>
        <v>50</v>
      </c>
      <c r="F50" s="24">
        <f t="shared" si="3"/>
        <v>65</v>
      </c>
      <c r="G50" s="16">
        <f>INDEX(章节关卡!$E$6:$E$20,芦花古楼!B50)*芦花古楼!C50</f>
        <v>4320</v>
      </c>
      <c r="J50" s="19">
        <v>46</v>
      </c>
      <c r="K50" s="27">
        <v>9</v>
      </c>
      <c r="L50" s="41">
        <v>120</v>
      </c>
      <c r="M50" s="27">
        <f>INDEX(章节关卡!$C$6:$C$20,芦花古楼!K50)*芦花古楼!L50</f>
        <v>4320</v>
      </c>
      <c r="N50" s="24">
        <f t="shared" si="4"/>
        <v>55</v>
      </c>
      <c r="O50" s="24">
        <f t="shared" si="5"/>
        <v>65</v>
      </c>
      <c r="P50" s="16">
        <f>INDEX(章节关卡!$E$6:$E$20,芦花古楼!K50)*芦花古楼!L50</f>
        <v>8640</v>
      </c>
      <c r="S50" s="19">
        <v>46</v>
      </c>
      <c r="T50" s="27">
        <v>10</v>
      </c>
      <c r="U50" s="41">
        <v>180</v>
      </c>
      <c r="V50" s="27">
        <f>INDEX(章节关卡!$C$6:$C$20,芦花古楼!T50)*芦花古楼!U50</f>
        <v>7920</v>
      </c>
      <c r="W50" s="24">
        <f t="shared" si="24"/>
        <v>60</v>
      </c>
      <c r="X50" s="24">
        <f t="shared" si="25"/>
        <v>65</v>
      </c>
      <c r="Y50" s="16">
        <f>INDEX(章节关卡!$E$6:$E$20,芦花古楼!T50)*芦花古楼!U50</f>
        <v>16200</v>
      </c>
      <c r="AB50" s="19">
        <v>46</v>
      </c>
      <c r="AC50" s="27">
        <v>10</v>
      </c>
      <c r="AD50" s="41">
        <v>180</v>
      </c>
      <c r="AE50" s="27">
        <f>INDEX(章节关卡!$C$6:$C$20,芦花古楼!AC50)*芦花古楼!AD50</f>
        <v>7920</v>
      </c>
      <c r="AF50" s="24">
        <f t="shared" si="6"/>
        <v>65</v>
      </c>
      <c r="AG50" s="24">
        <f t="shared" si="7"/>
        <v>65</v>
      </c>
      <c r="AH50" s="16">
        <f>INDEX(章节关卡!$E$6:$E$20,芦花古楼!AC50)*芦花古楼!AD50</f>
        <v>16200</v>
      </c>
      <c r="AK50" s="20">
        <v>45</v>
      </c>
      <c r="AL50" s="20">
        <v>11</v>
      </c>
      <c r="AN50" s="20">
        <v>45</v>
      </c>
      <c r="AO50" s="20">
        <f t="shared" si="11"/>
        <v>12</v>
      </c>
      <c r="AQ50" s="20">
        <v>45</v>
      </c>
      <c r="AR50" s="20">
        <f t="shared" si="12"/>
        <v>13</v>
      </c>
      <c r="AT50" s="20">
        <v>45</v>
      </c>
      <c r="AU50" s="20">
        <f t="shared" si="13"/>
        <v>14</v>
      </c>
      <c r="AX50" s="20">
        <v>45</v>
      </c>
      <c r="AY50" s="16">
        <f t="shared" si="26"/>
        <v>180</v>
      </c>
      <c r="AZ50" s="16">
        <f t="shared" si="27"/>
        <v>380</v>
      </c>
      <c r="BA50" s="16">
        <f t="shared" si="28"/>
        <v>40200</v>
      </c>
      <c r="BG50" s="24">
        <v>32</v>
      </c>
      <c r="BH50" s="24"/>
      <c r="BI50" s="22">
        <f t="shared" si="29"/>
        <v>0.15102783757218385</v>
      </c>
      <c r="BJ50" s="16">
        <f t="shared" si="30"/>
        <v>0</v>
      </c>
      <c r="BK50" s="16">
        <f t="shared" si="31"/>
        <v>0</v>
      </c>
      <c r="BL50" s="16">
        <f t="shared" si="32"/>
        <v>0</v>
      </c>
      <c r="BM50" s="16">
        <f t="shared" si="33"/>
        <v>0</v>
      </c>
      <c r="BN50" s="16">
        <f t="shared" si="34"/>
        <v>0</v>
      </c>
      <c r="BO50" s="16">
        <f t="shared" si="35"/>
        <v>0</v>
      </c>
      <c r="BP50" s="16">
        <f t="shared" si="36"/>
        <v>0</v>
      </c>
      <c r="BR50" s="24">
        <v>32</v>
      </c>
      <c r="BS50" s="24">
        <v>30</v>
      </c>
    </row>
    <row r="51" spans="1:71" ht="16.5" x14ac:dyDescent="0.2">
      <c r="A51" s="19">
        <v>47</v>
      </c>
      <c r="B51" s="27">
        <v>9</v>
      </c>
      <c r="C51" s="41">
        <v>60</v>
      </c>
      <c r="D51" s="27">
        <f>INDEX(章节关卡!$C$6:$C$20,芦花古楼!B51)*芦花古楼!C51</f>
        <v>2160</v>
      </c>
      <c r="E51" s="24">
        <f t="shared" si="2"/>
        <v>50</v>
      </c>
      <c r="F51" s="24">
        <f t="shared" si="3"/>
        <v>65</v>
      </c>
      <c r="G51" s="16">
        <f>INDEX(章节关卡!$E$6:$E$20,芦花古楼!B51)*芦花古楼!C51</f>
        <v>4320</v>
      </c>
      <c r="J51" s="19">
        <v>47</v>
      </c>
      <c r="K51" s="27">
        <v>9</v>
      </c>
      <c r="L51" s="41">
        <v>120</v>
      </c>
      <c r="M51" s="27">
        <f>INDEX(章节关卡!$C$6:$C$20,芦花古楼!K51)*芦花古楼!L51</f>
        <v>4320</v>
      </c>
      <c r="N51" s="24">
        <f t="shared" si="4"/>
        <v>55</v>
      </c>
      <c r="O51" s="24">
        <f t="shared" si="5"/>
        <v>65</v>
      </c>
      <c r="P51" s="16">
        <f>INDEX(章节关卡!$E$6:$E$20,芦花古楼!K51)*芦花古楼!L51</f>
        <v>8640</v>
      </c>
      <c r="S51" s="19">
        <v>47</v>
      </c>
      <c r="T51" s="27">
        <v>10</v>
      </c>
      <c r="U51" s="41">
        <v>180</v>
      </c>
      <c r="V51" s="27">
        <f>INDEX(章节关卡!$C$6:$C$20,芦花古楼!T51)*芦花古楼!U51</f>
        <v>7920</v>
      </c>
      <c r="W51" s="24">
        <f t="shared" si="24"/>
        <v>60</v>
      </c>
      <c r="X51" s="24">
        <f t="shared" si="25"/>
        <v>65</v>
      </c>
      <c r="Y51" s="16">
        <f>INDEX(章节关卡!$E$6:$E$20,芦花古楼!T51)*芦花古楼!U51</f>
        <v>16200</v>
      </c>
      <c r="AB51" s="19">
        <v>47</v>
      </c>
      <c r="AC51" s="27">
        <v>10</v>
      </c>
      <c r="AD51" s="41">
        <v>180</v>
      </c>
      <c r="AE51" s="27">
        <f>INDEX(章节关卡!$C$6:$C$20,芦花古楼!AC51)*芦花古楼!AD51</f>
        <v>7920</v>
      </c>
      <c r="AF51" s="24">
        <f t="shared" si="6"/>
        <v>65</v>
      </c>
      <c r="AG51" s="24">
        <f t="shared" si="7"/>
        <v>65</v>
      </c>
      <c r="AH51" s="16">
        <f>INDEX(章节关卡!$E$6:$E$20,芦花古楼!AC51)*芦花古楼!AD51</f>
        <v>16200</v>
      </c>
      <c r="AK51" s="20">
        <v>46</v>
      </c>
      <c r="AL51" s="20">
        <v>11</v>
      </c>
      <c r="AN51" s="20">
        <v>46</v>
      </c>
      <c r="AO51" s="20">
        <f t="shared" si="11"/>
        <v>12</v>
      </c>
      <c r="AQ51" s="20">
        <v>46</v>
      </c>
      <c r="AR51" s="20">
        <f t="shared" si="12"/>
        <v>13</v>
      </c>
      <c r="AT51" s="20">
        <v>46</v>
      </c>
      <c r="AU51" s="20">
        <f t="shared" si="13"/>
        <v>14</v>
      </c>
      <c r="AX51" s="20">
        <v>46</v>
      </c>
      <c r="AY51" s="16">
        <f t="shared" si="26"/>
        <v>170</v>
      </c>
      <c r="AZ51" s="16">
        <f t="shared" si="27"/>
        <v>385</v>
      </c>
      <c r="BA51" s="16">
        <f t="shared" si="28"/>
        <v>33600</v>
      </c>
      <c r="BG51" s="24">
        <v>33</v>
      </c>
      <c r="BH51" s="24"/>
      <c r="BI51" s="22">
        <f t="shared" si="29"/>
        <v>0.16613062132940226</v>
      </c>
      <c r="BJ51" s="16">
        <f t="shared" si="30"/>
        <v>0</v>
      </c>
      <c r="BK51" s="16">
        <f t="shared" si="31"/>
        <v>0</v>
      </c>
      <c r="BL51" s="16">
        <f t="shared" si="32"/>
        <v>0</v>
      </c>
      <c r="BM51" s="16">
        <f t="shared" si="33"/>
        <v>0</v>
      </c>
      <c r="BN51" s="16">
        <f t="shared" si="34"/>
        <v>0</v>
      </c>
      <c r="BO51" s="16">
        <f t="shared" si="35"/>
        <v>0</v>
      </c>
      <c r="BP51" s="16">
        <f t="shared" si="36"/>
        <v>0</v>
      </c>
      <c r="BR51" s="24">
        <v>33</v>
      </c>
      <c r="BS51" s="24">
        <v>30</v>
      </c>
    </row>
    <row r="52" spans="1:71" ht="16.5" x14ac:dyDescent="0.2">
      <c r="A52" s="19">
        <v>48</v>
      </c>
      <c r="B52" s="27">
        <v>9</v>
      </c>
      <c r="C52" s="41">
        <v>60</v>
      </c>
      <c r="D52" s="27">
        <f>INDEX(章节关卡!$C$6:$C$20,芦花古楼!B52)*芦花古楼!C52</f>
        <v>2160</v>
      </c>
      <c r="E52" s="24">
        <f t="shared" si="2"/>
        <v>50</v>
      </c>
      <c r="F52" s="24">
        <f t="shared" si="3"/>
        <v>65</v>
      </c>
      <c r="G52" s="16">
        <f>INDEX(章节关卡!$E$6:$E$20,芦花古楼!B52)*芦花古楼!C52</f>
        <v>4320</v>
      </c>
      <c r="J52" s="19">
        <v>48</v>
      </c>
      <c r="K52" s="27">
        <v>9</v>
      </c>
      <c r="L52" s="41">
        <v>120</v>
      </c>
      <c r="M52" s="27">
        <f>INDEX(章节关卡!$C$6:$C$20,芦花古楼!K52)*芦花古楼!L52</f>
        <v>4320</v>
      </c>
      <c r="N52" s="24">
        <f t="shared" si="4"/>
        <v>55</v>
      </c>
      <c r="O52" s="24">
        <f t="shared" si="5"/>
        <v>65</v>
      </c>
      <c r="P52" s="16">
        <f>INDEX(章节关卡!$E$6:$E$20,芦花古楼!K52)*芦花古楼!L52</f>
        <v>8640</v>
      </c>
      <c r="S52" s="19">
        <v>48</v>
      </c>
      <c r="T52" s="27">
        <v>10</v>
      </c>
      <c r="U52" s="41">
        <v>180</v>
      </c>
      <c r="V52" s="27">
        <f>INDEX(章节关卡!$C$6:$C$20,芦花古楼!T52)*芦花古楼!U52</f>
        <v>7920</v>
      </c>
      <c r="W52" s="24">
        <f t="shared" si="24"/>
        <v>60</v>
      </c>
      <c r="X52" s="24">
        <f t="shared" si="25"/>
        <v>65</v>
      </c>
      <c r="Y52" s="16">
        <f>INDEX(章节关卡!$E$6:$E$20,芦花古楼!T52)*芦花古楼!U52</f>
        <v>16200</v>
      </c>
      <c r="AB52" s="19">
        <v>48</v>
      </c>
      <c r="AC52" s="27">
        <v>10</v>
      </c>
      <c r="AD52" s="41">
        <v>180</v>
      </c>
      <c r="AE52" s="27">
        <f>INDEX(章节关卡!$C$6:$C$20,芦花古楼!AC52)*芦花古楼!AD52</f>
        <v>7920</v>
      </c>
      <c r="AF52" s="24">
        <f t="shared" si="6"/>
        <v>65</v>
      </c>
      <c r="AG52" s="24">
        <f t="shared" si="7"/>
        <v>65</v>
      </c>
      <c r="AH52" s="16">
        <f>INDEX(章节关卡!$E$6:$E$20,芦花古楼!AC52)*芦花古楼!AD52</f>
        <v>16200</v>
      </c>
      <c r="AK52" s="20">
        <v>47</v>
      </c>
      <c r="AL52" s="20">
        <v>12</v>
      </c>
      <c r="AN52" s="20">
        <v>47</v>
      </c>
      <c r="AO52" s="20">
        <f t="shared" si="11"/>
        <v>13</v>
      </c>
      <c r="AQ52" s="20">
        <v>47</v>
      </c>
      <c r="AR52" s="20">
        <f t="shared" si="12"/>
        <v>14</v>
      </c>
      <c r="AT52" s="20">
        <v>47</v>
      </c>
      <c r="AU52" s="20">
        <f t="shared" si="13"/>
        <v>15</v>
      </c>
      <c r="AX52" s="20">
        <v>47</v>
      </c>
      <c r="AY52" s="16">
        <f t="shared" si="26"/>
        <v>180</v>
      </c>
      <c r="AZ52" s="16">
        <f t="shared" si="27"/>
        <v>390</v>
      </c>
      <c r="BA52" s="16">
        <f t="shared" si="28"/>
        <v>40200</v>
      </c>
      <c r="BG52" s="24">
        <v>34</v>
      </c>
      <c r="BH52" s="24"/>
      <c r="BI52" s="22">
        <f t="shared" si="29"/>
        <v>0.18274368346234252</v>
      </c>
      <c r="BJ52" s="16">
        <f t="shared" si="30"/>
        <v>0</v>
      </c>
      <c r="BK52" s="16">
        <f t="shared" si="31"/>
        <v>0</v>
      </c>
      <c r="BL52" s="16">
        <f t="shared" si="32"/>
        <v>0</v>
      </c>
      <c r="BM52" s="16">
        <f t="shared" si="33"/>
        <v>0</v>
      </c>
      <c r="BN52" s="16">
        <f t="shared" si="34"/>
        <v>0</v>
      </c>
      <c r="BO52" s="16">
        <f t="shared" si="35"/>
        <v>0</v>
      </c>
      <c r="BP52" s="16">
        <f t="shared" si="36"/>
        <v>0</v>
      </c>
      <c r="BR52" s="24">
        <v>34</v>
      </c>
      <c r="BS52" s="24">
        <v>30</v>
      </c>
    </row>
    <row r="53" spans="1:71" ht="16.5" x14ac:dyDescent="0.2">
      <c r="A53" s="19">
        <v>49</v>
      </c>
      <c r="B53" s="27">
        <v>9</v>
      </c>
      <c r="C53" s="41">
        <v>60</v>
      </c>
      <c r="D53" s="27">
        <f>INDEX(章节关卡!$C$6:$C$20,芦花古楼!B53)*芦花古楼!C53</f>
        <v>2160</v>
      </c>
      <c r="E53" s="24">
        <f t="shared" si="2"/>
        <v>50</v>
      </c>
      <c r="F53" s="24">
        <f t="shared" si="3"/>
        <v>65</v>
      </c>
      <c r="G53" s="16">
        <f>INDEX(章节关卡!$E$6:$E$20,芦花古楼!B53)*芦花古楼!C53</f>
        <v>4320</v>
      </c>
      <c r="J53" s="19">
        <v>49</v>
      </c>
      <c r="K53" s="27">
        <v>9</v>
      </c>
      <c r="L53" s="41">
        <v>120</v>
      </c>
      <c r="M53" s="27">
        <f>INDEX(章节关卡!$C$6:$C$20,芦花古楼!K53)*芦花古楼!L53</f>
        <v>4320</v>
      </c>
      <c r="N53" s="24">
        <f t="shared" si="4"/>
        <v>55</v>
      </c>
      <c r="O53" s="24">
        <f t="shared" si="5"/>
        <v>65</v>
      </c>
      <c r="P53" s="16">
        <f>INDEX(章节关卡!$E$6:$E$20,芦花古楼!K53)*芦花古楼!L53</f>
        <v>8640</v>
      </c>
      <c r="S53" s="19">
        <v>49</v>
      </c>
      <c r="T53" s="27">
        <v>10</v>
      </c>
      <c r="U53" s="41">
        <v>180</v>
      </c>
      <c r="V53" s="27">
        <f>INDEX(章节关卡!$C$6:$C$20,芦花古楼!T53)*芦花古楼!U53</f>
        <v>7920</v>
      </c>
      <c r="W53" s="24">
        <f t="shared" si="24"/>
        <v>60</v>
      </c>
      <c r="X53" s="24">
        <f t="shared" si="25"/>
        <v>65</v>
      </c>
      <c r="Y53" s="16">
        <f>INDEX(章节关卡!$E$6:$E$20,芦花古楼!T53)*芦花古楼!U53</f>
        <v>16200</v>
      </c>
      <c r="AB53" s="19">
        <v>49</v>
      </c>
      <c r="AC53" s="27">
        <v>10</v>
      </c>
      <c r="AD53" s="41">
        <v>180</v>
      </c>
      <c r="AE53" s="27">
        <f>INDEX(章节关卡!$C$6:$C$20,芦花古楼!AC53)*芦花古楼!AD53</f>
        <v>7920</v>
      </c>
      <c r="AF53" s="24">
        <f t="shared" si="6"/>
        <v>65</v>
      </c>
      <c r="AG53" s="24">
        <f t="shared" si="7"/>
        <v>65</v>
      </c>
      <c r="AH53" s="16">
        <f>INDEX(章节关卡!$E$6:$E$20,芦花古楼!AC53)*芦花古楼!AD53</f>
        <v>16200</v>
      </c>
      <c r="AK53" s="20">
        <v>48</v>
      </c>
      <c r="AL53" s="20">
        <v>12</v>
      </c>
      <c r="AN53" s="20">
        <v>48</v>
      </c>
      <c r="AO53" s="20">
        <f t="shared" si="11"/>
        <v>13</v>
      </c>
      <c r="AQ53" s="20">
        <v>48</v>
      </c>
      <c r="AR53" s="20">
        <f t="shared" si="12"/>
        <v>14</v>
      </c>
      <c r="AT53" s="20">
        <v>48</v>
      </c>
      <c r="AU53" s="20">
        <f t="shared" si="13"/>
        <v>15</v>
      </c>
      <c r="AX53" s="20">
        <v>48</v>
      </c>
      <c r="AY53" s="16">
        <f t="shared" si="26"/>
        <v>175</v>
      </c>
      <c r="AZ53" s="16">
        <f t="shared" si="27"/>
        <v>395</v>
      </c>
      <c r="BA53" s="16">
        <f t="shared" si="28"/>
        <v>38100</v>
      </c>
      <c r="BG53" s="24">
        <v>35</v>
      </c>
      <c r="BH53" s="24"/>
      <c r="BI53" s="22">
        <f t="shared" si="29"/>
        <v>0.20101805180857679</v>
      </c>
      <c r="BJ53" s="16">
        <f t="shared" si="30"/>
        <v>0</v>
      </c>
      <c r="BK53" s="16">
        <f t="shared" si="31"/>
        <v>0</v>
      </c>
      <c r="BL53" s="16">
        <f t="shared" si="32"/>
        <v>0</v>
      </c>
      <c r="BM53" s="16">
        <f t="shared" si="33"/>
        <v>0</v>
      </c>
      <c r="BN53" s="16">
        <f t="shared" si="34"/>
        <v>0</v>
      </c>
      <c r="BO53" s="16">
        <f t="shared" si="35"/>
        <v>0</v>
      </c>
      <c r="BP53" s="16">
        <f t="shared" si="36"/>
        <v>0</v>
      </c>
      <c r="BR53" s="24">
        <v>35</v>
      </c>
      <c r="BS53" s="24">
        <v>30</v>
      </c>
    </row>
    <row r="54" spans="1:71" ht="16.5" x14ac:dyDescent="0.2">
      <c r="A54" s="19">
        <v>50</v>
      </c>
      <c r="B54" s="27">
        <v>9</v>
      </c>
      <c r="C54" s="41">
        <v>60</v>
      </c>
      <c r="D54" s="27">
        <f>INDEX(章节关卡!$C$6:$C$20,芦花古楼!B54)*芦花古楼!C54</f>
        <v>2160</v>
      </c>
      <c r="E54" s="24">
        <f t="shared" si="2"/>
        <v>50</v>
      </c>
      <c r="F54" s="24">
        <f t="shared" si="3"/>
        <v>70</v>
      </c>
      <c r="G54" s="16">
        <f>INDEX(章节关卡!$E$6:$E$20,芦花古楼!B54)*芦花古楼!C54</f>
        <v>4320</v>
      </c>
      <c r="J54" s="19">
        <v>50</v>
      </c>
      <c r="K54" s="27">
        <v>9</v>
      </c>
      <c r="L54" s="41">
        <v>120</v>
      </c>
      <c r="M54" s="27">
        <f>INDEX(章节关卡!$C$6:$C$20,芦花古楼!K54)*芦花古楼!L54</f>
        <v>4320</v>
      </c>
      <c r="N54" s="24">
        <f t="shared" si="4"/>
        <v>55</v>
      </c>
      <c r="O54" s="24">
        <f t="shared" si="5"/>
        <v>70</v>
      </c>
      <c r="P54" s="16">
        <f>INDEX(章节关卡!$E$6:$E$20,芦花古楼!K54)*芦花古楼!L54</f>
        <v>8640</v>
      </c>
      <c r="S54" s="19">
        <v>50</v>
      </c>
      <c r="T54" s="27">
        <v>11</v>
      </c>
      <c r="U54" s="41">
        <v>180</v>
      </c>
      <c r="V54" s="27">
        <f>INDEX(章节关卡!$C$6:$C$20,芦花古楼!T54)*芦花古楼!U54</f>
        <v>9540</v>
      </c>
      <c r="W54" s="24">
        <f t="shared" si="24"/>
        <v>60</v>
      </c>
      <c r="X54" s="24">
        <f t="shared" si="25"/>
        <v>70</v>
      </c>
      <c r="Y54" s="16">
        <f>INDEX(章节关卡!$E$6:$E$20,芦花古楼!T54)*芦花古楼!U54</f>
        <v>19800</v>
      </c>
      <c r="AB54" s="19">
        <v>50</v>
      </c>
      <c r="AC54" s="27">
        <v>11</v>
      </c>
      <c r="AD54" s="41">
        <v>180</v>
      </c>
      <c r="AE54" s="27">
        <f>INDEX(章节关卡!$C$6:$C$20,芦花古楼!AC54)*芦花古楼!AD54</f>
        <v>9540</v>
      </c>
      <c r="AF54" s="24">
        <f t="shared" si="6"/>
        <v>65</v>
      </c>
      <c r="AG54" s="24">
        <f t="shared" si="7"/>
        <v>70</v>
      </c>
      <c r="AH54" s="16">
        <f>INDEX(章节关卡!$E$6:$E$20,芦花古楼!AC54)*芦花古楼!AD54</f>
        <v>19800</v>
      </c>
      <c r="AK54" s="20">
        <v>49</v>
      </c>
      <c r="AL54" s="20">
        <v>13</v>
      </c>
      <c r="AN54" s="20">
        <v>49</v>
      </c>
      <c r="AO54" s="20">
        <f t="shared" si="11"/>
        <v>14</v>
      </c>
      <c r="AQ54" s="20">
        <v>49</v>
      </c>
      <c r="AR54" s="20">
        <f t="shared" si="12"/>
        <v>15</v>
      </c>
      <c r="AT54" s="20">
        <v>49</v>
      </c>
      <c r="AU54" s="20">
        <f t="shared" si="13"/>
        <v>16</v>
      </c>
      <c r="AX54" s="20">
        <v>49</v>
      </c>
      <c r="AY54" s="16">
        <f t="shared" si="26"/>
        <v>185</v>
      </c>
      <c r="AZ54" s="16">
        <f t="shared" si="27"/>
        <v>400</v>
      </c>
      <c r="BA54" s="16">
        <f t="shared" si="28"/>
        <v>44700</v>
      </c>
      <c r="BG54" s="24">
        <v>36</v>
      </c>
      <c r="BH54" s="24"/>
      <c r="BI54" s="22">
        <f t="shared" si="29"/>
        <v>0.22111985698943448</v>
      </c>
      <c r="BJ54" s="16">
        <f t="shared" si="30"/>
        <v>0</v>
      </c>
      <c r="BK54" s="16">
        <f t="shared" si="31"/>
        <v>0</v>
      </c>
      <c r="BL54" s="16">
        <f t="shared" si="32"/>
        <v>0</v>
      </c>
      <c r="BM54" s="16">
        <f t="shared" si="33"/>
        <v>0</v>
      </c>
      <c r="BN54" s="16">
        <f t="shared" si="34"/>
        <v>0</v>
      </c>
      <c r="BO54" s="16">
        <f t="shared" si="35"/>
        <v>0</v>
      </c>
      <c r="BP54" s="16">
        <f t="shared" si="36"/>
        <v>0</v>
      </c>
      <c r="BR54" s="24">
        <v>36</v>
      </c>
      <c r="BS54" s="24">
        <v>40</v>
      </c>
    </row>
    <row r="55" spans="1:71" ht="16.5" x14ac:dyDescent="0.2">
      <c r="A55" s="19">
        <v>51</v>
      </c>
      <c r="B55" s="27">
        <v>9</v>
      </c>
      <c r="C55" s="41">
        <v>60</v>
      </c>
      <c r="D55" s="27">
        <f>INDEX(章节关卡!$C$6:$C$20,芦花古楼!B55)*芦花古楼!C55</f>
        <v>2160</v>
      </c>
      <c r="E55" s="24">
        <f t="shared" si="2"/>
        <v>55</v>
      </c>
      <c r="F55" s="24">
        <f t="shared" si="3"/>
        <v>70</v>
      </c>
      <c r="G55" s="16">
        <f>INDEX(章节关卡!$E$6:$E$20,芦花古楼!B55)*芦花古楼!C55</f>
        <v>4320</v>
      </c>
      <c r="J55" s="19">
        <v>51</v>
      </c>
      <c r="K55" s="27">
        <v>9</v>
      </c>
      <c r="L55" s="41">
        <v>120</v>
      </c>
      <c r="M55" s="27">
        <f>INDEX(章节关卡!$C$6:$C$20,芦花古楼!K55)*芦花古楼!L55</f>
        <v>4320</v>
      </c>
      <c r="N55" s="24">
        <f t="shared" si="4"/>
        <v>60</v>
      </c>
      <c r="O55" s="24">
        <f t="shared" si="5"/>
        <v>70</v>
      </c>
      <c r="P55" s="16">
        <f>INDEX(章节关卡!$E$6:$E$20,芦花古楼!K55)*芦花古楼!L55</f>
        <v>8640</v>
      </c>
      <c r="S55" s="19">
        <v>51</v>
      </c>
      <c r="T55" s="27">
        <v>11</v>
      </c>
      <c r="U55" s="41">
        <v>180</v>
      </c>
      <c r="V55" s="27">
        <f>INDEX(章节关卡!$C$6:$C$20,芦花古楼!T55)*芦花古楼!U55</f>
        <v>9540</v>
      </c>
      <c r="W55" s="24">
        <f t="shared" si="24"/>
        <v>65</v>
      </c>
      <c r="X55" s="24">
        <f t="shared" si="25"/>
        <v>70</v>
      </c>
      <c r="Y55" s="16">
        <f>INDEX(章节关卡!$E$6:$E$20,芦花古楼!T55)*芦花古楼!U55</f>
        <v>19800</v>
      </c>
      <c r="AB55" s="19">
        <v>51</v>
      </c>
      <c r="AC55" s="27">
        <v>11</v>
      </c>
      <c r="AD55" s="41">
        <v>180</v>
      </c>
      <c r="AE55" s="27">
        <f>INDEX(章节关卡!$C$6:$C$20,芦花古楼!AC55)*芦花古楼!AD55</f>
        <v>9540</v>
      </c>
      <c r="AF55" s="24">
        <f t="shared" si="6"/>
        <v>70</v>
      </c>
      <c r="AG55" s="24">
        <f t="shared" si="7"/>
        <v>70</v>
      </c>
      <c r="AH55" s="16">
        <f>INDEX(章节关卡!$E$6:$E$20,芦花古楼!AC55)*芦花古楼!AD55</f>
        <v>19800</v>
      </c>
      <c r="AK55" s="20">
        <v>50</v>
      </c>
      <c r="AL55" s="20">
        <v>13</v>
      </c>
      <c r="AN55" s="20">
        <v>50</v>
      </c>
      <c r="AO55" s="20">
        <f t="shared" si="11"/>
        <v>14</v>
      </c>
      <c r="AQ55" s="20">
        <v>50</v>
      </c>
      <c r="AR55" s="20">
        <f t="shared" si="12"/>
        <v>15</v>
      </c>
      <c r="AT55" s="20">
        <v>50</v>
      </c>
      <c r="AU55" s="20">
        <f t="shared" si="13"/>
        <v>16</v>
      </c>
      <c r="AX55" s="20">
        <v>50</v>
      </c>
      <c r="AY55" s="16">
        <f t="shared" si="26"/>
        <v>180</v>
      </c>
      <c r="AZ55" s="16">
        <f t="shared" si="27"/>
        <v>400</v>
      </c>
      <c r="BA55" s="16">
        <f t="shared" si="28"/>
        <v>38100</v>
      </c>
      <c r="BG55" s="24">
        <v>37</v>
      </c>
      <c r="BH55" s="24"/>
      <c r="BI55" s="22">
        <f t="shared" si="29"/>
        <v>0.24323184268837794</v>
      </c>
      <c r="BJ55" s="16">
        <f t="shared" si="30"/>
        <v>0</v>
      </c>
      <c r="BK55" s="16">
        <f t="shared" si="31"/>
        <v>0</v>
      </c>
      <c r="BL55" s="16">
        <f t="shared" si="32"/>
        <v>0</v>
      </c>
      <c r="BM55" s="16">
        <f t="shared" si="33"/>
        <v>0</v>
      </c>
      <c r="BN55" s="16">
        <f t="shared" si="34"/>
        <v>0</v>
      </c>
      <c r="BO55" s="16">
        <f t="shared" si="35"/>
        <v>0</v>
      </c>
      <c r="BP55" s="16">
        <f t="shared" si="36"/>
        <v>0</v>
      </c>
      <c r="BR55" s="24">
        <v>37</v>
      </c>
      <c r="BS55" s="24">
        <v>40</v>
      </c>
    </row>
    <row r="56" spans="1:71" ht="16.5" x14ac:dyDescent="0.2">
      <c r="A56" s="19">
        <v>52</v>
      </c>
      <c r="B56" s="27">
        <v>9</v>
      </c>
      <c r="C56" s="41">
        <v>60</v>
      </c>
      <c r="D56" s="27">
        <f>INDEX(章节关卡!$C$6:$C$20,芦花古楼!B56)*芦花古楼!C56</f>
        <v>2160</v>
      </c>
      <c r="E56" s="24">
        <f t="shared" si="2"/>
        <v>55</v>
      </c>
      <c r="F56" s="24">
        <f t="shared" si="3"/>
        <v>70</v>
      </c>
      <c r="G56" s="16">
        <f>INDEX(章节关卡!$E$6:$E$20,芦花古楼!B56)*芦花古楼!C56</f>
        <v>4320</v>
      </c>
      <c r="J56" s="19">
        <v>52</v>
      </c>
      <c r="K56" s="27">
        <v>9</v>
      </c>
      <c r="L56" s="41">
        <v>120</v>
      </c>
      <c r="M56" s="27">
        <f>INDEX(章节关卡!$C$6:$C$20,芦花古楼!K56)*芦花古楼!L56</f>
        <v>4320</v>
      </c>
      <c r="N56" s="24">
        <f t="shared" si="4"/>
        <v>60</v>
      </c>
      <c r="O56" s="24">
        <f t="shared" si="5"/>
        <v>70</v>
      </c>
      <c r="P56" s="16">
        <f>INDEX(章节关卡!$E$6:$E$20,芦花古楼!K56)*芦花古楼!L56</f>
        <v>8640</v>
      </c>
      <c r="S56" s="19">
        <v>52</v>
      </c>
      <c r="T56" s="27">
        <v>11</v>
      </c>
      <c r="U56" s="41">
        <v>180</v>
      </c>
      <c r="V56" s="27">
        <f>INDEX(章节关卡!$C$6:$C$20,芦花古楼!T56)*芦花古楼!U56</f>
        <v>9540</v>
      </c>
      <c r="W56" s="24">
        <f t="shared" si="24"/>
        <v>65</v>
      </c>
      <c r="X56" s="24">
        <f t="shared" si="25"/>
        <v>70</v>
      </c>
      <c r="Y56" s="16">
        <f>INDEX(章节关卡!$E$6:$E$20,芦花古楼!T56)*芦花古楼!U56</f>
        <v>19800</v>
      </c>
      <c r="AB56" s="19">
        <v>52</v>
      </c>
      <c r="AC56" s="27">
        <v>11</v>
      </c>
      <c r="AD56" s="41">
        <v>180</v>
      </c>
      <c r="AE56" s="27">
        <f>INDEX(章节关卡!$C$6:$C$20,芦花古楼!AC56)*芦花古楼!AD56</f>
        <v>9540</v>
      </c>
      <c r="AF56" s="24">
        <f t="shared" si="6"/>
        <v>70</v>
      </c>
      <c r="AG56" s="24">
        <f t="shared" si="7"/>
        <v>70</v>
      </c>
      <c r="AH56" s="16">
        <f>INDEX(章节关卡!$E$6:$E$20,芦花古楼!AC56)*芦花古楼!AD56</f>
        <v>19800</v>
      </c>
      <c r="AK56" s="20">
        <v>51</v>
      </c>
      <c r="AL56" s="20">
        <v>14</v>
      </c>
      <c r="AN56" s="20">
        <v>51</v>
      </c>
      <c r="AO56" s="20">
        <f t="shared" si="11"/>
        <v>15</v>
      </c>
      <c r="AQ56" s="20">
        <v>51</v>
      </c>
      <c r="AR56" s="20">
        <f t="shared" si="12"/>
        <v>16</v>
      </c>
      <c r="AT56" s="20">
        <v>51</v>
      </c>
      <c r="AU56" s="20">
        <f t="shared" si="13"/>
        <v>17</v>
      </c>
      <c r="AX56" s="20">
        <v>51</v>
      </c>
      <c r="AY56" s="16">
        <f t="shared" si="26"/>
        <v>190</v>
      </c>
      <c r="AZ56" s="16">
        <f t="shared" si="27"/>
        <v>400</v>
      </c>
      <c r="BA56" s="16">
        <f t="shared" si="28"/>
        <v>44700</v>
      </c>
      <c r="BG56" s="24">
        <v>38</v>
      </c>
      <c r="BH56" s="24"/>
      <c r="BI56" s="22">
        <f t="shared" si="29"/>
        <v>0.26755502695721578</v>
      </c>
      <c r="BJ56" s="16">
        <f t="shared" si="30"/>
        <v>0</v>
      </c>
      <c r="BK56" s="16">
        <f t="shared" si="31"/>
        <v>0</v>
      </c>
      <c r="BL56" s="16">
        <f t="shared" si="32"/>
        <v>0</v>
      </c>
      <c r="BM56" s="16">
        <f t="shared" si="33"/>
        <v>0</v>
      </c>
      <c r="BN56" s="16">
        <f t="shared" si="34"/>
        <v>0</v>
      </c>
      <c r="BO56" s="16">
        <f t="shared" si="35"/>
        <v>0</v>
      </c>
      <c r="BP56" s="16">
        <f t="shared" si="36"/>
        <v>0</v>
      </c>
      <c r="BR56" s="24">
        <v>38</v>
      </c>
      <c r="BS56" s="24">
        <v>40</v>
      </c>
    </row>
    <row r="57" spans="1:71" ht="16.5" x14ac:dyDescent="0.2">
      <c r="A57" s="19">
        <v>53</v>
      </c>
      <c r="B57" s="27">
        <v>9</v>
      </c>
      <c r="C57" s="41">
        <v>60</v>
      </c>
      <c r="D57" s="27">
        <f>INDEX(章节关卡!$C$6:$C$20,芦花古楼!B57)*芦花古楼!C57</f>
        <v>2160</v>
      </c>
      <c r="E57" s="24">
        <f t="shared" si="2"/>
        <v>55</v>
      </c>
      <c r="F57" s="24">
        <f t="shared" si="3"/>
        <v>70</v>
      </c>
      <c r="G57" s="16">
        <f>INDEX(章节关卡!$E$6:$E$20,芦花古楼!B57)*芦花古楼!C57</f>
        <v>4320</v>
      </c>
      <c r="J57" s="19">
        <v>53</v>
      </c>
      <c r="K57" s="27">
        <v>9</v>
      </c>
      <c r="L57" s="41">
        <v>120</v>
      </c>
      <c r="M57" s="27">
        <f>INDEX(章节关卡!$C$6:$C$20,芦花古楼!K57)*芦花古楼!L57</f>
        <v>4320</v>
      </c>
      <c r="N57" s="24">
        <f t="shared" si="4"/>
        <v>60</v>
      </c>
      <c r="O57" s="24">
        <f t="shared" si="5"/>
        <v>70</v>
      </c>
      <c r="P57" s="16">
        <f>INDEX(章节关卡!$E$6:$E$20,芦花古楼!K57)*芦花古楼!L57</f>
        <v>8640</v>
      </c>
      <c r="S57" s="19">
        <v>53</v>
      </c>
      <c r="T57" s="27">
        <v>11</v>
      </c>
      <c r="U57" s="41">
        <v>180</v>
      </c>
      <c r="V57" s="27">
        <f>INDEX(章节关卡!$C$6:$C$20,芦花古楼!T57)*芦花古楼!U57</f>
        <v>9540</v>
      </c>
      <c r="W57" s="24">
        <f t="shared" si="24"/>
        <v>65</v>
      </c>
      <c r="X57" s="24">
        <f t="shared" si="25"/>
        <v>70</v>
      </c>
      <c r="Y57" s="16">
        <f>INDEX(章节关卡!$E$6:$E$20,芦花古楼!T57)*芦花古楼!U57</f>
        <v>19800</v>
      </c>
      <c r="AB57" s="19">
        <v>53</v>
      </c>
      <c r="AC57" s="27">
        <v>11</v>
      </c>
      <c r="AD57" s="41">
        <v>180</v>
      </c>
      <c r="AE57" s="27">
        <f>INDEX(章节关卡!$C$6:$C$20,芦花古楼!AC57)*芦花古楼!AD57</f>
        <v>9540</v>
      </c>
      <c r="AF57" s="24">
        <f t="shared" si="6"/>
        <v>70</v>
      </c>
      <c r="AG57" s="24">
        <f t="shared" si="7"/>
        <v>70</v>
      </c>
      <c r="AH57" s="16">
        <f>INDEX(章节关卡!$E$6:$E$20,芦花古楼!AC57)*芦花古楼!AD57</f>
        <v>19800</v>
      </c>
      <c r="AK57" s="20">
        <v>52</v>
      </c>
      <c r="AL57" s="20">
        <v>14</v>
      </c>
      <c r="AN57" s="20">
        <v>52</v>
      </c>
      <c r="AO57" s="20">
        <f t="shared" si="11"/>
        <v>15</v>
      </c>
      <c r="AQ57" s="20">
        <v>52</v>
      </c>
      <c r="AR57" s="20">
        <f t="shared" si="12"/>
        <v>16</v>
      </c>
      <c r="AT57" s="20">
        <v>52</v>
      </c>
      <c r="AU57" s="20">
        <f t="shared" si="13"/>
        <v>17</v>
      </c>
      <c r="AX57" s="20">
        <v>52</v>
      </c>
      <c r="AY57" s="16">
        <f t="shared" si="26"/>
        <v>180</v>
      </c>
      <c r="AZ57" s="16">
        <f t="shared" si="27"/>
        <v>400</v>
      </c>
      <c r="BA57" s="16">
        <f t="shared" si="28"/>
        <v>38100</v>
      </c>
      <c r="BG57" s="24">
        <v>39</v>
      </c>
      <c r="BH57" s="24"/>
      <c r="BI57" s="22">
        <f t="shared" si="29"/>
        <v>0.29431052965293736</v>
      </c>
      <c r="BJ57" s="16">
        <f t="shared" si="30"/>
        <v>0</v>
      </c>
      <c r="BK57" s="16">
        <f t="shared" si="31"/>
        <v>0</v>
      </c>
      <c r="BL57" s="16">
        <f t="shared" si="32"/>
        <v>0</v>
      </c>
      <c r="BM57" s="16">
        <f t="shared" si="33"/>
        <v>0</v>
      </c>
      <c r="BN57" s="16">
        <f t="shared" si="34"/>
        <v>0</v>
      </c>
      <c r="BO57" s="16">
        <f t="shared" si="35"/>
        <v>0</v>
      </c>
      <c r="BP57" s="16">
        <f t="shared" si="36"/>
        <v>0</v>
      </c>
      <c r="BR57" s="24">
        <v>39</v>
      </c>
      <c r="BS57" s="24">
        <v>40</v>
      </c>
    </row>
    <row r="58" spans="1:71" ht="16.5" x14ac:dyDescent="0.2">
      <c r="A58" s="19">
        <v>54</v>
      </c>
      <c r="B58" s="27">
        <v>9</v>
      </c>
      <c r="C58" s="41">
        <v>60</v>
      </c>
      <c r="D58" s="27">
        <f>INDEX(章节关卡!$C$6:$C$20,芦花古楼!B58)*芦花古楼!C58</f>
        <v>2160</v>
      </c>
      <c r="E58" s="24">
        <f t="shared" si="2"/>
        <v>55</v>
      </c>
      <c r="F58" s="24">
        <f t="shared" si="3"/>
        <v>70</v>
      </c>
      <c r="G58" s="16">
        <f>INDEX(章节关卡!$E$6:$E$20,芦花古楼!B58)*芦花古楼!C58</f>
        <v>4320</v>
      </c>
      <c r="J58" s="19">
        <v>54</v>
      </c>
      <c r="K58" s="27">
        <v>9</v>
      </c>
      <c r="L58" s="41">
        <v>120</v>
      </c>
      <c r="M58" s="27">
        <f>INDEX(章节关卡!$C$6:$C$20,芦花古楼!K58)*芦花古楼!L58</f>
        <v>4320</v>
      </c>
      <c r="N58" s="24">
        <f t="shared" si="4"/>
        <v>60</v>
      </c>
      <c r="O58" s="24">
        <f t="shared" si="5"/>
        <v>70</v>
      </c>
      <c r="P58" s="16">
        <f>INDEX(章节关卡!$E$6:$E$20,芦花古楼!K58)*芦花古楼!L58</f>
        <v>8640</v>
      </c>
      <c r="S58" s="19">
        <v>54</v>
      </c>
      <c r="T58" s="27">
        <v>11</v>
      </c>
      <c r="U58" s="41">
        <v>180</v>
      </c>
      <c r="V58" s="27">
        <f>INDEX(章节关卡!$C$6:$C$20,芦花古楼!T58)*芦花古楼!U58</f>
        <v>9540</v>
      </c>
      <c r="W58" s="24">
        <f t="shared" si="24"/>
        <v>65</v>
      </c>
      <c r="X58" s="24">
        <f t="shared" si="25"/>
        <v>70</v>
      </c>
      <c r="Y58" s="16">
        <f>INDEX(章节关卡!$E$6:$E$20,芦花古楼!T58)*芦花古楼!U58</f>
        <v>19800</v>
      </c>
      <c r="AB58" s="19">
        <v>54</v>
      </c>
      <c r="AC58" s="27">
        <v>11</v>
      </c>
      <c r="AD58" s="41">
        <v>180</v>
      </c>
      <c r="AE58" s="27">
        <f>INDEX(章节关卡!$C$6:$C$20,芦花古楼!AC58)*芦花古楼!AD58</f>
        <v>9540</v>
      </c>
      <c r="AF58" s="24">
        <f t="shared" si="6"/>
        <v>70</v>
      </c>
      <c r="AG58" s="24">
        <f t="shared" si="7"/>
        <v>70</v>
      </c>
      <c r="AH58" s="16">
        <f>INDEX(章节关卡!$E$6:$E$20,芦花古楼!AC58)*芦花古楼!AD58</f>
        <v>19800</v>
      </c>
      <c r="AK58" s="20">
        <v>53</v>
      </c>
      <c r="AL58" s="20">
        <v>15</v>
      </c>
      <c r="AN58" s="20">
        <v>53</v>
      </c>
      <c r="AO58" s="20">
        <f t="shared" si="11"/>
        <v>16</v>
      </c>
      <c r="AQ58" s="20">
        <v>53</v>
      </c>
      <c r="AR58" s="20">
        <f t="shared" si="12"/>
        <v>17</v>
      </c>
      <c r="AT58" s="20">
        <v>53</v>
      </c>
      <c r="AU58" s="20">
        <f t="shared" si="13"/>
        <v>18</v>
      </c>
      <c r="AX58" s="20">
        <v>53</v>
      </c>
      <c r="AY58" s="16">
        <f t="shared" si="26"/>
        <v>190</v>
      </c>
      <c r="AZ58" s="16">
        <f t="shared" si="27"/>
        <v>400</v>
      </c>
      <c r="BA58" s="16">
        <f t="shared" si="28"/>
        <v>44700</v>
      </c>
      <c r="BG58" s="24">
        <v>40</v>
      </c>
      <c r="BH58" s="24"/>
      <c r="BI58" s="22">
        <f t="shared" si="29"/>
        <v>0.32374158261823111</v>
      </c>
      <c r="BJ58" s="16">
        <f t="shared" si="30"/>
        <v>0</v>
      </c>
      <c r="BK58" s="16">
        <f t="shared" si="31"/>
        <v>0</v>
      </c>
      <c r="BL58" s="16">
        <f t="shared" si="32"/>
        <v>0</v>
      </c>
      <c r="BM58" s="16">
        <f t="shared" si="33"/>
        <v>0</v>
      </c>
      <c r="BN58" s="16">
        <f t="shared" si="34"/>
        <v>0</v>
      </c>
      <c r="BO58" s="16">
        <f t="shared" si="35"/>
        <v>0</v>
      </c>
      <c r="BP58" s="16">
        <f t="shared" si="36"/>
        <v>0</v>
      </c>
      <c r="BR58" s="24">
        <v>40</v>
      </c>
      <c r="BS58" s="24">
        <v>40</v>
      </c>
    </row>
    <row r="59" spans="1:71" ht="16.5" x14ac:dyDescent="0.2">
      <c r="A59" s="19">
        <v>55</v>
      </c>
      <c r="B59" s="27">
        <v>9</v>
      </c>
      <c r="C59" s="41">
        <v>60</v>
      </c>
      <c r="D59" s="27">
        <f>INDEX(章节关卡!$C$6:$C$20,芦花古楼!B59)*芦花古楼!C59</f>
        <v>2160</v>
      </c>
      <c r="E59" s="24">
        <f t="shared" si="2"/>
        <v>55</v>
      </c>
      <c r="F59" s="24">
        <f t="shared" si="3"/>
        <v>75</v>
      </c>
      <c r="G59" s="16">
        <f>INDEX(章节关卡!$E$6:$E$20,芦花古楼!B59)*芦花古楼!C59</f>
        <v>4320</v>
      </c>
      <c r="J59" s="19">
        <v>55</v>
      </c>
      <c r="K59" s="27">
        <v>9</v>
      </c>
      <c r="L59" s="41">
        <v>120</v>
      </c>
      <c r="M59" s="27">
        <f>INDEX(章节关卡!$C$6:$C$20,芦花古楼!K59)*芦花古楼!L59</f>
        <v>4320</v>
      </c>
      <c r="N59" s="24">
        <f t="shared" si="4"/>
        <v>60</v>
      </c>
      <c r="O59" s="24">
        <f t="shared" si="5"/>
        <v>75</v>
      </c>
      <c r="P59" s="16">
        <f>INDEX(章节关卡!$E$6:$E$20,芦花古楼!K59)*芦花古楼!L59</f>
        <v>8640</v>
      </c>
      <c r="S59" s="19">
        <v>55</v>
      </c>
      <c r="T59" s="27">
        <v>11</v>
      </c>
      <c r="U59" s="41">
        <v>180</v>
      </c>
      <c r="V59" s="27">
        <f>INDEX(章节关卡!$C$6:$C$20,芦花古楼!T59)*芦花古楼!U59</f>
        <v>9540</v>
      </c>
      <c r="W59" s="24">
        <f t="shared" si="24"/>
        <v>65</v>
      </c>
      <c r="X59" s="24">
        <f t="shared" si="25"/>
        <v>75</v>
      </c>
      <c r="Y59" s="16">
        <f>INDEX(章节关卡!$E$6:$E$20,芦花古楼!T59)*芦花古楼!U59</f>
        <v>19800</v>
      </c>
      <c r="AB59" s="19">
        <v>55</v>
      </c>
      <c r="AC59" s="27">
        <v>11</v>
      </c>
      <c r="AD59" s="41">
        <v>180</v>
      </c>
      <c r="AE59" s="27">
        <f>INDEX(章节关卡!$C$6:$C$20,芦花古楼!AC59)*芦花古楼!AD59</f>
        <v>9540</v>
      </c>
      <c r="AF59" s="24">
        <f t="shared" si="6"/>
        <v>70</v>
      </c>
      <c r="AG59" s="24">
        <f t="shared" si="7"/>
        <v>75</v>
      </c>
      <c r="AH59" s="16">
        <f>INDEX(章节关卡!$E$6:$E$20,芦花古楼!AC59)*芦花古楼!AD59</f>
        <v>19800</v>
      </c>
      <c r="AK59" s="20">
        <v>54</v>
      </c>
      <c r="AL59" s="20">
        <v>15</v>
      </c>
      <c r="AN59" s="20">
        <v>54</v>
      </c>
      <c r="AO59" s="20">
        <f t="shared" si="11"/>
        <v>16</v>
      </c>
      <c r="AQ59" s="20">
        <v>54</v>
      </c>
      <c r="AR59" s="20">
        <f t="shared" si="12"/>
        <v>17</v>
      </c>
      <c r="AT59" s="20">
        <v>54</v>
      </c>
      <c r="AU59" s="20">
        <f t="shared" si="13"/>
        <v>18</v>
      </c>
      <c r="AX59" s="20">
        <v>54</v>
      </c>
      <c r="AY59" s="16">
        <f t="shared" si="26"/>
        <v>180</v>
      </c>
      <c r="AZ59" s="16">
        <f t="shared" si="27"/>
        <v>400</v>
      </c>
      <c r="BA59" s="16">
        <f t="shared" si="28"/>
        <v>38100</v>
      </c>
    </row>
    <row r="60" spans="1:71" ht="16.5" x14ac:dyDescent="0.2">
      <c r="A60" s="19">
        <v>56</v>
      </c>
      <c r="B60" s="27">
        <v>9</v>
      </c>
      <c r="C60" s="41">
        <v>60</v>
      </c>
      <c r="D60" s="27">
        <f>INDEX(章节关卡!$C$6:$C$20,芦花古楼!B60)*芦花古楼!C60</f>
        <v>2160</v>
      </c>
      <c r="E60" s="24">
        <f t="shared" si="2"/>
        <v>60</v>
      </c>
      <c r="F60" s="24">
        <f t="shared" si="3"/>
        <v>75</v>
      </c>
      <c r="G60" s="16">
        <f>INDEX(章节关卡!$E$6:$E$20,芦花古楼!B60)*芦花古楼!C60</f>
        <v>4320</v>
      </c>
      <c r="J60" s="19">
        <v>56</v>
      </c>
      <c r="K60" s="27">
        <v>9</v>
      </c>
      <c r="L60" s="41">
        <v>120</v>
      </c>
      <c r="M60" s="27">
        <f>INDEX(章节关卡!$C$6:$C$20,芦花古楼!K60)*芦花古楼!L60</f>
        <v>4320</v>
      </c>
      <c r="N60" s="24">
        <f t="shared" si="4"/>
        <v>65</v>
      </c>
      <c r="O60" s="24">
        <f t="shared" si="5"/>
        <v>75</v>
      </c>
      <c r="P60" s="16">
        <f>INDEX(章节关卡!$E$6:$E$20,芦花古楼!K60)*芦花古楼!L60</f>
        <v>8640</v>
      </c>
      <c r="S60" s="19">
        <v>56</v>
      </c>
      <c r="T60" s="27">
        <v>11</v>
      </c>
      <c r="U60" s="41">
        <v>180</v>
      </c>
      <c r="V60" s="27">
        <f>INDEX(章节关卡!$C$6:$C$20,芦花古楼!T60)*芦花古楼!U60</f>
        <v>9540</v>
      </c>
      <c r="W60" s="24">
        <f t="shared" si="24"/>
        <v>70</v>
      </c>
      <c r="X60" s="24">
        <f t="shared" si="25"/>
        <v>75</v>
      </c>
      <c r="Y60" s="16">
        <f>INDEX(章节关卡!$E$6:$E$20,芦花古楼!T60)*芦花古楼!U60</f>
        <v>19800</v>
      </c>
      <c r="AB60" s="19">
        <v>56</v>
      </c>
      <c r="AC60" s="27">
        <v>11</v>
      </c>
      <c r="AD60" s="41">
        <v>180</v>
      </c>
      <c r="AE60" s="27">
        <f>INDEX(章节关卡!$C$6:$C$20,芦花古楼!AC60)*芦花古楼!AD60</f>
        <v>9540</v>
      </c>
      <c r="AF60" s="24">
        <f t="shared" si="6"/>
        <v>75</v>
      </c>
      <c r="AG60" s="24">
        <f t="shared" si="7"/>
        <v>75</v>
      </c>
      <c r="AH60" s="16">
        <f>INDEX(章节关卡!$E$6:$E$20,芦花古楼!AC60)*芦花古楼!AD60</f>
        <v>19800</v>
      </c>
      <c r="AK60" s="20">
        <v>55</v>
      </c>
      <c r="AL60" s="20">
        <v>16</v>
      </c>
      <c r="AN60" s="20">
        <v>55</v>
      </c>
      <c r="AO60" s="20">
        <f t="shared" si="11"/>
        <v>17</v>
      </c>
      <c r="AQ60" s="20">
        <v>55</v>
      </c>
      <c r="AR60" s="20">
        <f t="shared" si="12"/>
        <v>18</v>
      </c>
      <c r="AT60" s="20">
        <v>55</v>
      </c>
      <c r="AU60" s="20">
        <f t="shared" si="13"/>
        <v>19</v>
      </c>
      <c r="AX60" s="20">
        <v>55</v>
      </c>
      <c r="AY60" s="16">
        <f t="shared" si="26"/>
        <v>190</v>
      </c>
      <c r="AZ60" s="16">
        <f t="shared" si="27"/>
        <v>400</v>
      </c>
      <c r="BA60" s="16">
        <f t="shared" si="28"/>
        <v>44700</v>
      </c>
    </row>
    <row r="61" spans="1:71" ht="16.5" x14ac:dyDescent="0.2">
      <c r="A61" s="19">
        <v>57</v>
      </c>
      <c r="B61" s="27">
        <v>9</v>
      </c>
      <c r="C61" s="41">
        <v>60</v>
      </c>
      <c r="D61" s="27">
        <f>INDEX(章节关卡!$C$6:$C$20,芦花古楼!B61)*芦花古楼!C61</f>
        <v>2160</v>
      </c>
      <c r="E61" s="24">
        <f t="shared" si="2"/>
        <v>60</v>
      </c>
      <c r="F61" s="24">
        <f t="shared" si="3"/>
        <v>75</v>
      </c>
      <c r="G61" s="16">
        <f>INDEX(章节关卡!$E$6:$E$20,芦花古楼!B61)*芦花古楼!C61</f>
        <v>4320</v>
      </c>
      <c r="J61" s="19">
        <v>57</v>
      </c>
      <c r="K61" s="27">
        <v>9</v>
      </c>
      <c r="L61" s="41">
        <v>120</v>
      </c>
      <c r="M61" s="27">
        <f>INDEX(章节关卡!$C$6:$C$20,芦花古楼!K61)*芦花古楼!L61</f>
        <v>4320</v>
      </c>
      <c r="N61" s="24">
        <f t="shared" si="4"/>
        <v>65</v>
      </c>
      <c r="O61" s="24">
        <f t="shared" si="5"/>
        <v>75</v>
      </c>
      <c r="P61" s="16">
        <f>INDEX(章节关卡!$E$6:$E$20,芦花古楼!K61)*芦花古楼!L61</f>
        <v>8640</v>
      </c>
      <c r="S61" s="19">
        <v>57</v>
      </c>
      <c r="T61" s="27">
        <v>11</v>
      </c>
      <c r="U61" s="41">
        <v>180</v>
      </c>
      <c r="V61" s="27">
        <f>INDEX(章节关卡!$C$6:$C$20,芦花古楼!T61)*芦花古楼!U61</f>
        <v>9540</v>
      </c>
      <c r="W61" s="24">
        <f t="shared" si="24"/>
        <v>70</v>
      </c>
      <c r="X61" s="24">
        <f t="shared" si="25"/>
        <v>75</v>
      </c>
      <c r="Y61" s="16">
        <f>INDEX(章节关卡!$E$6:$E$20,芦花古楼!T61)*芦花古楼!U61</f>
        <v>19800</v>
      </c>
      <c r="AB61" s="19">
        <v>57</v>
      </c>
      <c r="AC61" s="27">
        <v>11</v>
      </c>
      <c r="AD61" s="41">
        <v>180</v>
      </c>
      <c r="AE61" s="27">
        <f>INDEX(章节关卡!$C$6:$C$20,芦花古楼!AC61)*芦花古楼!AD61</f>
        <v>9540</v>
      </c>
      <c r="AF61" s="24">
        <f t="shared" si="6"/>
        <v>75</v>
      </c>
      <c r="AG61" s="24">
        <f t="shared" si="7"/>
        <v>75</v>
      </c>
      <c r="AH61" s="16">
        <f>INDEX(章节关卡!$E$6:$E$20,芦花古楼!AC61)*芦花古楼!AD61</f>
        <v>19800</v>
      </c>
      <c r="AK61" s="20">
        <v>56</v>
      </c>
      <c r="AL61" s="20">
        <v>16</v>
      </c>
      <c r="AN61" s="20">
        <v>56</v>
      </c>
      <c r="AO61" s="20">
        <f t="shared" si="11"/>
        <v>17</v>
      </c>
      <c r="AQ61" s="20">
        <v>56</v>
      </c>
      <c r="AR61" s="20">
        <f t="shared" si="12"/>
        <v>18</v>
      </c>
      <c r="AT61" s="20">
        <v>56</v>
      </c>
      <c r="AU61" s="20">
        <f t="shared" si="13"/>
        <v>19</v>
      </c>
      <c r="AX61" s="20">
        <v>56</v>
      </c>
      <c r="AY61" s="16">
        <f t="shared" si="26"/>
        <v>180</v>
      </c>
      <c r="AZ61" s="16">
        <f t="shared" si="27"/>
        <v>405</v>
      </c>
      <c r="BA61" s="16">
        <f t="shared" si="28"/>
        <v>38100</v>
      </c>
    </row>
    <row r="62" spans="1:71" ht="16.5" x14ac:dyDescent="0.2">
      <c r="A62" s="19">
        <v>58</v>
      </c>
      <c r="B62" s="27">
        <v>9</v>
      </c>
      <c r="C62" s="41">
        <v>60</v>
      </c>
      <c r="D62" s="27">
        <f>INDEX(章节关卡!$C$6:$C$20,芦花古楼!B62)*芦花古楼!C62</f>
        <v>2160</v>
      </c>
      <c r="E62" s="24">
        <f t="shared" si="2"/>
        <v>60</v>
      </c>
      <c r="F62" s="24">
        <f t="shared" si="3"/>
        <v>75</v>
      </c>
      <c r="G62" s="16">
        <f>INDEX(章节关卡!$E$6:$E$20,芦花古楼!B62)*芦花古楼!C62</f>
        <v>4320</v>
      </c>
      <c r="J62" s="19">
        <v>58</v>
      </c>
      <c r="K62" s="27">
        <v>9</v>
      </c>
      <c r="L62" s="41">
        <v>120</v>
      </c>
      <c r="M62" s="27">
        <f>INDEX(章节关卡!$C$6:$C$20,芦花古楼!K62)*芦花古楼!L62</f>
        <v>4320</v>
      </c>
      <c r="N62" s="24">
        <f t="shared" si="4"/>
        <v>65</v>
      </c>
      <c r="O62" s="24">
        <f t="shared" si="5"/>
        <v>75</v>
      </c>
      <c r="P62" s="16">
        <f>INDEX(章节关卡!$E$6:$E$20,芦花古楼!K62)*芦花古楼!L62</f>
        <v>8640</v>
      </c>
      <c r="S62" s="19">
        <v>58</v>
      </c>
      <c r="T62" s="27">
        <v>11</v>
      </c>
      <c r="U62" s="41">
        <v>180</v>
      </c>
      <c r="V62" s="27">
        <f>INDEX(章节关卡!$C$6:$C$20,芦花古楼!T62)*芦花古楼!U62</f>
        <v>9540</v>
      </c>
      <c r="W62" s="24">
        <f t="shared" si="24"/>
        <v>70</v>
      </c>
      <c r="X62" s="24">
        <f t="shared" si="25"/>
        <v>75</v>
      </c>
      <c r="Y62" s="16">
        <f>INDEX(章节关卡!$E$6:$E$20,芦花古楼!T62)*芦花古楼!U62</f>
        <v>19800</v>
      </c>
      <c r="AB62" s="19">
        <v>58</v>
      </c>
      <c r="AC62" s="27">
        <v>11</v>
      </c>
      <c r="AD62" s="41">
        <v>180</v>
      </c>
      <c r="AE62" s="27">
        <f>INDEX(章节关卡!$C$6:$C$20,芦花古楼!AC62)*芦花古楼!AD62</f>
        <v>9540</v>
      </c>
      <c r="AF62" s="24">
        <f t="shared" si="6"/>
        <v>75</v>
      </c>
      <c r="AG62" s="24">
        <f t="shared" si="7"/>
        <v>75</v>
      </c>
      <c r="AH62" s="16">
        <f>INDEX(章节关卡!$E$6:$E$20,芦花古楼!AC62)*芦花古楼!AD62</f>
        <v>19800</v>
      </c>
      <c r="AK62" s="20">
        <v>57</v>
      </c>
      <c r="AL62" s="20">
        <v>17</v>
      </c>
      <c r="AN62" s="20">
        <v>57</v>
      </c>
      <c r="AO62" s="20">
        <f t="shared" si="11"/>
        <v>18</v>
      </c>
      <c r="AQ62" s="20">
        <v>57</v>
      </c>
      <c r="AR62" s="20">
        <f t="shared" si="12"/>
        <v>19</v>
      </c>
      <c r="AT62" s="20">
        <v>57</v>
      </c>
      <c r="AU62" s="20">
        <f t="shared" si="13"/>
        <v>20</v>
      </c>
      <c r="AX62" s="20">
        <v>57</v>
      </c>
      <c r="AY62" s="16">
        <f t="shared" si="26"/>
        <v>190</v>
      </c>
      <c r="AZ62" s="16">
        <f t="shared" si="27"/>
        <v>410</v>
      </c>
      <c r="BA62" s="16">
        <f t="shared" si="28"/>
        <v>44700</v>
      </c>
    </row>
    <row r="63" spans="1:71" ht="16.5" x14ac:dyDescent="0.2">
      <c r="A63" s="19">
        <v>59</v>
      </c>
      <c r="B63" s="27">
        <v>9</v>
      </c>
      <c r="C63" s="41">
        <v>60</v>
      </c>
      <c r="D63" s="27">
        <f>INDEX(章节关卡!$C$6:$C$20,芦花古楼!B63)*芦花古楼!C63</f>
        <v>2160</v>
      </c>
      <c r="E63" s="24">
        <f t="shared" si="2"/>
        <v>60</v>
      </c>
      <c r="F63" s="24">
        <f t="shared" si="3"/>
        <v>75</v>
      </c>
      <c r="G63" s="16">
        <f>INDEX(章节关卡!$E$6:$E$20,芦花古楼!B63)*芦花古楼!C63</f>
        <v>4320</v>
      </c>
      <c r="J63" s="19">
        <v>59</v>
      </c>
      <c r="K63" s="27">
        <v>9</v>
      </c>
      <c r="L63" s="41">
        <v>120</v>
      </c>
      <c r="M63" s="27">
        <f>INDEX(章节关卡!$C$6:$C$20,芦花古楼!K63)*芦花古楼!L63</f>
        <v>4320</v>
      </c>
      <c r="N63" s="24">
        <f t="shared" si="4"/>
        <v>65</v>
      </c>
      <c r="O63" s="24">
        <f t="shared" si="5"/>
        <v>75</v>
      </c>
      <c r="P63" s="16">
        <f>INDEX(章节关卡!$E$6:$E$20,芦花古楼!K63)*芦花古楼!L63</f>
        <v>8640</v>
      </c>
      <c r="S63" s="19">
        <v>59</v>
      </c>
      <c r="T63" s="27">
        <v>11</v>
      </c>
      <c r="U63" s="41">
        <v>180</v>
      </c>
      <c r="V63" s="27">
        <f>INDEX(章节关卡!$C$6:$C$20,芦花古楼!T63)*芦花古楼!U63</f>
        <v>9540</v>
      </c>
      <c r="W63" s="24">
        <f t="shared" si="24"/>
        <v>70</v>
      </c>
      <c r="X63" s="24">
        <f t="shared" si="25"/>
        <v>75</v>
      </c>
      <c r="Y63" s="16">
        <f>INDEX(章节关卡!$E$6:$E$20,芦花古楼!T63)*芦花古楼!U63</f>
        <v>19800</v>
      </c>
      <c r="AB63" s="19">
        <v>59</v>
      </c>
      <c r="AC63" s="27">
        <v>11</v>
      </c>
      <c r="AD63" s="41">
        <v>180</v>
      </c>
      <c r="AE63" s="27">
        <f>INDEX(章节关卡!$C$6:$C$20,芦花古楼!AC63)*芦花古楼!AD63</f>
        <v>9540</v>
      </c>
      <c r="AF63" s="24">
        <f t="shared" si="6"/>
        <v>75</v>
      </c>
      <c r="AG63" s="24">
        <f t="shared" si="7"/>
        <v>75</v>
      </c>
      <c r="AH63" s="16">
        <f>INDEX(章节关卡!$E$6:$E$20,芦花古楼!AC63)*芦花古楼!AD63</f>
        <v>19800</v>
      </c>
      <c r="AK63" s="20">
        <v>58</v>
      </c>
      <c r="AL63" s="20">
        <v>17</v>
      </c>
      <c r="AN63" s="20">
        <v>58</v>
      </c>
      <c r="AO63" s="20">
        <f t="shared" si="11"/>
        <v>18</v>
      </c>
      <c r="AQ63" s="20">
        <v>58</v>
      </c>
      <c r="AR63" s="20">
        <f t="shared" si="12"/>
        <v>19</v>
      </c>
      <c r="AT63" s="20">
        <v>58</v>
      </c>
      <c r="AU63" s="20">
        <f t="shared" si="13"/>
        <v>20</v>
      </c>
      <c r="AX63" s="20">
        <v>58</v>
      </c>
      <c r="AY63" s="16">
        <f t="shared" si="26"/>
        <v>185</v>
      </c>
      <c r="AZ63" s="16">
        <f t="shared" si="27"/>
        <v>415</v>
      </c>
      <c r="BA63" s="16">
        <f t="shared" si="28"/>
        <v>38100</v>
      </c>
    </row>
    <row r="64" spans="1:71" ht="16.5" x14ac:dyDescent="0.2">
      <c r="A64" s="19">
        <v>60</v>
      </c>
      <c r="B64" s="27">
        <v>10</v>
      </c>
      <c r="C64" s="41">
        <v>60</v>
      </c>
      <c r="D64" s="27">
        <f>INDEX(章节关卡!$C$6:$C$20,芦花古楼!B64)*芦花古楼!C64</f>
        <v>2640</v>
      </c>
      <c r="E64" s="24">
        <f t="shared" si="2"/>
        <v>60</v>
      </c>
      <c r="F64" s="24">
        <f t="shared" si="3"/>
        <v>80</v>
      </c>
      <c r="G64" s="16">
        <f>INDEX(章节关卡!$E$6:$E$20,芦花古楼!B64)*芦花古楼!C64</f>
        <v>5400</v>
      </c>
      <c r="J64" s="19">
        <v>60</v>
      </c>
      <c r="K64" s="27">
        <v>10</v>
      </c>
      <c r="L64" s="41">
        <v>120</v>
      </c>
      <c r="M64" s="27">
        <f>INDEX(章节关卡!$C$6:$C$20,芦花古楼!K64)*芦花古楼!L64</f>
        <v>5280</v>
      </c>
      <c r="N64" s="24">
        <f t="shared" si="4"/>
        <v>65</v>
      </c>
      <c r="O64" s="24">
        <f t="shared" si="5"/>
        <v>80</v>
      </c>
      <c r="P64" s="16">
        <f>INDEX(章节关卡!$E$6:$E$20,芦花古楼!K64)*芦花古楼!L64</f>
        <v>10800</v>
      </c>
      <c r="S64" s="19">
        <v>60</v>
      </c>
      <c r="T64" s="27">
        <v>12</v>
      </c>
      <c r="U64" s="41">
        <v>180</v>
      </c>
      <c r="V64" s="27">
        <f>INDEX(章节关卡!$C$6:$C$20,芦花古楼!T64)*芦花古楼!U64</f>
        <v>11700</v>
      </c>
      <c r="W64" s="24">
        <f t="shared" si="24"/>
        <v>70</v>
      </c>
      <c r="X64" s="24">
        <f t="shared" si="25"/>
        <v>80</v>
      </c>
      <c r="Y64" s="16">
        <f>INDEX(章节关卡!$E$6:$E$20,芦花古楼!T64)*芦花古楼!U64</f>
        <v>23400</v>
      </c>
      <c r="AB64" s="19">
        <v>60</v>
      </c>
      <c r="AC64" s="27">
        <v>12</v>
      </c>
      <c r="AD64" s="41">
        <v>180</v>
      </c>
      <c r="AE64" s="27">
        <f>INDEX(章节关卡!$C$6:$C$20,芦花古楼!AC64)*芦花古楼!AD64</f>
        <v>11700</v>
      </c>
      <c r="AF64" s="24">
        <f t="shared" si="6"/>
        <v>75</v>
      </c>
      <c r="AG64" s="24">
        <f t="shared" si="7"/>
        <v>80</v>
      </c>
      <c r="AH64" s="16">
        <f>INDEX(章节关卡!$E$6:$E$20,芦花古楼!AC64)*芦花古楼!AD64</f>
        <v>23400</v>
      </c>
      <c r="AK64" s="20">
        <v>59</v>
      </c>
      <c r="AL64" s="20">
        <v>18</v>
      </c>
      <c r="AN64" s="20">
        <v>59</v>
      </c>
      <c r="AO64" s="20">
        <f t="shared" si="11"/>
        <v>19</v>
      </c>
      <c r="AQ64" s="20">
        <v>59</v>
      </c>
      <c r="AR64" s="20">
        <f t="shared" si="12"/>
        <v>20</v>
      </c>
      <c r="AT64" s="20">
        <v>59</v>
      </c>
      <c r="AU64" s="20">
        <f t="shared" si="13"/>
        <v>21</v>
      </c>
      <c r="AX64" s="20">
        <v>59</v>
      </c>
      <c r="AY64" s="16">
        <f t="shared" si="26"/>
        <v>195</v>
      </c>
      <c r="AZ64" s="16">
        <f t="shared" si="27"/>
        <v>420</v>
      </c>
      <c r="BA64" s="16">
        <f t="shared" si="28"/>
        <v>44700</v>
      </c>
    </row>
    <row r="65" spans="1:53" ht="16.5" x14ac:dyDescent="0.2">
      <c r="A65" s="19">
        <v>61</v>
      </c>
      <c r="B65" s="27">
        <v>10</v>
      </c>
      <c r="C65" s="41">
        <v>60</v>
      </c>
      <c r="D65" s="27">
        <f>INDEX(章节关卡!$C$6:$C$20,芦花古楼!B65)*芦花古楼!C65</f>
        <v>2640</v>
      </c>
      <c r="E65" s="24">
        <f t="shared" si="2"/>
        <v>65</v>
      </c>
      <c r="F65" s="24">
        <f t="shared" si="3"/>
        <v>80</v>
      </c>
      <c r="G65" s="16">
        <f>INDEX(章节关卡!$E$6:$E$20,芦花古楼!B65)*芦花古楼!C65</f>
        <v>5400</v>
      </c>
      <c r="J65" s="19">
        <v>61</v>
      </c>
      <c r="K65" s="27">
        <v>10</v>
      </c>
      <c r="L65" s="41">
        <v>120</v>
      </c>
      <c r="M65" s="27">
        <f>INDEX(章节关卡!$C$6:$C$20,芦花古楼!K65)*芦花古楼!L65</f>
        <v>5280</v>
      </c>
      <c r="N65" s="24">
        <f t="shared" si="4"/>
        <v>70</v>
      </c>
      <c r="O65" s="24">
        <f t="shared" si="5"/>
        <v>80</v>
      </c>
      <c r="P65" s="16">
        <f>INDEX(章节关卡!$E$6:$E$20,芦花古楼!K65)*芦花古楼!L65</f>
        <v>10800</v>
      </c>
      <c r="S65" s="19">
        <v>61</v>
      </c>
      <c r="T65" s="27">
        <v>12</v>
      </c>
      <c r="U65" s="41">
        <v>180</v>
      </c>
      <c r="V65" s="27">
        <f>INDEX(章节关卡!$C$6:$C$20,芦花古楼!T65)*芦花古楼!U65</f>
        <v>11700</v>
      </c>
      <c r="W65" s="24">
        <f t="shared" si="24"/>
        <v>75</v>
      </c>
      <c r="X65" s="24">
        <f t="shared" si="25"/>
        <v>80</v>
      </c>
      <c r="Y65" s="16">
        <f>INDEX(章节关卡!$E$6:$E$20,芦花古楼!T65)*芦花古楼!U65</f>
        <v>23400</v>
      </c>
      <c r="AB65" s="19">
        <v>61</v>
      </c>
      <c r="AC65" s="27">
        <v>12</v>
      </c>
      <c r="AD65" s="41">
        <v>180</v>
      </c>
      <c r="AE65" s="27">
        <f>INDEX(章节关卡!$C$6:$C$20,芦花古楼!AC65)*芦花古楼!AD65</f>
        <v>11700</v>
      </c>
      <c r="AF65" s="24">
        <f t="shared" si="6"/>
        <v>80</v>
      </c>
      <c r="AG65" s="24">
        <f t="shared" si="7"/>
        <v>80</v>
      </c>
      <c r="AH65" s="16">
        <f>INDEX(章节关卡!$E$6:$E$20,芦花古楼!AC65)*芦花古楼!AD65</f>
        <v>23400</v>
      </c>
      <c r="AK65" s="20">
        <v>60</v>
      </c>
      <c r="AL65" s="20">
        <v>18</v>
      </c>
      <c r="AN65" s="20">
        <v>60</v>
      </c>
      <c r="AO65" s="20">
        <f t="shared" si="11"/>
        <v>19</v>
      </c>
      <c r="AQ65" s="20">
        <v>60</v>
      </c>
      <c r="AR65" s="20">
        <f t="shared" si="12"/>
        <v>20</v>
      </c>
      <c r="AT65" s="20">
        <v>60</v>
      </c>
      <c r="AU65" s="20">
        <f t="shared" si="13"/>
        <v>21</v>
      </c>
      <c r="AX65" s="20">
        <v>60</v>
      </c>
      <c r="AY65" s="16">
        <f t="shared" si="26"/>
        <v>190</v>
      </c>
      <c r="AZ65" s="16">
        <f t="shared" si="27"/>
        <v>420</v>
      </c>
      <c r="BA65" s="16">
        <f t="shared" si="28"/>
        <v>38100</v>
      </c>
    </row>
    <row r="66" spans="1:53" ht="16.5" x14ac:dyDescent="0.2">
      <c r="A66" s="19">
        <v>62</v>
      </c>
      <c r="B66" s="27">
        <v>10</v>
      </c>
      <c r="C66" s="41">
        <v>60</v>
      </c>
      <c r="D66" s="27">
        <f>INDEX(章节关卡!$C$6:$C$20,芦花古楼!B66)*芦花古楼!C66</f>
        <v>2640</v>
      </c>
      <c r="E66" s="24">
        <f t="shared" si="2"/>
        <v>65</v>
      </c>
      <c r="F66" s="24">
        <f t="shared" si="3"/>
        <v>80</v>
      </c>
      <c r="G66" s="16">
        <f>INDEX(章节关卡!$E$6:$E$20,芦花古楼!B66)*芦花古楼!C66</f>
        <v>5400</v>
      </c>
      <c r="J66" s="19">
        <v>62</v>
      </c>
      <c r="K66" s="27">
        <v>10</v>
      </c>
      <c r="L66" s="41">
        <v>120</v>
      </c>
      <c r="M66" s="27">
        <f>INDEX(章节关卡!$C$6:$C$20,芦花古楼!K66)*芦花古楼!L66</f>
        <v>5280</v>
      </c>
      <c r="N66" s="24">
        <f t="shared" si="4"/>
        <v>70</v>
      </c>
      <c r="O66" s="24">
        <f t="shared" si="5"/>
        <v>80</v>
      </c>
      <c r="P66" s="16">
        <f>INDEX(章节关卡!$E$6:$E$20,芦花古楼!K66)*芦花古楼!L66</f>
        <v>10800</v>
      </c>
      <c r="S66" s="19">
        <v>62</v>
      </c>
      <c r="T66" s="27">
        <v>12</v>
      </c>
      <c r="U66" s="41">
        <v>180</v>
      </c>
      <c r="V66" s="27">
        <f>INDEX(章节关卡!$C$6:$C$20,芦花古楼!T66)*芦花古楼!U66</f>
        <v>11700</v>
      </c>
      <c r="W66" s="24">
        <f t="shared" si="24"/>
        <v>75</v>
      </c>
      <c r="X66" s="24">
        <f t="shared" si="25"/>
        <v>80</v>
      </c>
      <c r="Y66" s="16">
        <f>INDEX(章节关卡!$E$6:$E$20,芦花古楼!T66)*芦花古楼!U66</f>
        <v>23400</v>
      </c>
      <c r="AB66" s="19">
        <v>62</v>
      </c>
      <c r="AC66" s="27">
        <v>12</v>
      </c>
      <c r="AD66" s="41">
        <v>180</v>
      </c>
      <c r="AE66" s="27">
        <f>INDEX(章节关卡!$C$6:$C$20,芦花古楼!AC66)*芦花古楼!AD66</f>
        <v>11700</v>
      </c>
      <c r="AF66" s="24">
        <f t="shared" si="6"/>
        <v>80</v>
      </c>
      <c r="AG66" s="24">
        <f t="shared" si="7"/>
        <v>80</v>
      </c>
      <c r="AH66" s="16">
        <f>INDEX(章节关卡!$E$6:$E$20,芦花古楼!AC66)*芦花古楼!AD66</f>
        <v>23400</v>
      </c>
      <c r="AK66" s="20">
        <v>61</v>
      </c>
      <c r="AL66" s="20">
        <v>19</v>
      </c>
      <c r="AN66" s="20">
        <v>61</v>
      </c>
      <c r="AO66" s="20">
        <f t="shared" si="11"/>
        <v>20</v>
      </c>
      <c r="AQ66" s="20">
        <v>61</v>
      </c>
      <c r="AR66" s="20">
        <f t="shared" si="12"/>
        <v>21</v>
      </c>
      <c r="AT66" s="20">
        <v>61</v>
      </c>
      <c r="AU66" s="20">
        <f t="shared" si="13"/>
        <v>22</v>
      </c>
      <c r="AX66" s="20">
        <v>61</v>
      </c>
      <c r="AY66" s="16">
        <f t="shared" si="26"/>
        <v>200</v>
      </c>
      <c r="AZ66" s="16">
        <f t="shared" si="27"/>
        <v>420</v>
      </c>
      <c r="BA66" s="16">
        <f t="shared" si="28"/>
        <v>44700</v>
      </c>
    </row>
    <row r="67" spans="1:53" ht="16.5" x14ac:dyDescent="0.2">
      <c r="A67" s="19">
        <v>63</v>
      </c>
      <c r="B67" s="27">
        <v>10</v>
      </c>
      <c r="C67" s="41">
        <v>60</v>
      </c>
      <c r="D67" s="27">
        <f>INDEX(章节关卡!$C$6:$C$20,芦花古楼!B67)*芦花古楼!C67</f>
        <v>2640</v>
      </c>
      <c r="E67" s="24">
        <f t="shared" si="2"/>
        <v>65</v>
      </c>
      <c r="F67" s="24">
        <f t="shared" si="3"/>
        <v>80</v>
      </c>
      <c r="G67" s="16">
        <f>INDEX(章节关卡!$E$6:$E$20,芦花古楼!B67)*芦花古楼!C67</f>
        <v>5400</v>
      </c>
      <c r="J67" s="19">
        <v>63</v>
      </c>
      <c r="K67" s="27">
        <v>10</v>
      </c>
      <c r="L67" s="41">
        <v>120</v>
      </c>
      <c r="M67" s="27">
        <f>INDEX(章节关卡!$C$6:$C$20,芦花古楼!K67)*芦花古楼!L67</f>
        <v>5280</v>
      </c>
      <c r="N67" s="24">
        <f t="shared" si="4"/>
        <v>70</v>
      </c>
      <c r="O67" s="24">
        <f t="shared" si="5"/>
        <v>80</v>
      </c>
      <c r="P67" s="16">
        <f>INDEX(章节关卡!$E$6:$E$20,芦花古楼!K67)*芦花古楼!L67</f>
        <v>10800</v>
      </c>
      <c r="S67" s="19">
        <v>63</v>
      </c>
      <c r="T67" s="27">
        <v>12</v>
      </c>
      <c r="U67" s="41">
        <v>180</v>
      </c>
      <c r="V67" s="27">
        <f>INDEX(章节关卡!$C$6:$C$20,芦花古楼!T67)*芦花古楼!U67</f>
        <v>11700</v>
      </c>
      <c r="W67" s="24">
        <f t="shared" si="24"/>
        <v>75</v>
      </c>
      <c r="X67" s="24">
        <f t="shared" si="25"/>
        <v>80</v>
      </c>
      <c r="Y67" s="16">
        <f>INDEX(章节关卡!$E$6:$E$20,芦花古楼!T67)*芦花古楼!U67</f>
        <v>23400</v>
      </c>
      <c r="AB67" s="19">
        <v>63</v>
      </c>
      <c r="AC67" s="27">
        <v>12</v>
      </c>
      <c r="AD67" s="41">
        <v>180</v>
      </c>
      <c r="AE67" s="27">
        <f>INDEX(章节关卡!$C$6:$C$20,芦花古楼!AC67)*芦花古楼!AD67</f>
        <v>11700</v>
      </c>
      <c r="AF67" s="24">
        <f t="shared" si="6"/>
        <v>80</v>
      </c>
      <c r="AG67" s="24">
        <f t="shared" si="7"/>
        <v>80</v>
      </c>
      <c r="AH67" s="16">
        <f>INDEX(章节关卡!$E$6:$E$20,芦花古楼!AC67)*芦花古楼!AD67</f>
        <v>23400</v>
      </c>
      <c r="AK67" s="20">
        <v>62</v>
      </c>
      <c r="AL67" s="20">
        <v>20</v>
      </c>
      <c r="AN67" s="20">
        <v>62</v>
      </c>
      <c r="AO67" s="20">
        <f t="shared" si="11"/>
        <v>21</v>
      </c>
      <c r="AQ67" s="20">
        <v>62</v>
      </c>
      <c r="AR67" s="20">
        <f t="shared" si="12"/>
        <v>22</v>
      </c>
      <c r="AT67" s="20">
        <v>62</v>
      </c>
      <c r="AU67" s="20">
        <f t="shared" si="13"/>
        <v>23</v>
      </c>
      <c r="AX67" s="20">
        <v>62</v>
      </c>
      <c r="AY67" s="16">
        <f t="shared" si="26"/>
        <v>100</v>
      </c>
      <c r="AZ67" s="16">
        <f t="shared" si="27"/>
        <v>420</v>
      </c>
      <c r="BA67" s="16">
        <f t="shared" si="28"/>
        <v>31500</v>
      </c>
    </row>
    <row r="68" spans="1:53" ht="16.5" x14ac:dyDescent="0.2">
      <c r="A68" s="19">
        <v>64</v>
      </c>
      <c r="B68" s="27">
        <v>10</v>
      </c>
      <c r="C68" s="41">
        <v>60</v>
      </c>
      <c r="D68" s="27">
        <f>INDEX(章节关卡!$C$6:$C$20,芦花古楼!B68)*芦花古楼!C68</f>
        <v>2640</v>
      </c>
      <c r="E68" s="24">
        <f t="shared" si="2"/>
        <v>65</v>
      </c>
      <c r="F68" s="24">
        <f t="shared" si="3"/>
        <v>80</v>
      </c>
      <c r="G68" s="16">
        <f>INDEX(章节关卡!$E$6:$E$20,芦花古楼!B68)*芦花古楼!C68</f>
        <v>5400</v>
      </c>
      <c r="J68" s="19">
        <v>64</v>
      </c>
      <c r="K68" s="27">
        <v>10</v>
      </c>
      <c r="L68" s="41">
        <v>120</v>
      </c>
      <c r="M68" s="27">
        <f>INDEX(章节关卡!$C$6:$C$20,芦花古楼!K68)*芦花古楼!L68</f>
        <v>5280</v>
      </c>
      <c r="N68" s="24">
        <f t="shared" si="4"/>
        <v>70</v>
      </c>
      <c r="O68" s="24">
        <f t="shared" si="5"/>
        <v>80</v>
      </c>
      <c r="P68" s="16">
        <f>INDEX(章节关卡!$E$6:$E$20,芦花古楼!K68)*芦花古楼!L68</f>
        <v>10800</v>
      </c>
      <c r="S68" s="19">
        <v>64</v>
      </c>
      <c r="T68" s="27">
        <v>12</v>
      </c>
      <c r="U68" s="41">
        <v>180</v>
      </c>
      <c r="V68" s="27">
        <f>INDEX(章节关卡!$C$6:$C$20,芦花古楼!T68)*芦花古楼!U68</f>
        <v>11700</v>
      </c>
      <c r="W68" s="24">
        <f t="shared" si="24"/>
        <v>75</v>
      </c>
      <c r="X68" s="24">
        <f t="shared" si="25"/>
        <v>80</v>
      </c>
      <c r="Y68" s="16">
        <f>INDEX(章节关卡!$E$6:$E$20,芦花古楼!T68)*芦花古楼!U68</f>
        <v>23400</v>
      </c>
      <c r="AB68" s="19">
        <v>64</v>
      </c>
      <c r="AC68" s="27">
        <v>12</v>
      </c>
      <c r="AD68" s="41">
        <v>180</v>
      </c>
      <c r="AE68" s="27">
        <f>INDEX(章节关卡!$C$6:$C$20,芦花古楼!AC68)*芦花古楼!AD68</f>
        <v>11700</v>
      </c>
      <c r="AF68" s="24">
        <f t="shared" si="6"/>
        <v>80</v>
      </c>
      <c r="AG68" s="24">
        <f t="shared" si="7"/>
        <v>80</v>
      </c>
      <c r="AH68" s="16">
        <f>INDEX(章节关卡!$E$6:$E$20,芦花古楼!AC68)*芦花古楼!AD68</f>
        <v>23400</v>
      </c>
      <c r="AK68" s="20">
        <v>63</v>
      </c>
      <c r="AL68" s="20">
        <v>21</v>
      </c>
      <c r="AN68" s="20">
        <v>63</v>
      </c>
      <c r="AO68" s="20">
        <f t="shared" si="11"/>
        <v>22</v>
      </c>
      <c r="AQ68" s="20">
        <v>63</v>
      </c>
      <c r="AR68" s="20">
        <f t="shared" si="12"/>
        <v>23</v>
      </c>
      <c r="AT68" s="20">
        <v>63</v>
      </c>
      <c r="AU68" s="20">
        <f t="shared" si="13"/>
        <v>24</v>
      </c>
      <c r="AX68" s="20">
        <v>63</v>
      </c>
      <c r="AY68" s="16">
        <f t="shared" si="26"/>
        <v>195</v>
      </c>
      <c r="AZ68" s="16">
        <f t="shared" si="27"/>
        <v>420</v>
      </c>
      <c r="BA68" s="16">
        <f t="shared" si="28"/>
        <v>38100</v>
      </c>
    </row>
    <row r="69" spans="1:53" ht="16.5" x14ac:dyDescent="0.2">
      <c r="A69" s="19">
        <v>65</v>
      </c>
      <c r="B69" s="27">
        <v>10</v>
      </c>
      <c r="C69" s="41">
        <v>60</v>
      </c>
      <c r="D69" s="27">
        <f>INDEX(章节关卡!$C$6:$C$20,芦花古楼!B69)*芦花古楼!C69</f>
        <v>2640</v>
      </c>
      <c r="E69" s="24">
        <f t="shared" si="2"/>
        <v>65</v>
      </c>
      <c r="F69" s="24">
        <f t="shared" si="3"/>
        <v>85</v>
      </c>
      <c r="G69" s="16">
        <f>INDEX(章节关卡!$E$6:$E$20,芦花古楼!B69)*芦花古楼!C69</f>
        <v>5400</v>
      </c>
      <c r="J69" s="19">
        <v>65</v>
      </c>
      <c r="K69" s="27">
        <v>10</v>
      </c>
      <c r="L69" s="41">
        <v>120</v>
      </c>
      <c r="M69" s="27">
        <f>INDEX(章节关卡!$C$6:$C$20,芦花古楼!K69)*芦花古楼!L69</f>
        <v>5280</v>
      </c>
      <c r="N69" s="24">
        <f t="shared" si="4"/>
        <v>70</v>
      </c>
      <c r="O69" s="24">
        <f t="shared" si="5"/>
        <v>85</v>
      </c>
      <c r="P69" s="16">
        <f>INDEX(章节关卡!$E$6:$E$20,芦花古楼!K69)*芦花古楼!L69</f>
        <v>10800</v>
      </c>
      <c r="S69" s="19">
        <v>65</v>
      </c>
      <c r="T69" s="27">
        <v>12</v>
      </c>
      <c r="U69" s="41">
        <v>180</v>
      </c>
      <c r="V69" s="27">
        <f>INDEX(章节关卡!$C$6:$C$20,芦花古楼!T69)*芦花古楼!U69</f>
        <v>11700</v>
      </c>
      <c r="W69" s="24">
        <f t="shared" ref="W69:W104" si="37">INT((S69-1)/5+3)*5</f>
        <v>75</v>
      </c>
      <c r="X69" s="24">
        <f t="shared" ref="X69:X104" si="38">INT(S69/5)*5+20</f>
        <v>85</v>
      </c>
      <c r="Y69" s="16">
        <f>INDEX(章节关卡!$E$6:$E$20,芦花古楼!T69)*芦花古楼!U69</f>
        <v>23400</v>
      </c>
      <c r="AB69" s="19">
        <v>65</v>
      </c>
      <c r="AC69" s="27">
        <v>12</v>
      </c>
      <c r="AD69" s="41">
        <v>180</v>
      </c>
      <c r="AE69" s="27">
        <f>INDEX(章节关卡!$C$6:$C$20,芦花古楼!AC69)*芦花古楼!AD69</f>
        <v>11700</v>
      </c>
      <c r="AF69" s="24">
        <f t="shared" si="6"/>
        <v>80</v>
      </c>
      <c r="AG69" s="24">
        <f t="shared" si="7"/>
        <v>85</v>
      </c>
      <c r="AH69" s="16">
        <f>INDEX(章节关卡!$E$6:$E$20,芦花古楼!AC69)*芦花古楼!AD69</f>
        <v>23400</v>
      </c>
      <c r="AK69" s="20">
        <v>64</v>
      </c>
      <c r="AL69" s="20">
        <v>22</v>
      </c>
      <c r="AN69" s="20">
        <v>64</v>
      </c>
      <c r="AO69" s="20">
        <f t="shared" si="11"/>
        <v>23</v>
      </c>
      <c r="AQ69" s="20">
        <v>64</v>
      </c>
      <c r="AR69" s="20">
        <f t="shared" si="12"/>
        <v>24</v>
      </c>
      <c r="AT69" s="20">
        <v>64</v>
      </c>
      <c r="AU69" s="20">
        <f t="shared" si="13"/>
        <v>25</v>
      </c>
      <c r="AX69" s="20">
        <v>64</v>
      </c>
      <c r="AY69" s="16">
        <f t="shared" si="26"/>
        <v>95</v>
      </c>
      <c r="AZ69" s="16">
        <f t="shared" si="27"/>
        <v>420</v>
      </c>
      <c r="BA69" s="16">
        <f t="shared" si="28"/>
        <v>13200</v>
      </c>
    </row>
    <row r="70" spans="1:53" ht="16.5" x14ac:dyDescent="0.2">
      <c r="A70" s="19">
        <v>66</v>
      </c>
      <c r="B70" s="27">
        <v>10</v>
      </c>
      <c r="C70" s="41">
        <v>60</v>
      </c>
      <c r="D70" s="27">
        <f>INDEX(章节关卡!$C$6:$C$20,芦花古楼!B70)*芦花古楼!C70</f>
        <v>2640</v>
      </c>
      <c r="E70" s="24">
        <f t="shared" ref="E70:E104" si="39">INT((A70-1)/5+1)*5</f>
        <v>70</v>
      </c>
      <c r="F70" s="24">
        <f t="shared" ref="F70:F104" si="40">INT(A70/5)*5+20</f>
        <v>85</v>
      </c>
      <c r="G70" s="16">
        <f>INDEX(章节关卡!$E$6:$E$20,芦花古楼!B70)*芦花古楼!C70</f>
        <v>5400</v>
      </c>
      <c r="J70" s="19">
        <v>66</v>
      </c>
      <c r="K70" s="27">
        <v>10</v>
      </c>
      <c r="L70" s="41">
        <v>120</v>
      </c>
      <c r="M70" s="27">
        <f>INDEX(章节关卡!$C$6:$C$20,芦花古楼!K70)*芦花古楼!L70</f>
        <v>5280</v>
      </c>
      <c r="N70" s="24">
        <f t="shared" ref="N70:N104" si="41">INT((J70-1)/5+2)*5</f>
        <v>75</v>
      </c>
      <c r="O70" s="24">
        <f t="shared" ref="O70:O104" si="42">INT(J70/5)*5+20</f>
        <v>85</v>
      </c>
      <c r="P70" s="16">
        <f>INDEX(章节关卡!$E$6:$E$20,芦花古楼!K70)*芦花古楼!L70</f>
        <v>10800</v>
      </c>
      <c r="S70" s="19">
        <v>66</v>
      </c>
      <c r="T70" s="27">
        <v>12</v>
      </c>
      <c r="U70" s="41">
        <v>180</v>
      </c>
      <c r="V70" s="27">
        <f>INDEX(章节关卡!$C$6:$C$20,芦花古楼!T70)*芦花古楼!U70</f>
        <v>11700</v>
      </c>
      <c r="W70" s="24">
        <f t="shared" si="37"/>
        <v>80</v>
      </c>
      <c r="X70" s="24">
        <f t="shared" si="38"/>
        <v>85</v>
      </c>
      <c r="Y70" s="16">
        <f>INDEX(章节关卡!$E$6:$E$20,芦花古楼!T70)*芦花古楼!U70</f>
        <v>23400</v>
      </c>
      <c r="AB70" s="19">
        <v>66</v>
      </c>
      <c r="AC70" s="27">
        <v>12</v>
      </c>
      <c r="AD70" s="41">
        <v>180</v>
      </c>
      <c r="AE70" s="27">
        <f>INDEX(章节关卡!$C$6:$C$20,芦花古楼!AC70)*芦花古楼!AD70</f>
        <v>11700</v>
      </c>
      <c r="AF70" s="24">
        <f t="shared" ref="AF70:AF104" si="43">INT((AB70-1)/5+4)*5</f>
        <v>85</v>
      </c>
      <c r="AG70" s="24">
        <f t="shared" ref="AG70:AG104" si="44">INT(AB70/5)*5+20</f>
        <v>85</v>
      </c>
      <c r="AH70" s="16">
        <f>INDEX(章节关卡!$E$6:$E$20,芦花古楼!AC70)*芦花古楼!AD70</f>
        <v>23400</v>
      </c>
      <c r="AK70" s="20">
        <v>65</v>
      </c>
      <c r="AL70" s="20">
        <v>23</v>
      </c>
      <c r="AN70" s="20">
        <v>65</v>
      </c>
      <c r="AO70" s="20">
        <f t="shared" si="11"/>
        <v>24</v>
      </c>
      <c r="AQ70" s="20">
        <v>65</v>
      </c>
      <c r="AR70" s="20">
        <f t="shared" si="12"/>
        <v>25</v>
      </c>
      <c r="AT70" s="20">
        <v>65</v>
      </c>
      <c r="AU70" s="20">
        <f t="shared" si="13"/>
        <v>26</v>
      </c>
      <c r="AX70" s="20">
        <v>65</v>
      </c>
      <c r="AY70" s="16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6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6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</row>
    <row r="71" spans="1:53" ht="16.5" x14ac:dyDescent="0.2">
      <c r="A71" s="19">
        <v>67</v>
      </c>
      <c r="B71" s="27">
        <v>10</v>
      </c>
      <c r="C71" s="41">
        <v>60</v>
      </c>
      <c r="D71" s="27">
        <f>INDEX(章节关卡!$C$6:$C$20,芦花古楼!B71)*芦花古楼!C71</f>
        <v>2640</v>
      </c>
      <c r="E71" s="24">
        <f t="shared" si="39"/>
        <v>70</v>
      </c>
      <c r="F71" s="24">
        <f t="shared" si="40"/>
        <v>85</v>
      </c>
      <c r="G71" s="16">
        <f>INDEX(章节关卡!$E$6:$E$20,芦花古楼!B71)*芦花古楼!C71</f>
        <v>5400</v>
      </c>
      <c r="J71" s="19">
        <v>67</v>
      </c>
      <c r="K71" s="27">
        <v>10</v>
      </c>
      <c r="L71" s="41">
        <v>120</v>
      </c>
      <c r="M71" s="27">
        <f>INDEX(章节关卡!$C$6:$C$20,芦花古楼!K71)*芦花古楼!L71</f>
        <v>5280</v>
      </c>
      <c r="N71" s="24">
        <f t="shared" si="41"/>
        <v>75</v>
      </c>
      <c r="O71" s="24">
        <f t="shared" si="42"/>
        <v>85</v>
      </c>
      <c r="P71" s="16">
        <f>INDEX(章节关卡!$E$6:$E$20,芦花古楼!K71)*芦花古楼!L71</f>
        <v>10800</v>
      </c>
      <c r="S71" s="19">
        <v>67</v>
      </c>
      <c r="T71" s="27">
        <v>12</v>
      </c>
      <c r="U71" s="41">
        <v>180</v>
      </c>
      <c r="V71" s="27">
        <f>INDEX(章节关卡!$C$6:$C$20,芦花古楼!T71)*芦花古楼!U71</f>
        <v>11700</v>
      </c>
      <c r="W71" s="24">
        <f t="shared" si="37"/>
        <v>80</v>
      </c>
      <c r="X71" s="24">
        <f t="shared" si="38"/>
        <v>85</v>
      </c>
      <c r="Y71" s="16">
        <f>INDEX(章节关卡!$E$6:$E$20,芦花古楼!T71)*芦花古楼!U71</f>
        <v>23400</v>
      </c>
      <c r="AB71" s="19">
        <v>67</v>
      </c>
      <c r="AC71" s="27">
        <v>12</v>
      </c>
      <c r="AD71" s="41">
        <v>180</v>
      </c>
      <c r="AE71" s="27">
        <f>INDEX(章节关卡!$C$6:$C$20,芦花古楼!AC71)*芦花古楼!AD71</f>
        <v>11700</v>
      </c>
      <c r="AF71" s="24">
        <f t="shared" si="43"/>
        <v>85</v>
      </c>
      <c r="AG71" s="24">
        <f t="shared" si="44"/>
        <v>85</v>
      </c>
      <c r="AH71" s="16">
        <f>INDEX(章节关卡!$E$6:$E$20,芦花古楼!AC71)*芦花古楼!AD71</f>
        <v>23400</v>
      </c>
      <c r="AK71" s="20">
        <v>66</v>
      </c>
      <c r="AL71" s="20">
        <v>24</v>
      </c>
      <c r="AN71" s="20">
        <v>66</v>
      </c>
      <c r="AO71" s="20">
        <f t="shared" ref="AO71:AO105" si="48">AL71+1</f>
        <v>25</v>
      </c>
      <c r="AQ71" s="20">
        <v>66</v>
      </c>
      <c r="AR71" s="20">
        <f t="shared" ref="AR71:AR105" si="49">AO71+1</f>
        <v>26</v>
      </c>
      <c r="AT71" s="20">
        <v>66</v>
      </c>
      <c r="AU71" s="20">
        <f t="shared" ref="AU71:AU105" si="50">AR71+1</f>
        <v>27</v>
      </c>
      <c r="AX71" s="20">
        <v>66</v>
      </c>
      <c r="AY71" s="16">
        <f t="shared" si="45"/>
        <v>195</v>
      </c>
      <c r="AZ71" s="16">
        <f t="shared" si="46"/>
        <v>420</v>
      </c>
      <c r="BA71" s="16">
        <f t="shared" si="47"/>
        <v>38100</v>
      </c>
    </row>
    <row r="72" spans="1:53" ht="16.5" x14ac:dyDescent="0.2">
      <c r="A72" s="19">
        <v>68</v>
      </c>
      <c r="B72" s="27">
        <v>10</v>
      </c>
      <c r="C72" s="41">
        <v>60</v>
      </c>
      <c r="D72" s="27">
        <f>INDEX(章节关卡!$C$6:$C$20,芦花古楼!B72)*芦花古楼!C72</f>
        <v>2640</v>
      </c>
      <c r="E72" s="24">
        <f t="shared" si="39"/>
        <v>70</v>
      </c>
      <c r="F72" s="24">
        <f t="shared" si="40"/>
        <v>85</v>
      </c>
      <c r="G72" s="16">
        <f>INDEX(章节关卡!$E$6:$E$20,芦花古楼!B72)*芦花古楼!C72</f>
        <v>5400</v>
      </c>
      <c r="J72" s="19">
        <v>68</v>
      </c>
      <c r="K72" s="27">
        <v>10</v>
      </c>
      <c r="L72" s="41">
        <v>120</v>
      </c>
      <c r="M72" s="27">
        <f>INDEX(章节关卡!$C$6:$C$20,芦花古楼!K72)*芦花古楼!L72</f>
        <v>5280</v>
      </c>
      <c r="N72" s="24">
        <f t="shared" si="41"/>
        <v>75</v>
      </c>
      <c r="O72" s="24">
        <f t="shared" si="42"/>
        <v>85</v>
      </c>
      <c r="P72" s="16">
        <f>INDEX(章节关卡!$E$6:$E$20,芦花古楼!K72)*芦花古楼!L72</f>
        <v>10800</v>
      </c>
      <c r="S72" s="19">
        <v>68</v>
      </c>
      <c r="T72" s="27">
        <v>12</v>
      </c>
      <c r="U72" s="41">
        <v>180</v>
      </c>
      <c r="V72" s="27">
        <f>INDEX(章节关卡!$C$6:$C$20,芦花古楼!T72)*芦花古楼!U72</f>
        <v>11700</v>
      </c>
      <c r="W72" s="24">
        <f t="shared" si="37"/>
        <v>80</v>
      </c>
      <c r="X72" s="24">
        <f t="shared" si="38"/>
        <v>85</v>
      </c>
      <c r="Y72" s="16">
        <f>INDEX(章节关卡!$E$6:$E$20,芦花古楼!T72)*芦花古楼!U72</f>
        <v>23400</v>
      </c>
      <c r="AB72" s="19">
        <v>68</v>
      </c>
      <c r="AC72" s="27">
        <v>12</v>
      </c>
      <c r="AD72" s="41">
        <v>180</v>
      </c>
      <c r="AE72" s="27">
        <f>INDEX(章节关卡!$C$6:$C$20,芦花古楼!AC72)*芦花古楼!AD72</f>
        <v>11700</v>
      </c>
      <c r="AF72" s="24">
        <f t="shared" si="43"/>
        <v>85</v>
      </c>
      <c r="AG72" s="24">
        <f t="shared" si="44"/>
        <v>85</v>
      </c>
      <c r="AH72" s="16">
        <f>INDEX(章节关卡!$E$6:$E$20,芦花古楼!AC72)*芦花古楼!AD72</f>
        <v>23400</v>
      </c>
      <c r="AK72" s="20">
        <v>67</v>
      </c>
      <c r="AL72" s="20">
        <v>25</v>
      </c>
      <c r="AN72" s="20">
        <v>67</v>
      </c>
      <c r="AO72" s="20">
        <f t="shared" si="48"/>
        <v>26</v>
      </c>
      <c r="AQ72" s="20">
        <v>67</v>
      </c>
      <c r="AR72" s="20">
        <f t="shared" si="49"/>
        <v>27</v>
      </c>
      <c r="AT72" s="20">
        <v>67</v>
      </c>
      <c r="AU72" s="20">
        <f t="shared" si="50"/>
        <v>28</v>
      </c>
      <c r="AX72" s="20">
        <v>67</v>
      </c>
      <c r="AY72" s="16">
        <f t="shared" si="45"/>
        <v>95</v>
      </c>
      <c r="AZ72" s="16">
        <f t="shared" si="46"/>
        <v>420</v>
      </c>
      <c r="BA72" s="16">
        <f t="shared" si="47"/>
        <v>13200</v>
      </c>
    </row>
    <row r="73" spans="1:53" ht="16.5" x14ac:dyDescent="0.2">
      <c r="A73" s="19">
        <v>69</v>
      </c>
      <c r="B73" s="27">
        <v>10</v>
      </c>
      <c r="C73" s="41">
        <v>60</v>
      </c>
      <c r="D73" s="27">
        <f>INDEX(章节关卡!$C$6:$C$20,芦花古楼!B73)*芦花古楼!C73</f>
        <v>2640</v>
      </c>
      <c r="E73" s="24">
        <f t="shared" si="39"/>
        <v>70</v>
      </c>
      <c r="F73" s="24">
        <f t="shared" si="40"/>
        <v>85</v>
      </c>
      <c r="G73" s="16">
        <f>INDEX(章节关卡!$E$6:$E$20,芦花古楼!B73)*芦花古楼!C73</f>
        <v>5400</v>
      </c>
      <c r="J73" s="19">
        <v>69</v>
      </c>
      <c r="K73" s="27">
        <v>10</v>
      </c>
      <c r="L73" s="41">
        <v>120</v>
      </c>
      <c r="M73" s="27">
        <f>INDEX(章节关卡!$C$6:$C$20,芦花古楼!K73)*芦花古楼!L73</f>
        <v>5280</v>
      </c>
      <c r="N73" s="24">
        <f t="shared" si="41"/>
        <v>75</v>
      </c>
      <c r="O73" s="24">
        <f t="shared" si="42"/>
        <v>85</v>
      </c>
      <c r="P73" s="16">
        <f>INDEX(章节关卡!$E$6:$E$20,芦花古楼!K73)*芦花古楼!L73</f>
        <v>10800</v>
      </c>
      <c r="S73" s="19">
        <v>69</v>
      </c>
      <c r="T73" s="27">
        <v>12</v>
      </c>
      <c r="U73" s="41">
        <v>180</v>
      </c>
      <c r="V73" s="27">
        <f>INDEX(章节关卡!$C$6:$C$20,芦花古楼!T73)*芦花古楼!U73</f>
        <v>11700</v>
      </c>
      <c r="W73" s="24">
        <f t="shared" si="37"/>
        <v>80</v>
      </c>
      <c r="X73" s="24">
        <f t="shared" si="38"/>
        <v>85</v>
      </c>
      <c r="Y73" s="16">
        <f>INDEX(章节关卡!$E$6:$E$20,芦花古楼!T73)*芦花古楼!U73</f>
        <v>23400</v>
      </c>
      <c r="AB73" s="19">
        <v>69</v>
      </c>
      <c r="AC73" s="27">
        <v>12</v>
      </c>
      <c r="AD73" s="41">
        <v>180</v>
      </c>
      <c r="AE73" s="27">
        <f>INDEX(章节关卡!$C$6:$C$20,芦花古楼!AC73)*芦花古楼!AD73</f>
        <v>11700</v>
      </c>
      <c r="AF73" s="24">
        <f t="shared" si="43"/>
        <v>85</v>
      </c>
      <c r="AG73" s="24">
        <f t="shared" si="44"/>
        <v>85</v>
      </c>
      <c r="AH73" s="16">
        <f>INDEX(章节关卡!$E$6:$E$20,芦花古楼!AC73)*芦花古楼!AD73</f>
        <v>23400</v>
      </c>
      <c r="AK73" s="20">
        <v>68</v>
      </c>
      <c r="AL73" s="20">
        <v>26</v>
      </c>
      <c r="AN73" s="20">
        <v>68</v>
      </c>
      <c r="AO73" s="20">
        <f t="shared" si="48"/>
        <v>27</v>
      </c>
      <c r="AQ73" s="20">
        <v>68</v>
      </c>
      <c r="AR73" s="20">
        <f t="shared" si="49"/>
        <v>28</v>
      </c>
      <c r="AT73" s="20">
        <v>68</v>
      </c>
      <c r="AU73" s="20">
        <f t="shared" si="50"/>
        <v>29</v>
      </c>
      <c r="AX73" s="20">
        <v>68</v>
      </c>
      <c r="AY73" s="16">
        <f t="shared" si="45"/>
        <v>100</v>
      </c>
      <c r="AZ73" s="16">
        <f t="shared" si="46"/>
        <v>420</v>
      </c>
      <c r="BA73" s="16">
        <f t="shared" si="47"/>
        <v>31500</v>
      </c>
    </row>
    <row r="74" spans="1:53" ht="16.5" x14ac:dyDescent="0.2">
      <c r="A74" s="19">
        <v>70</v>
      </c>
      <c r="B74" s="27">
        <v>10</v>
      </c>
      <c r="C74" s="41">
        <v>60</v>
      </c>
      <c r="D74" s="27">
        <f>INDEX(章节关卡!$C$6:$C$20,芦花古楼!B74)*芦花古楼!C74</f>
        <v>2640</v>
      </c>
      <c r="E74" s="24">
        <f t="shared" si="39"/>
        <v>70</v>
      </c>
      <c r="F74" s="24">
        <f t="shared" si="40"/>
        <v>90</v>
      </c>
      <c r="G74" s="16">
        <f>INDEX(章节关卡!$E$6:$E$20,芦花古楼!B74)*芦花古楼!C74</f>
        <v>5400</v>
      </c>
      <c r="J74" s="19">
        <v>70</v>
      </c>
      <c r="K74" s="27">
        <v>10</v>
      </c>
      <c r="L74" s="41">
        <v>120</v>
      </c>
      <c r="M74" s="27">
        <f>INDEX(章节关卡!$C$6:$C$20,芦花古楼!K74)*芦花古楼!L74</f>
        <v>5280</v>
      </c>
      <c r="N74" s="24">
        <f t="shared" si="41"/>
        <v>75</v>
      </c>
      <c r="O74" s="24">
        <f t="shared" si="42"/>
        <v>90</v>
      </c>
      <c r="P74" s="16">
        <f>INDEX(章节关卡!$E$6:$E$20,芦花古楼!K74)*芦花古楼!L74</f>
        <v>10800</v>
      </c>
      <c r="S74" s="19">
        <v>70</v>
      </c>
      <c r="T74" s="27">
        <v>13</v>
      </c>
      <c r="U74" s="41">
        <v>180</v>
      </c>
      <c r="V74" s="27">
        <f>INDEX(章节关卡!$C$6:$C$20,芦花古楼!T74)*芦花古楼!U74</f>
        <v>14400</v>
      </c>
      <c r="W74" s="24">
        <f t="shared" si="37"/>
        <v>80</v>
      </c>
      <c r="X74" s="24">
        <f t="shared" si="38"/>
        <v>90</v>
      </c>
      <c r="Y74" s="16">
        <f>INDEX(章节关卡!$E$6:$E$20,芦花古楼!T74)*芦花古楼!U74</f>
        <v>27000</v>
      </c>
      <c r="AB74" s="19">
        <v>70</v>
      </c>
      <c r="AC74" s="27">
        <v>13</v>
      </c>
      <c r="AD74" s="41">
        <v>180</v>
      </c>
      <c r="AE74" s="27">
        <f>INDEX(章节关卡!$C$6:$C$20,芦花古楼!AC74)*芦花古楼!AD74</f>
        <v>14400</v>
      </c>
      <c r="AF74" s="24">
        <f t="shared" si="43"/>
        <v>85</v>
      </c>
      <c r="AG74" s="24">
        <f t="shared" si="44"/>
        <v>90</v>
      </c>
      <c r="AH74" s="16">
        <f>INDEX(章节关卡!$E$6:$E$20,芦花古楼!AC74)*芦花古楼!AD74</f>
        <v>27000</v>
      </c>
      <c r="AK74" s="20">
        <v>69</v>
      </c>
      <c r="AL74" s="20">
        <v>27</v>
      </c>
      <c r="AN74" s="20">
        <v>69</v>
      </c>
      <c r="AO74" s="20">
        <f t="shared" si="48"/>
        <v>28</v>
      </c>
      <c r="AQ74" s="20">
        <v>69</v>
      </c>
      <c r="AR74" s="20">
        <f t="shared" si="49"/>
        <v>29</v>
      </c>
      <c r="AT74" s="20">
        <v>69</v>
      </c>
      <c r="AU74" s="20">
        <f t="shared" si="50"/>
        <v>30</v>
      </c>
      <c r="AX74" s="20">
        <v>69</v>
      </c>
      <c r="AY74" s="16">
        <f t="shared" si="45"/>
        <v>195</v>
      </c>
      <c r="AZ74" s="16">
        <f t="shared" si="46"/>
        <v>425</v>
      </c>
      <c r="BA74" s="16">
        <f t="shared" si="47"/>
        <v>39300</v>
      </c>
    </row>
    <row r="75" spans="1:53" ht="16.5" x14ac:dyDescent="0.2">
      <c r="A75" s="24">
        <v>71</v>
      </c>
      <c r="B75" s="27">
        <v>10</v>
      </c>
      <c r="C75" s="41">
        <v>60</v>
      </c>
      <c r="D75" s="27">
        <f>INDEX(章节关卡!$C$6:$C$20,芦花古楼!B75)*芦花古楼!C75</f>
        <v>2640</v>
      </c>
      <c r="E75" s="24">
        <f t="shared" si="39"/>
        <v>75</v>
      </c>
      <c r="F75" s="24">
        <f t="shared" si="40"/>
        <v>90</v>
      </c>
      <c r="G75" s="16">
        <f>INDEX(章节关卡!$E$6:$E$20,芦花古楼!B75)*芦花古楼!C75</f>
        <v>5400</v>
      </c>
      <c r="J75" s="24">
        <v>71</v>
      </c>
      <c r="K75" s="27">
        <v>10</v>
      </c>
      <c r="L75" s="41">
        <v>120</v>
      </c>
      <c r="M75" s="27">
        <f>INDEX(章节关卡!$C$6:$C$20,芦花古楼!K75)*芦花古楼!L75</f>
        <v>5280</v>
      </c>
      <c r="N75" s="24">
        <f t="shared" si="41"/>
        <v>80</v>
      </c>
      <c r="O75" s="24">
        <f t="shared" si="42"/>
        <v>90</v>
      </c>
      <c r="P75" s="16">
        <f>INDEX(章节关卡!$E$6:$E$20,芦花古楼!K75)*芦花古楼!L75</f>
        <v>10800</v>
      </c>
      <c r="S75" s="24">
        <v>71</v>
      </c>
      <c r="T75" s="27">
        <v>13</v>
      </c>
      <c r="U75" s="41">
        <v>180</v>
      </c>
      <c r="V75" s="27">
        <f>INDEX(章节关卡!$C$6:$C$20,芦花古楼!T75)*芦花古楼!U75</f>
        <v>14400</v>
      </c>
      <c r="W75" s="24">
        <f t="shared" si="37"/>
        <v>85</v>
      </c>
      <c r="X75" s="24">
        <f t="shared" si="38"/>
        <v>90</v>
      </c>
      <c r="Y75" s="16">
        <f>INDEX(章节关卡!$E$6:$E$20,芦花古楼!T75)*芦花古楼!U75</f>
        <v>27000</v>
      </c>
      <c r="AB75" s="24">
        <v>71</v>
      </c>
      <c r="AC75" s="27">
        <v>13</v>
      </c>
      <c r="AD75" s="41">
        <v>180</v>
      </c>
      <c r="AE75" s="27">
        <f>INDEX(章节关卡!$C$6:$C$20,芦花古楼!AC75)*芦花古楼!AD75</f>
        <v>14400</v>
      </c>
      <c r="AF75" s="24">
        <f t="shared" si="43"/>
        <v>90</v>
      </c>
      <c r="AG75" s="24">
        <f t="shared" si="44"/>
        <v>90</v>
      </c>
      <c r="AH75" s="16">
        <f>INDEX(章节关卡!$E$6:$E$20,芦花古楼!AC75)*芦花古楼!AD75</f>
        <v>27000</v>
      </c>
      <c r="AK75" s="20">
        <v>70</v>
      </c>
      <c r="AL75" s="20">
        <v>28</v>
      </c>
      <c r="AN75" s="20">
        <v>70</v>
      </c>
      <c r="AO75" s="20">
        <f t="shared" si="48"/>
        <v>29</v>
      </c>
      <c r="AQ75" s="20">
        <v>70</v>
      </c>
      <c r="AR75" s="20">
        <f t="shared" si="49"/>
        <v>30</v>
      </c>
      <c r="AT75" s="20">
        <v>70</v>
      </c>
      <c r="AU75" s="20">
        <f t="shared" si="50"/>
        <v>31</v>
      </c>
      <c r="AX75" s="20">
        <v>70</v>
      </c>
      <c r="AY75" s="16">
        <f t="shared" si="45"/>
        <v>95</v>
      </c>
      <c r="AZ75" s="16">
        <f t="shared" si="46"/>
        <v>430</v>
      </c>
      <c r="BA75" s="16">
        <f t="shared" si="47"/>
        <v>15600</v>
      </c>
    </row>
    <row r="76" spans="1:53" ht="16.5" x14ac:dyDescent="0.2">
      <c r="A76" s="24">
        <v>72</v>
      </c>
      <c r="B76" s="27">
        <v>10</v>
      </c>
      <c r="C76" s="41">
        <v>60</v>
      </c>
      <c r="D76" s="27">
        <f>INDEX(章节关卡!$C$6:$C$20,芦花古楼!B76)*芦花古楼!C76</f>
        <v>2640</v>
      </c>
      <c r="E76" s="24">
        <f t="shared" si="39"/>
        <v>75</v>
      </c>
      <c r="F76" s="24">
        <f t="shared" si="40"/>
        <v>90</v>
      </c>
      <c r="G76" s="16">
        <f>INDEX(章节关卡!$E$6:$E$20,芦花古楼!B76)*芦花古楼!C76</f>
        <v>5400</v>
      </c>
      <c r="J76" s="24">
        <v>72</v>
      </c>
      <c r="K76" s="27">
        <v>10</v>
      </c>
      <c r="L76" s="41">
        <v>120</v>
      </c>
      <c r="M76" s="27">
        <f>INDEX(章节关卡!$C$6:$C$20,芦花古楼!K76)*芦花古楼!L76</f>
        <v>5280</v>
      </c>
      <c r="N76" s="24">
        <f t="shared" si="41"/>
        <v>80</v>
      </c>
      <c r="O76" s="24">
        <f t="shared" si="42"/>
        <v>90</v>
      </c>
      <c r="P76" s="16">
        <f>INDEX(章节关卡!$E$6:$E$20,芦花古楼!K76)*芦花古楼!L76</f>
        <v>10800</v>
      </c>
      <c r="S76" s="24">
        <v>72</v>
      </c>
      <c r="T76" s="27">
        <v>13</v>
      </c>
      <c r="U76" s="41">
        <v>180</v>
      </c>
      <c r="V76" s="27">
        <f>INDEX(章节关卡!$C$6:$C$20,芦花古楼!T76)*芦花古楼!U76</f>
        <v>14400</v>
      </c>
      <c r="W76" s="24">
        <f t="shared" si="37"/>
        <v>85</v>
      </c>
      <c r="X76" s="24">
        <f t="shared" si="38"/>
        <v>90</v>
      </c>
      <c r="Y76" s="16">
        <f>INDEX(章节关卡!$E$6:$E$20,芦花古楼!T76)*芦花古楼!U76</f>
        <v>27000</v>
      </c>
      <c r="AB76" s="24">
        <v>72</v>
      </c>
      <c r="AC76" s="27">
        <v>13</v>
      </c>
      <c r="AD76" s="41">
        <v>180</v>
      </c>
      <c r="AE76" s="27">
        <f>INDEX(章节关卡!$C$6:$C$20,芦花古楼!AC76)*芦花古楼!AD76</f>
        <v>14400</v>
      </c>
      <c r="AF76" s="24">
        <f t="shared" si="43"/>
        <v>90</v>
      </c>
      <c r="AG76" s="24">
        <f t="shared" si="44"/>
        <v>90</v>
      </c>
      <c r="AH76" s="16">
        <f>INDEX(章节关卡!$E$6:$E$20,芦花古楼!AC76)*芦花古楼!AD76</f>
        <v>27000</v>
      </c>
      <c r="AK76" s="20">
        <v>71</v>
      </c>
      <c r="AL76" s="20">
        <v>29</v>
      </c>
      <c r="AN76" s="20">
        <v>71</v>
      </c>
      <c r="AO76" s="20">
        <f t="shared" si="48"/>
        <v>30</v>
      </c>
      <c r="AQ76" s="20">
        <v>71</v>
      </c>
      <c r="AR76" s="20">
        <f t="shared" si="49"/>
        <v>31</v>
      </c>
      <c r="AT76" s="20">
        <v>71</v>
      </c>
      <c r="AU76" s="20">
        <f t="shared" si="50"/>
        <v>32</v>
      </c>
      <c r="AX76" s="20">
        <v>71</v>
      </c>
      <c r="AY76" s="16">
        <f t="shared" si="45"/>
        <v>100</v>
      </c>
      <c r="AZ76" s="16">
        <f t="shared" si="46"/>
        <v>435</v>
      </c>
      <c r="BA76" s="16">
        <f t="shared" si="47"/>
        <v>36000</v>
      </c>
    </row>
    <row r="77" spans="1:53" ht="16.5" x14ac:dyDescent="0.2">
      <c r="A77" s="24">
        <v>73</v>
      </c>
      <c r="B77" s="27">
        <v>10</v>
      </c>
      <c r="C77" s="41">
        <v>60</v>
      </c>
      <c r="D77" s="27">
        <f>INDEX(章节关卡!$C$6:$C$20,芦花古楼!B77)*芦花古楼!C77</f>
        <v>2640</v>
      </c>
      <c r="E77" s="24">
        <f t="shared" si="39"/>
        <v>75</v>
      </c>
      <c r="F77" s="24">
        <f t="shared" si="40"/>
        <v>90</v>
      </c>
      <c r="G77" s="16">
        <f>INDEX(章节关卡!$E$6:$E$20,芦花古楼!B77)*芦花古楼!C77</f>
        <v>5400</v>
      </c>
      <c r="J77" s="24">
        <v>73</v>
      </c>
      <c r="K77" s="27">
        <v>10</v>
      </c>
      <c r="L77" s="41">
        <v>120</v>
      </c>
      <c r="M77" s="27">
        <f>INDEX(章节关卡!$C$6:$C$20,芦花古楼!K77)*芦花古楼!L77</f>
        <v>5280</v>
      </c>
      <c r="N77" s="24">
        <f t="shared" si="41"/>
        <v>80</v>
      </c>
      <c r="O77" s="24">
        <f t="shared" si="42"/>
        <v>90</v>
      </c>
      <c r="P77" s="16">
        <f>INDEX(章节关卡!$E$6:$E$20,芦花古楼!K77)*芦花古楼!L77</f>
        <v>10800</v>
      </c>
      <c r="S77" s="24">
        <v>73</v>
      </c>
      <c r="T77" s="27">
        <v>13</v>
      </c>
      <c r="U77" s="41">
        <v>180</v>
      </c>
      <c r="V77" s="27">
        <f>INDEX(章节关卡!$C$6:$C$20,芦花古楼!T77)*芦花古楼!U77</f>
        <v>14400</v>
      </c>
      <c r="W77" s="24">
        <f t="shared" si="37"/>
        <v>85</v>
      </c>
      <c r="X77" s="24">
        <f t="shared" si="38"/>
        <v>90</v>
      </c>
      <c r="Y77" s="16">
        <f>INDEX(章节关卡!$E$6:$E$20,芦花古楼!T77)*芦花古楼!U77</f>
        <v>27000</v>
      </c>
      <c r="AB77" s="24">
        <v>73</v>
      </c>
      <c r="AC77" s="27">
        <v>13</v>
      </c>
      <c r="AD77" s="41">
        <v>180</v>
      </c>
      <c r="AE77" s="27">
        <f>INDEX(章节关卡!$C$6:$C$20,芦花古楼!AC77)*芦花古楼!AD77</f>
        <v>14400</v>
      </c>
      <c r="AF77" s="24">
        <f t="shared" si="43"/>
        <v>90</v>
      </c>
      <c r="AG77" s="24">
        <f t="shared" si="44"/>
        <v>90</v>
      </c>
      <c r="AH77" s="16">
        <f>INDEX(章节关卡!$E$6:$E$20,芦花古楼!AC77)*芦花古楼!AD77</f>
        <v>27000</v>
      </c>
      <c r="AK77" s="20">
        <v>72</v>
      </c>
      <c r="AL77" s="20">
        <v>30</v>
      </c>
      <c r="AN77" s="20">
        <v>72</v>
      </c>
      <c r="AO77" s="20">
        <f t="shared" si="48"/>
        <v>31</v>
      </c>
      <c r="AQ77" s="20">
        <v>72</v>
      </c>
      <c r="AR77" s="20">
        <f t="shared" si="49"/>
        <v>32</v>
      </c>
      <c r="AT77" s="20">
        <v>72</v>
      </c>
      <c r="AU77" s="20">
        <f t="shared" si="50"/>
        <v>33</v>
      </c>
      <c r="AX77" s="20">
        <v>72</v>
      </c>
      <c r="AY77" s="16">
        <f t="shared" si="45"/>
        <v>200</v>
      </c>
      <c r="AZ77" s="16">
        <f t="shared" si="46"/>
        <v>440</v>
      </c>
      <c r="BA77" s="16">
        <f t="shared" si="47"/>
        <v>43800</v>
      </c>
    </row>
    <row r="78" spans="1:53" ht="16.5" x14ac:dyDescent="0.2">
      <c r="A78" s="24">
        <v>74</v>
      </c>
      <c r="B78" s="27">
        <v>10</v>
      </c>
      <c r="C78" s="41">
        <v>60</v>
      </c>
      <c r="D78" s="27">
        <f>INDEX(章节关卡!$C$6:$C$20,芦花古楼!B78)*芦花古楼!C78</f>
        <v>2640</v>
      </c>
      <c r="E78" s="24">
        <f t="shared" si="39"/>
        <v>75</v>
      </c>
      <c r="F78" s="24">
        <f t="shared" si="40"/>
        <v>90</v>
      </c>
      <c r="G78" s="16">
        <f>INDEX(章节关卡!$E$6:$E$20,芦花古楼!B78)*芦花古楼!C78</f>
        <v>5400</v>
      </c>
      <c r="J78" s="24">
        <v>74</v>
      </c>
      <c r="K78" s="27">
        <v>10</v>
      </c>
      <c r="L78" s="41">
        <v>120</v>
      </c>
      <c r="M78" s="27">
        <f>INDEX(章节关卡!$C$6:$C$20,芦花古楼!K78)*芦花古楼!L78</f>
        <v>5280</v>
      </c>
      <c r="N78" s="24">
        <f t="shared" si="41"/>
        <v>80</v>
      </c>
      <c r="O78" s="24">
        <f t="shared" si="42"/>
        <v>90</v>
      </c>
      <c r="P78" s="16">
        <f>INDEX(章节关卡!$E$6:$E$20,芦花古楼!K78)*芦花古楼!L78</f>
        <v>10800</v>
      </c>
      <c r="S78" s="24">
        <v>74</v>
      </c>
      <c r="T78" s="27">
        <v>13</v>
      </c>
      <c r="U78" s="41">
        <v>180</v>
      </c>
      <c r="V78" s="27">
        <f>INDEX(章节关卡!$C$6:$C$20,芦花古楼!T78)*芦花古楼!U78</f>
        <v>14400</v>
      </c>
      <c r="W78" s="24">
        <f t="shared" si="37"/>
        <v>85</v>
      </c>
      <c r="X78" s="24">
        <f t="shared" si="38"/>
        <v>90</v>
      </c>
      <c r="Y78" s="16">
        <f>INDEX(章节关卡!$E$6:$E$20,芦花古楼!T78)*芦花古楼!U78</f>
        <v>27000</v>
      </c>
      <c r="AB78" s="24">
        <v>74</v>
      </c>
      <c r="AC78" s="27">
        <v>13</v>
      </c>
      <c r="AD78" s="41">
        <v>180</v>
      </c>
      <c r="AE78" s="27">
        <f>INDEX(章节关卡!$C$6:$C$20,芦花古楼!AC78)*芦花古楼!AD78</f>
        <v>14400</v>
      </c>
      <c r="AF78" s="24">
        <f t="shared" si="43"/>
        <v>90</v>
      </c>
      <c r="AG78" s="24">
        <f t="shared" si="44"/>
        <v>90</v>
      </c>
      <c r="AH78" s="16">
        <f>INDEX(章节关卡!$E$6:$E$20,芦花古楼!AC78)*芦花古楼!AD78</f>
        <v>27000</v>
      </c>
      <c r="AK78" s="20">
        <v>73</v>
      </c>
      <c r="AL78" s="20">
        <v>32</v>
      </c>
      <c r="AN78" s="20">
        <v>73</v>
      </c>
      <c r="AO78" s="20">
        <f t="shared" si="48"/>
        <v>33</v>
      </c>
      <c r="AQ78" s="20">
        <v>73</v>
      </c>
      <c r="AR78" s="20">
        <f t="shared" si="49"/>
        <v>34</v>
      </c>
      <c r="AT78" s="20">
        <v>73</v>
      </c>
      <c r="AU78" s="20">
        <f t="shared" si="50"/>
        <v>35</v>
      </c>
      <c r="AX78" s="20">
        <v>73</v>
      </c>
      <c r="AY78" s="16">
        <f t="shared" si="45"/>
        <v>100</v>
      </c>
      <c r="AZ78" s="16">
        <f t="shared" si="46"/>
        <v>440</v>
      </c>
      <c r="BA78" s="16">
        <f t="shared" si="47"/>
        <v>15600</v>
      </c>
    </row>
    <row r="79" spans="1:53" ht="16.5" x14ac:dyDescent="0.2">
      <c r="A79" s="24">
        <v>75</v>
      </c>
      <c r="B79" s="27">
        <v>11</v>
      </c>
      <c r="C79" s="41">
        <v>60</v>
      </c>
      <c r="D79" s="27">
        <f>INDEX(章节关卡!$C$6:$C$20,芦花古楼!B79)*芦花古楼!C79</f>
        <v>3180</v>
      </c>
      <c r="E79" s="24">
        <f t="shared" si="39"/>
        <v>75</v>
      </c>
      <c r="F79" s="24">
        <f t="shared" si="40"/>
        <v>95</v>
      </c>
      <c r="G79" s="16">
        <f>INDEX(章节关卡!$E$6:$E$20,芦花古楼!B79)*芦花古楼!C79</f>
        <v>6600</v>
      </c>
      <c r="J79" s="24">
        <v>75</v>
      </c>
      <c r="K79" s="27">
        <v>11</v>
      </c>
      <c r="L79" s="41">
        <v>120</v>
      </c>
      <c r="M79" s="27">
        <f>INDEX(章节关卡!$C$6:$C$20,芦花古楼!K79)*芦花古楼!L79</f>
        <v>6360</v>
      </c>
      <c r="N79" s="24">
        <f t="shared" si="41"/>
        <v>80</v>
      </c>
      <c r="O79" s="24">
        <f t="shared" si="42"/>
        <v>95</v>
      </c>
      <c r="P79" s="16">
        <f>INDEX(章节关卡!$E$6:$E$20,芦花古楼!K79)*芦花古楼!L79</f>
        <v>13200</v>
      </c>
      <c r="S79" s="24">
        <v>75</v>
      </c>
      <c r="T79" s="27">
        <v>13</v>
      </c>
      <c r="U79" s="41">
        <v>180</v>
      </c>
      <c r="V79" s="27">
        <f>INDEX(章节关卡!$C$6:$C$20,芦花古楼!T79)*芦花古楼!U79</f>
        <v>14400</v>
      </c>
      <c r="W79" s="24">
        <f t="shared" si="37"/>
        <v>85</v>
      </c>
      <c r="X79" s="24">
        <f t="shared" si="38"/>
        <v>95</v>
      </c>
      <c r="Y79" s="16">
        <f>INDEX(章节关卡!$E$6:$E$20,芦花古楼!T79)*芦花古楼!U79</f>
        <v>27000</v>
      </c>
      <c r="AB79" s="24">
        <v>75</v>
      </c>
      <c r="AC79" s="27">
        <v>13</v>
      </c>
      <c r="AD79" s="41">
        <v>180</v>
      </c>
      <c r="AE79" s="27">
        <f>INDEX(章节关卡!$C$6:$C$20,芦花古楼!AC79)*芦花古楼!AD79</f>
        <v>14400</v>
      </c>
      <c r="AF79" s="24">
        <f t="shared" si="43"/>
        <v>90</v>
      </c>
      <c r="AG79" s="24">
        <f t="shared" si="44"/>
        <v>95</v>
      </c>
      <c r="AH79" s="16">
        <f>INDEX(章节关卡!$E$6:$E$20,芦花古楼!AC79)*芦花古楼!AD79</f>
        <v>27000</v>
      </c>
      <c r="AK79" s="20">
        <v>74</v>
      </c>
      <c r="AL79" s="20">
        <v>34</v>
      </c>
      <c r="AN79" s="20">
        <v>74</v>
      </c>
      <c r="AO79" s="20">
        <f t="shared" si="48"/>
        <v>35</v>
      </c>
      <c r="AQ79" s="20">
        <v>74</v>
      </c>
      <c r="AR79" s="20">
        <f t="shared" si="49"/>
        <v>36</v>
      </c>
      <c r="AT79" s="20">
        <v>74</v>
      </c>
      <c r="AU79" s="20">
        <f t="shared" si="50"/>
        <v>37</v>
      </c>
      <c r="AX79" s="20">
        <v>74</v>
      </c>
      <c r="AY79" s="16">
        <f t="shared" si="45"/>
        <v>105</v>
      </c>
      <c r="AZ79" s="16">
        <f t="shared" si="46"/>
        <v>440</v>
      </c>
      <c r="BA79" s="16">
        <f t="shared" si="47"/>
        <v>36000</v>
      </c>
    </row>
    <row r="80" spans="1:53" ht="16.5" x14ac:dyDescent="0.2">
      <c r="A80" s="24">
        <v>76</v>
      </c>
      <c r="B80" s="27">
        <v>11</v>
      </c>
      <c r="C80" s="41">
        <v>60</v>
      </c>
      <c r="D80" s="27">
        <f>INDEX(章节关卡!$C$6:$C$20,芦花古楼!B80)*芦花古楼!C80</f>
        <v>3180</v>
      </c>
      <c r="E80" s="24">
        <f t="shared" si="39"/>
        <v>80</v>
      </c>
      <c r="F80" s="24">
        <f t="shared" si="40"/>
        <v>95</v>
      </c>
      <c r="G80" s="16">
        <f>INDEX(章节关卡!$E$6:$E$20,芦花古楼!B80)*芦花古楼!C80</f>
        <v>6600</v>
      </c>
      <c r="J80" s="24">
        <v>76</v>
      </c>
      <c r="K80" s="27">
        <v>11</v>
      </c>
      <c r="L80" s="41">
        <v>120</v>
      </c>
      <c r="M80" s="27">
        <f>INDEX(章节关卡!$C$6:$C$20,芦花古楼!K80)*芦花古楼!L80</f>
        <v>6360</v>
      </c>
      <c r="N80" s="24">
        <f t="shared" si="41"/>
        <v>85</v>
      </c>
      <c r="O80" s="24">
        <f t="shared" si="42"/>
        <v>95</v>
      </c>
      <c r="P80" s="16">
        <f>INDEX(章节关卡!$E$6:$E$20,芦花古楼!K80)*芦花古楼!L80</f>
        <v>13200</v>
      </c>
      <c r="S80" s="24">
        <v>76</v>
      </c>
      <c r="T80" s="27">
        <v>13</v>
      </c>
      <c r="U80" s="41">
        <v>180</v>
      </c>
      <c r="V80" s="27">
        <f>INDEX(章节关卡!$C$6:$C$20,芦花古楼!T80)*芦花古楼!U80</f>
        <v>14400</v>
      </c>
      <c r="W80" s="24">
        <f t="shared" si="37"/>
        <v>90</v>
      </c>
      <c r="X80" s="24">
        <f t="shared" si="38"/>
        <v>95</v>
      </c>
      <c r="Y80" s="16">
        <f>INDEX(章节关卡!$E$6:$E$20,芦花古楼!T80)*芦花古楼!U80</f>
        <v>27000</v>
      </c>
      <c r="AB80" s="24">
        <v>76</v>
      </c>
      <c r="AC80" s="27">
        <v>13</v>
      </c>
      <c r="AD80" s="41">
        <v>180</v>
      </c>
      <c r="AE80" s="27">
        <f>INDEX(章节关卡!$C$6:$C$20,芦花古楼!AC80)*芦花古楼!AD80</f>
        <v>14400</v>
      </c>
      <c r="AF80" s="24">
        <f t="shared" si="43"/>
        <v>95</v>
      </c>
      <c r="AG80" s="24">
        <f t="shared" si="44"/>
        <v>95</v>
      </c>
      <c r="AH80" s="16">
        <f>INDEX(章节关卡!$E$6:$E$20,芦花古楼!AC80)*芦花古楼!AD80</f>
        <v>27000</v>
      </c>
      <c r="AK80" s="20">
        <v>75</v>
      </c>
      <c r="AL80" s="20">
        <v>36</v>
      </c>
      <c r="AN80" s="20">
        <v>75</v>
      </c>
      <c r="AO80" s="20">
        <f t="shared" si="48"/>
        <v>37</v>
      </c>
      <c r="AQ80" s="20">
        <v>75</v>
      </c>
      <c r="AR80" s="20">
        <f t="shared" si="49"/>
        <v>38</v>
      </c>
      <c r="AT80" s="20">
        <v>75</v>
      </c>
      <c r="AU80" s="20">
        <f t="shared" si="50"/>
        <v>39</v>
      </c>
      <c r="AX80" s="20">
        <v>75</v>
      </c>
      <c r="AY80" s="16">
        <f t="shared" si="45"/>
        <v>205</v>
      </c>
      <c r="AZ80" s="16">
        <f t="shared" si="46"/>
        <v>440</v>
      </c>
      <c r="BA80" s="16">
        <f t="shared" si="47"/>
        <v>43800</v>
      </c>
    </row>
    <row r="81" spans="1:53" ht="16.5" x14ac:dyDescent="0.2">
      <c r="A81" s="24">
        <v>77</v>
      </c>
      <c r="B81" s="27">
        <v>11</v>
      </c>
      <c r="C81" s="41">
        <v>60</v>
      </c>
      <c r="D81" s="27">
        <f>INDEX(章节关卡!$C$6:$C$20,芦花古楼!B81)*芦花古楼!C81</f>
        <v>3180</v>
      </c>
      <c r="E81" s="24">
        <f t="shared" si="39"/>
        <v>80</v>
      </c>
      <c r="F81" s="24">
        <f t="shared" si="40"/>
        <v>95</v>
      </c>
      <c r="G81" s="16">
        <f>INDEX(章节关卡!$E$6:$E$20,芦花古楼!B81)*芦花古楼!C81</f>
        <v>6600</v>
      </c>
      <c r="J81" s="24">
        <v>77</v>
      </c>
      <c r="K81" s="27">
        <v>11</v>
      </c>
      <c r="L81" s="41">
        <v>120</v>
      </c>
      <c r="M81" s="27">
        <f>INDEX(章节关卡!$C$6:$C$20,芦花古楼!K81)*芦花古楼!L81</f>
        <v>6360</v>
      </c>
      <c r="N81" s="24">
        <f t="shared" si="41"/>
        <v>85</v>
      </c>
      <c r="O81" s="24">
        <f t="shared" si="42"/>
        <v>95</v>
      </c>
      <c r="P81" s="16">
        <f>INDEX(章节关卡!$E$6:$E$20,芦花古楼!K81)*芦花古楼!L81</f>
        <v>13200</v>
      </c>
      <c r="S81" s="24">
        <v>77</v>
      </c>
      <c r="T81" s="27">
        <v>13</v>
      </c>
      <c r="U81" s="41">
        <v>180</v>
      </c>
      <c r="V81" s="27">
        <f>INDEX(章节关卡!$C$6:$C$20,芦花古楼!T81)*芦花古楼!U81</f>
        <v>14400</v>
      </c>
      <c r="W81" s="24">
        <f t="shared" si="37"/>
        <v>90</v>
      </c>
      <c r="X81" s="24">
        <f t="shared" si="38"/>
        <v>95</v>
      </c>
      <c r="Y81" s="16">
        <f>INDEX(章节关卡!$E$6:$E$20,芦花古楼!T81)*芦花古楼!U81</f>
        <v>27000</v>
      </c>
      <c r="AB81" s="24">
        <v>77</v>
      </c>
      <c r="AC81" s="27">
        <v>13</v>
      </c>
      <c r="AD81" s="41">
        <v>180</v>
      </c>
      <c r="AE81" s="27">
        <f>INDEX(章节关卡!$C$6:$C$20,芦花古楼!AC81)*芦花古楼!AD81</f>
        <v>14400</v>
      </c>
      <c r="AF81" s="24">
        <f t="shared" si="43"/>
        <v>95</v>
      </c>
      <c r="AG81" s="24">
        <f t="shared" si="44"/>
        <v>95</v>
      </c>
      <c r="AH81" s="16">
        <f>INDEX(章节关卡!$E$6:$E$20,芦花古楼!AC81)*芦花古楼!AD81</f>
        <v>27000</v>
      </c>
      <c r="AK81" s="20">
        <v>76</v>
      </c>
      <c r="AL81" s="20">
        <v>38</v>
      </c>
      <c r="AN81" s="20">
        <v>76</v>
      </c>
      <c r="AO81" s="20">
        <f t="shared" si="48"/>
        <v>39</v>
      </c>
      <c r="AQ81" s="20">
        <v>76</v>
      </c>
      <c r="AR81" s="20">
        <f t="shared" si="49"/>
        <v>40</v>
      </c>
      <c r="AT81" s="20">
        <v>76</v>
      </c>
      <c r="AU81" s="20">
        <f t="shared" si="50"/>
        <v>41</v>
      </c>
      <c r="AX81" s="20">
        <v>76</v>
      </c>
      <c r="AY81" s="16">
        <f t="shared" si="45"/>
        <v>100</v>
      </c>
      <c r="AZ81" s="16">
        <f t="shared" si="46"/>
        <v>440</v>
      </c>
      <c r="BA81" s="16">
        <f t="shared" si="47"/>
        <v>15600</v>
      </c>
    </row>
    <row r="82" spans="1:53" ht="16.5" x14ac:dyDescent="0.2">
      <c r="A82" s="24">
        <v>78</v>
      </c>
      <c r="B82" s="27">
        <v>11</v>
      </c>
      <c r="C82" s="41">
        <v>60</v>
      </c>
      <c r="D82" s="27">
        <f>INDEX(章节关卡!$C$6:$C$20,芦花古楼!B82)*芦花古楼!C82</f>
        <v>3180</v>
      </c>
      <c r="E82" s="24">
        <f t="shared" si="39"/>
        <v>80</v>
      </c>
      <c r="F82" s="24">
        <f t="shared" si="40"/>
        <v>95</v>
      </c>
      <c r="G82" s="16">
        <f>INDEX(章节关卡!$E$6:$E$20,芦花古楼!B82)*芦花古楼!C82</f>
        <v>6600</v>
      </c>
      <c r="J82" s="24">
        <v>78</v>
      </c>
      <c r="K82" s="27">
        <v>11</v>
      </c>
      <c r="L82" s="41">
        <v>120</v>
      </c>
      <c r="M82" s="27">
        <f>INDEX(章节关卡!$C$6:$C$20,芦花古楼!K82)*芦花古楼!L82</f>
        <v>6360</v>
      </c>
      <c r="N82" s="24">
        <f t="shared" si="41"/>
        <v>85</v>
      </c>
      <c r="O82" s="24">
        <f t="shared" si="42"/>
        <v>95</v>
      </c>
      <c r="P82" s="16">
        <f>INDEX(章节关卡!$E$6:$E$20,芦花古楼!K82)*芦花古楼!L82</f>
        <v>13200</v>
      </c>
      <c r="S82" s="24">
        <v>78</v>
      </c>
      <c r="T82" s="27">
        <v>13</v>
      </c>
      <c r="U82" s="41">
        <v>180</v>
      </c>
      <c r="V82" s="27">
        <f>INDEX(章节关卡!$C$6:$C$20,芦花古楼!T82)*芦花古楼!U82</f>
        <v>14400</v>
      </c>
      <c r="W82" s="24">
        <f t="shared" si="37"/>
        <v>90</v>
      </c>
      <c r="X82" s="24">
        <f t="shared" si="38"/>
        <v>95</v>
      </c>
      <c r="Y82" s="16">
        <f>INDEX(章节关卡!$E$6:$E$20,芦花古楼!T82)*芦花古楼!U82</f>
        <v>27000</v>
      </c>
      <c r="AB82" s="24">
        <v>78</v>
      </c>
      <c r="AC82" s="27">
        <v>13</v>
      </c>
      <c r="AD82" s="41">
        <v>180</v>
      </c>
      <c r="AE82" s="27">
        <f>INDEX(章节关卡!$C$6:$C$20,芦花古楼!AC82)*芦花古楼!AD82</f>
        <v>14400</v>
      </c>
      <c r="AF82" s="24">
        <f t="shared" si="43"/>
        <v>95</v>
      </c>
      <c r="AG82" s="24">
        <f t="shared" si="44"/>
        <v>95</v>
      </c>
      <c r="AH82" s="16">
        <f>INDEX(章节关卡!$E$6:$E$20,芦花古楼!AC82)*芦花古楼!AD82</f>
        <v>27000</v>
      </c>
      <c r="AK82" s="20">
        <v>77</v>
      </c>
      <c r="AL82" s="20">
        <v>40</v>
      </c>
      <c r="AN82" s="20">
        <v>77</v>
      </c>
      <c r="AO82" s="20">
        <f t="shared" si="48"/>
        <v>41</v>
      </c>
      <c r="AQ82" s="20">
        <v>77</v>
      </c>
      <c r="AR82" s="20">
        <f t="shared" si="49"/>
        <v>42</v>
      </c>
      <c r="AT82" s="20">
        <v>77</v>
      </c>
      <c r="AU82" s="20">
        <f t="shared" si="50"/>
        <v>43</v>
      </c>
      <c r="AX82" s="20">
        <v>77</v>
      </c>
      <c r="AY82" s="16">
        <f t="shared" si="45"/>
        <v>105</v>
      </c>
      <c r="AZ82" s="16">
        <f t="shared" si="46"/>
        <v>440</v>
      </c>
      <c r="BA82" s="16">
        <f t="shared" si="47"/>
        <v>36000</v>
      </c>
    </row>
    <row r="83" spans="1:53" ht="16.5" x14ac:dyDescent="0.2">
      <c r="A83" s="24">
        <v>79</v>
      </c>
      <c r="B83" s="27">
        <v>11</v>
      </c>
      <c r="C83" s="41">
        <v>60</v>
      </c>
      <c r="D83" s="27">
        <f>INDEX(章节关卡!$C$6:$C$20,芦花古楼!B83)*芦花古楼!C83</f>
        <v>3180</v>
      </c>
      <c r="E83" s="24">
        <f t="shared" si="39"/>
        <v>80</v>
      </c>
      <c r="F83" s="24">
        <f t="shared" si="40"/>
        <v>95</v>
      </c>
      <c r="G83" s="16">
        <f>INDEX(章节关卡!$E$6:$E$20,芦花古楼!B83)*芦花古楼!C83</f>
        <v>6600</v>
      </c>
      <c r="J83" s="24">
        <v>79</v>
      </c>
      <c r="K83" s="27">
        <v>11</v>
      </c>
      <c r="L83" s="41">
        <v>120</v>
      </c>
      <c r="M83" s="27">
        <f>INDEX(章节关卡!$C$6:$C$20,芦花古楼!K83)*芦花古楼!L83</f>
        <v>6360</v>
      </c>
      <c r="N83" s="24">
        <f t="shared" si="41"/>
        <v>85</v>
      </c>
      <c r="O83" s="24">
        <f t="shared" si="42"/>
        <v>95</v>
      </c>
      <c r="P83" s="16">
        <f>INDEX(章节关卡!$E$6:$E$20,芦花古楼!K83)*芦花古楼!L83</f>
        <v>13200</v>
      </c>
      <c r="S83" s="24">
        <v>79</v>
      </c>
      <c r="T83" s="27">
        <v>13</v>
      </c>
      <c r="U83" s="41">
        <v>180</v>
      </c>
      <c r="V83" s="27">
        <f>INDEX(章节关卡!$C$6:$C$20,芦花古楼!T83)*芦花古楼!U83</f>
        <v>14400</v>
      </c>
      <c r="W83" s="24">
        <f t="shared" si="37"/>
        <v>90</v>
      </c>
      <c r="X83" s="24">
        <f t="shared" si="38"/>
        <v>95</v>
      </c>
      <c r="Y83" s="16">
        <f>INDEX(章节关卡!$E$6:$E$20,芦花古楼!T83)*芦花古楼!U83</f>
        <v>27000</v>
      </c>
      <c r="AB83" s="24">
        <v>79</v>
      </c>
      <c r="AC83" s="27">
        <v>13</v>
      </c>
      <c r="AD83" s="41">
        <v>180</v>
      </c>
      <c r="AE83" s="27">
        <f>INDEX(章节关卡!$C$6:$C$20,芦花古楼!AC83)*芦花古楼!AD83</f>
        <v>14400</v>
      </c>
      <c r="AF83" s="24">
        <f t="shared" si="43"/>
        <v>95</v>
      </c>
      <c r="AG83" s="24">
        <f t="shared" si="44"/>
        <v>95</v>
      </c>
      <c r="AH83" s="16">
        <f>INDEX(章节关卡!$E$6:$E$20,芦花古楼!AC83)*芦花古楼!AD83</f>
        <v>27000</v>
      </c>
      <c r="AK83" s="20">
        <v>78</v>
      </c>
      <c r="AL83" s="20">
        <v>42</v>
      </c>
      <c r="AN83" s="20">
        <v>78</v>
      </c>
      <c r="AO83" s="20">
        <f t="shared" si="48"/>
        <v>43</v>
      </c>
      <c r="AQ83" s="20">
        <v>78</v>
      </c>
      <c r="AR83" s="20">
        <f t="shared" si="49"/>
        <v>44</v>
      </c>
      <c r="AT83" s="20">
        <v>78</v>
      </c>
      <c r="AU83" s="20">
        <f t="shared" si="50"/>
        <v>45</v>
      </c>
      <c r="AX83" s="20">
        <v>78</v>
      </c>
      <c r="AY83" s="16">
        <f t="shared" si="45"/>
        <v>205</v>
      </c>
      <c r="AZ83" s="16">
        <f t="shared" si="46"/>
        <v>440</v>
      </c>
      <c r="BA83" s="16">
        <f t="shared" si="47"/>
        <v>43800</v>
      </c>
    </row>
    <row r="84" spans="1:53" ht="16.5" x14ac:dyDescent="0.2">
      <c r="A84" s="24">
        <v>80</v>
      </c>
      <c r="B84" s="27">
        <v>11</v>
      </c>
      <c r="C84" s="41">
        <v>60</v>
      </c>
      <c r="D84" s="27">
        <f>INDEX(章节关卡!$C$6:$C$20,芦花古楼!B84)*芦花古楼!C84</f>
        <v>3180</v>
      </c>
      <c r="E84" s="24">
        <f t="shared" si="39"/>
        <v>80</v>
      </c>
      <c r="F84" s="24">
        <f t="shared" si="40"/>
        <v>100</v>
      </c>
      <c r="G84" s="16">
        <f>INDEX(章节关卡!$E$6:$E$20,芦花古楼!B84)*芦花古楼!C84</f>
        <v>6600</v>
      </c>
      <c r="J84" s="24">
        <v>80</v>
      </c>
      <c r="K84" s="27">
        <v>11</v>
      </c>
      <c r="L84" s="41">
        <v>120</v>
      </c>
      <c r="M84" s="27">
        <f>INDEX(章节关卡!$C$6:$C$20,芦花古楼!K84)*芦花古楼!L84</f>
        <v>6360</v>
      </c>
      <c r="N84" s="24">
        <f t="shared" si="41"/>
        <v>85</v>
      </c>
      <c r="O84" s="24">
        <f t="shared" si="42"/>
        <v>100</v>
      </c>
      <c r="P84" s="16">
        <f>INDEX(章节关卡!$E$6:$E$20,芦花古楼!K84)*芦花古楼!L84</f>
        <v>13200</v>
      </c>
      <c r="S84" s="24">
        <v>80</v>
      </c>
      <c r="T84" s="27">
        <v>14</v>
      </c>
      <c r="U84" s="41">
        <v>180</v>
      </c>
      <c r="V84" s="27">
        <f>INDEX(章节关卡!$C$6:$C$20,芦花古楼!T84)*芦花古楼!U84</f>
        <v>18000</v>
      </c>
      <c r="W84" s="24">
        <f t="shared" si="37"/>
        <v>90</v>
      </c>
      <c r="X84" s="24">
        <f t="shared" si="38"/>
        <v>100</v>
      </c>
      <c r="Y84" s="16">
        <f>INDEX(章节关卡!$E$6:$E$20,芦花古楼!T84)*芦花古楼!U84</f>
        <v>31500</v>
      </c>
      <c r="AB84" s="24">
        <v>80</v>
      </c>
      <c r="AC84" s="27">
        <v>14</v>
      </c>
      <c r="AD84" s="41">
        <v>180</v>
      </c>
      <c r="AE84" s="27">
        <f>INDEX(章节关卡!$C$6:$C$20,芦花古楼!AC84)*芦花古楼!AD84</f>
        <v>18000</v>
      </c>
      <c r="AF84" s="24">
        <f t="shared" si="43"/>
        <v>95</v>
      </c>
      <c r="AG84" s="24">
        <f t="shared" si="44"/>
        <v>100</v>
      </c>
      <c r="AH84" s="16">
        <f>INDEX(章节关卡!$E$6:$E$20,芦花古楼!AC84)*芦花古楼!AD84</f>
        <v>31500</v>
      </c>
      <c r="AK84" s="20">
        <v>79</v>
      </c>
      <c r="AL84" s="20">
        <v>44</v>
      </c>
      <c r="AN84" s="20">
        <v>79</v>
      </c>
      <c r="AO84" s="20">
        <f t="shared" si="48"/>
        <v>45</v>
      </c>
      <c r="AQ84" s="20">
        <v>79</v>
      </c>
      <c r="AR84" s="20">
        <f t="shared" si="49"/>
        <v>46</v>
      </c>
      <c r="AT84" s="20">
        <v>79</v>
      </c>
      <c r="AU84" s="20">
        <f t="shared" si="50"/>
        <v>47</v>
      </c>
      <c r="AX84" s="20">
        <v>79</v>
      </c>
      <c r="AY84" s="16">
        <f t="shared" si="45"/>
        <v>100</v>
      </c>
      <c r="AZ84" s="16">
        <f t="shared" si="46"/>
        <v>440</v>
      </c>
      <c r="BA84" s="16">
        <f t="shared" si="47"/>
        <v>15600</v>
      </c>
    </row>
    <row r="85" spans="1:53" ht="16.5" x14ac:dyDescent="0.2">
      <c r="A85" s="24">
        <v>81</v>
      </c>
      <c r="B85" s="27">
        <v>11</v>
      </c>
      <c r="C85" s="41">
        <v>60</v>
      </c>
      <c r="D85" s="27">
        <f>INDEX(章节关卡!$C$6:$C$20,芦花古楼!B85)*芦花古楼!C85</f>
        <v>3180</v>
      </c>
      <c r="E85" s="24">
        <f t="shared" si="39"/>
        <v>85</v>
      </c>
      <c r="F85" s="24">
        <f t="shared" si="40"/>
        <v>100</v>
      </c>
      <c r="G85" s="16">
        <f>INDEX(章节关卡!$E$6:$E$20,芦花古楼!B85)*芦花古楼!C85</f>
        <v>6600</v>
      </c>
      <c r="J85" s="24">
        <v>81</v>
      </c>
      <c r="K85" s="27">
        <v>11</v>
      </c>
      <c r="L85" s="41">
        <v>120</v>
      </c>
      <c r="M85" s="27">
        <f>INDEX(章节关卡!$C$6:$C$20,芦花古楼!K85)*芦花古楼!L85</f>
        <v>6360</v>
      </c>
      <c r="N85" s="24">
        <f t="shared" si="41"/>
        <v>90</v>
      </c>
      <c r="O85" s="24">
        <f t="shared" si="42"/>
        <v>100</v>
      </c>
      <c r="P85" s="16">
        <f>INDEX(章节关卡!$E$6:$E$20,芦花古楼!K85)*芦花古楼!L85</f>
        <v>13200</v>
      </c>
      <c r="S85" s="24">
        <v>81</v>
      </c>
      <c r="T85" s="27">
        <v>14</v>
      </c>
      <c r="U85" s="41">
        <v>180</v>
      </c>
      <c r="V85" s="27">
        <f>INDEX(章节关卡!$C$6:$C$20,芦花古楼!T85)*芦花古楼!U85</f>
        <v>18000</v>
      </c>
      <c r="W85" s="24">
        <f t="shared" si="37"/>
        <v>95</v>
      </c>
      <c r="X85" s="24">
        <f t="shared" si="38"/>
        <v>100</v>
      </c>
      <c r="Y85" s="16">
        <f>INDEX(章节关卡!$E$6:$E$20,芦花古楼!T85)*芦花古楼!U85</f>
        <v>31500</v>
      </c>
      <c r="AB85" s="24">
        <v>81</v>
      </c>
      <c r="AC85" s="27">
        <v>14</v>
      </c>
      <c r="AD85" s="41">
        <v>180</v>
      </c>
      <c r="AE85" s="27">
        <f>INDEX(章节关卡!$C$6:$C$20,芦花古楼!AC85)*芦花古楼!AD85</f>
        <v>18000</v>
      </c>
      <c r="AF85" s="24">
        <f t="shared" si="43"/>
        <v>100</v>
      </c>
      <c r="AG85" s="24">
        <f t="shared" si="44"/>
        <v>100</v>
      </c>
      <c r="AH85" s="16">
        <f>INDEX(章节关卡!$E$6:$E$20,芦花古楼!AC85)*芦花古楼!AD85</f>
        <v>31500</v>
      </c>
      <c r="AK85" s="20">
        <v>80</v>
      </c>
      <c r="AL85" s="20">
        <v>46</v>
      </c>
      <c r="AN85" s="20">
        <v>80</v>
      </c>
      <c r="AO85" s="20">
        <f t="shared" si="48"/>
        <v>47</v>
      </c>
      <c r="AQ85" s="20">
        <v>80</v>
      </c>
      <c r="AR85" s="20">
        <f t="shared" si="49"/>
        <v>48</v>
      </c>
      <c r="AT85" s="20">
        <v>80</v>
      </c>
      <c r="AU85" s="20">
        <f t="shared" si="50"/>
        <v>49</v>
      </c>
      <c r="AX85" s="20">
        <v>80</v>
      </c>
      <c r="AY85" s="16">
        <f t="shared" si="45"/>
        <v>105</v>
      </c>
      <c r="AZ85" s="16">
        <f t="shared" si="46"/>
        <v>440</v>
      </c>
      <c r="BA85" s="16">
        <f t="shared" si="47"/>
        <v>36000</v>
      </c>
    </row>
    <row r="86" spans="1:53" ht="16.5" x14ac:dyDescent="0.2">
      <c r="A86" s="24">
        <v>82</v>
      </c>
      <c r="B86" s="27">
        <v>11</v>
      </c>
      <c r="C86" s="41">
        <v>60</v>
      </c>
      <c r="D86" s="27">
        <f>INDEX(章节关卡!$C$6:$C$20,芦花古楼!B86)*芦花古楼!C86</f>
        <v>3180</v>
      </c>
      <c r="E86" s="24">
        <f t="shared" si="39"/>
        <v>85</v>
      </c>
      <c r="F86" s="24">
        <f t="shared" si="40"/>
        <v>100</v>
      </c>
      <c r="G86" s="16">
        <f>INDEX(章节关卡!$E$6:$E$20,芦花古楼!B86)*芦花古楼!C86</f>
        <v>6600</v>
      </c>
      <c r="J86" s="24">
        <v>82</v>
      </c>
      <c r="K86" s="27">
        <v>11</v>
      </c>
      <c r="L86" s="41">
        <v>120</v>
      </c>
      <c r="M86" s="27">
        <f>INDEX(章节关卡!$C$6:$C$20,芦花古楼!K86)*芦花古楼!L86</f>
        <v>6360</v>
      </c>
      <c r="N86" s="24">
        <f t="shared" si="41"/>
        <v>90</v>
      </c>
      <c r="O86" s="24">
        <f t="shared" si="42"/>
        <v>100</v>
      </c>
      <c r="P86" s="16">
        <f>INDEX(章节关卡!$E$6:$E$20,芦花古楼!K86)*芦花古楼!L86</f>
        <v>13200</v>
      </c>
      <c r="S86" s="24">
        <v>82</v>
      </c>
      <c r="T86" s="27">
        <v>14</v>
      </c>
      <c r="U86" s="41">
        <v>180</v>
      </c>
      <c r="V86" s="27">
        <f>INDEX(章节关卡!$C$6:$C$20,芦花古楼!T86)*芦花古楼!U86</f>
        <v>18000</v>
      </c>
      <c r="W86" s="24">
        <f t="shared" si="37"/>
        <v>95</v>
      </c>
      <c r="X86" s="24">
        <f t="shared" si="38"/>
        <v>100</v>
      </c>
      <c r="Y86" s="16">
        <f>INDEX(章节关卡!$E$6:$E$20,芦花古楼!T86)*芦花古楼!U86</f>
        <v>31500</v>
      </c>
      <c r="AB86" s="24">
        <v>82</v>
      </c>
      <c r="AC86" s="27">
        <v>14</v>
      </c>
      <c r="AD86" s="41">
        <v>180</v>
      </c>
      <c r="AE86" s="27">
        <f>INDEX(章节关卡!$C$6:$C$20,芦花古楼!AC86)*芦花古楼!AD86</f>
        <v>18000</v>
      </c>
      <c r="AF86" s="24">
        <f t="shared" si="43"/>
        <v>100</v>
      </c>
      <c r="AG86" s="24">
        <f t="shared" si="44"/>
        <v>100</v>
      </c>
      <c r="AH86" s="16">
        <f>INDEX(章节关卡!$E$6:$E$20,芦花古楼!AC86)*芦花古楼!AD86</f>
        <v>31500</v>
      </c>
      <c r="AK86" s="20">
        <v>81</v>
      </c>
      <c r="AL86" s="20">
        <v>48</v>
      </c>
      <c r="AN86" s="20">
        <v>81</v>
      </c>
      <c r="AO86" s="20">
        <f t="shared" si="48"/>
        <v>49</v>
      </c>
      <c r="AQ86" s="20">
        <v>81</v>
      </c>
      <c r="AR86" s="20">
        <f t="shared" si="49"/>
        <v>50</v>
      </c>
      <c r="AT86" s="20">
        <v>81</v>
      </c>
      <c r="AU86" s="20">
        <f t="shared" si="50"/>
        <v>51</v>
      </c>
      <c r="AX86" s="20">
        <v>81</v>
      </c>
      <c r="AY86" s="16">
        <f t="shared" si="45"/>
        <v>205</v>
      </c>
      <c r="AZ86" s="16">
        <f t="shared" si="46"/>
        <v>440</v>
      </c>
      <c r="BA86" s="16">
        <f t="shared" si="47"/>
        <v>43800</v>
      </c>
    </row>
    <row r="87" spans="1:53" ht="16.5" x14ac:dyDescent="0.2">
      <c r="A87" s="24">
        <v>83</v>
      </c>
      <c r="B87" s="27">
        <v>11</v>
      </c>
      <c r="C87" s="41">
        <v>60</v>
      </c>
      <c r="D87" s="27">
        <f>INDEX(章节关卡!$C$6:$C$20,芦花古楼!B87)*芦花古楼!C87</f>
        <v>3180</v>
      </c>
      <c r="E87" s="24">
        <f t="shared" si="39"/>
        <v>85</v>
      </c>
      <c r="F87" s="24">
        <f t="shared" si="40"/>
        <v>100</v>
      </c>
      <c r="G87" s="16">
        <f>INDEX(章节关卡!$E$6:$E$20,芦花古楼!B87)*芦花古楼!C87</f>
        <v>6600</v>
      </c>
      <c r="J87" s="24">
        <v>83</v>
      </c>
      <c r="K87" s="27">
        <v>11</v>
      </c>
      <c r="L87" s="41">
        <v>120</v>
      </c>
      <c r="M87" s="27">
        <f>INDEX(章节关卡!$C$6:$C$20,芦花古楼!K87)*芦花古楼!L87</f>
        <v>6360</v>
      </c>
      <c r="N87" s="24">
        <f t="shared" si="41"/>
        <v>90</v>
      </c>
      <c r="O87" s="24">
        <f t="shared" si="42"/>
        <v>100</v>
      </c>
      <c r="P87" s="16">
        <f>INDEX(章节关卡!$E$6:$E$20,芦花古楼!K87)*芦花古楼!L87</f>
        <v>13200</v>
      </c>
      <c r="S87" s="24">
        <v>83</v>
      </c>
      <c r="T87" s="27">
        <v>14</v>
      </c>
      <c r="U87" s="41">
        <v>180</v>
      </c>
      <c r="V87" s="27">
        <f>INDEX(章节关卡!$C$6:$C$20,芦花古楼!T87)*芦花古楼!U87</f>
        <v>18000</v>
      </c>
      <c r="W87" s="24">
        <f t="shared" si="37"/>
        <v>95</v>
      </c>
      <c r="X87" s="24">
        <f t="shared" si="38"/>
        <v>100</v>
      </c>
      <c r="Y87" s="16">
        <f>INDEX(章节关卡!$E$6:$E$20,芦花古楼!T87)*芦花古楼!U87</f>
        <v>31500</v>
      </c>
      <c r="AB87" s="24">
        <v>83</v>
      </c>
      <c r="AC87" s="27">
        <v>14</v>
      </c>
      <c r="AD87" s="41">
        <v>180</v>
      </c>
      <c r="AE87" s="27">
        <f>INDEX(章节关卡!$C$6:$C$20,芦花古楼!AC87)*芦花古楼!AD87</f>
        <v>18000</v>
      </c>
      <c r="AF87" s="24">
        <f t="shared" si="43"/>
        <v>100</v>
      </c>
      <c r="AG87" s="24">
        <f t="shared" si="44"/>
        <v>100</v>
      </c>
      <c r="AH87" s="16">
        <f>INDEX(章节关卡!$E$6:$E$20,芦花古楼!AC87)*芦花古楼!AD87</f>
        <v>31500</v>
      </c>
      <c r="AK87" s="20">
        <v>82</v>
      </c>
      <c r="AL87" s="20">
        <v>50</v>
      </c>
      <c r="AN87" s="20">
        <v>82</v>
      </c>
      <c r="AO87" s="20">
        <f t="shared" si="48"/>
        <v>51</v>
      </c>
      <c r="AQ87" s="20">
        <v>82</v>
      </c>
      <c r="AR87" s="20">
        <f t="shared" si="49"/>
        <v>52</v>
      </c>
      <c r="AT87" s="20">
        <v>82</v>
      </c>
      <c r="AU87" s="20">
        <f t="shared" si="50"/>
        <v>53</v>
      </c>
      <c r="AX87" s="20">
        <v>82</v>
      </c>
      <c r="AY87" s="16">
        <f t="shared" si="45"/>
        <v>100</v>
      </c>
      <c r="AZ87" s="16">
        <f t="shared" si="46"/>
        <v>440</v>
      </c>
      <c r="BA87" s="16">
        <f t="shared" si="47"/>
        <v>15600</v>
      </c>
    </row>
    <row r="88" spans="1:53" ht="16.5" x14ac:dyDescent="0.2">
      <c r="A88" s="24">
        <v>84</v>
      </c>
      <c r="B88" s="27">
        <v>11</v>
      </c>
      <c r="C88" s="41">
        <v>60</v>
      </c>
      <c r="D88" s="27">
        <f>INDEX(章节关卡!$C$6:$C$20,芦花古楼!B88)*芦花古楼!C88</f>
        <v>3180</v>
      </c>
      <c r="E88" s="24">
        <f t="shared" si="39"/>
        <v>85</v>
      </c>
      <c r="F88" s="24">
        <f t="shared" si="40"/>
        <v>100</v>
      </c>
      <c r="G88" s="16">
        <f>INDEX(章节关卡!$E$6:$E$20,芦花古楼!B88)*芦花古楼!C88</f>
        <v>6600</v>
      </c>
      <c r="J88" s="24">
        <v>84</v>
      </c>
      <c r="K88" s="27">
        <v>11</v>
      </c>
      <c r="L88" s="41">
        <v>120</v>
      </c>
      <c r="M88" s="27">
        <f>INDEX(章节关卡!$C$6:$C$20,芦花古楼!K88)*芦花古楼!L88</f>
        <v>6360</v>
      </c>
      <c r="N88" s="24">
        <f t="shared" si="41"/>
        <v>90</v>
      </c>
      <c r="O88" s="24">
        <f t="shared" si="42"/>
        <v>100</v>
      </c>
      <c r="P88" s="16">
        <f>INDEX(章节关卡!$E$6:$E$20,芦花古楼!K88)*芦花古楼!L88</f>
        <v>13200</v>
      </c>
      <c r="S88" s="24">
        <v>84</v>
      </c>
      <c r="T88" s="27">
        <v>14</v>
      </c>
      <c r="U88" s="41">
        <v>180</v>
      </c>
      <c r="V88" s="27">
        <f>INDEX(章节关卡!$C$6:$C$20,芦花古楼!T88)*芦花古楼!U88</f>
        <v>18000</v>
      </c>
      <c r="W88" s="24">
        <f t="shared" si="37"/>
        <v>95</v>
      </c>
      <c r="X88" s="24">
        <f t="shared" si="38"/>
        <v>100</v>
      </c>
      <c r="Y88" s="16">
        <f>INDEX(章节关卡!$E$6:$E$20,芦花古楼!T88)*芦花古楼!U88</f>
        <v>31500</v>
      </c>
      <c r="AB88" s="24">
        <v>84</v>
      </c>
      <c r="AC88" s="27">
        <v>14</v>
      </c>
      <c r="AD88" s="41">
        <v>180</v>
      </c>
      <c r="AE88" s="27">
        <f>INDEX(章节关卡!$C$6:$C$20,芦花古楼!AC88)*芦花古楼!AD88</f>
        <v>18000</v>
      </c>
      <c r="AF88" s="24">
        <f t="shared" si="43"/>
        <v>100</v>
      </c>
      <c r="AG88" s="24">
        <f t="shared" si="44"/>
        <v>100</v>
      </c>
      <c r="AH88" s="16">
        <f>INDEX(章节关卡!$E$6:$E$20,芦花古楼!AC88)*芦花古楼!AD88</f>
        <v>31500</v>
      </c>
      <c r="AK88" s="20">
        <v>83</v>
      </c>
      <c r="AL88" s="20">
        <v>52</v>
      </c>
      <c r="AN88" s="20">
        <v>83</v>
      </c>
      <c r="AO88" s="20">
        <f t="shared" si="48"/>
        <v>53</v>
      </c>
      <c r="AQ88" s="20">
        <v>83</v>
      </c>
      <c r="AR88" s="20">
        <f t="shared" si="49"/>
        <v>54</v>
      </c>
      <c r="AT88" s="20">
        <v>83</v>
      </c>
      <c r="AU88" s="20">
        <f t="shared" si="50"/>
        <v>55</v>
      </c>
      <c r="AX88" s="20">
        <v>83</v>
      </c>
      <c r="AY88" s="16">
        <f t="shared" si="45"/>
        <v>105</v>
      </c>
      <c r="AZ88" s="16">
        <f t="shared" si="46"/>
        <v>440</v>
      </c>
      <c r="BA88" s="16">
        <f t="shared" si="47"/>
        <v>36000</v>
      </c>
    </row>
    <row r="89" spans="1:53" ht="16.5" x14ac:dyDescent="0.2">
      <c r="A89" s="24">
        <v>85</v>
      </c>
      <c r="B89" s="27">
        <v>11</v>
      </c>
      <c r="C89" s="41">
        <v>60</v>
      </c>
      <c r="D89" s="27">
        <f>INDEX(章节关卡!$C$6:$C$20,芦花古楼!B89)*芦花古楼!C89</f>
        <v>3180</v>
      </c>
      <c r="E89" s="24">
        <f t="shared" si="39"/>
        <v>85</v>
      </c>
      <c r="F89" s="24">
        <f t="shared" si="40"/>
        <v>105</v>
      </c>
      <c r="G89" s="16">
        <f>INDEX(章节关卡!$E$6:$E$20,芦花古楼!B89)*芦花古楼!C89</f>
        <v>6600</v>
      </c>
      <c r="J89" s="24">
        <v>85</v>
      </c>
      <c r="K89" s="27">
        <v>11</v>
      </c>
      <c r="L89" s="41">
        <v>120</v>
      </c>
      <c r="M89" s="27">
        <f>INDEX(章节关卡!$C$6:$C$20,芦花古楼!K89)*芦花古楼!L89</f>
        <v>6360</v>
      </c>
      <c r="N89" s="24">
        <f t="shared" si="41"/>
        <v>90</v>
      </c>
      <c r="O89" s="24">
        <f t="shared" si="42"/>
        <v>105</v>
      </c>
      <c r="P89" s="16">
        <f>INDEX(章节关卡!$E$6:$E$20,芦花古楼!K89)*芦花古楼!L89</f>
        <v>13200</v>
      </c>
      <c r="S89" s="24">
        <v>85</v>
      </c>
      <c r="T89" s="27">
        <v>14</v>
      </c>
      <c r="U89" s="41">
        <v>180</v>
      </c>
      <c r="V89" s="27">
        <f>INDEX(章节关卡!$C$6:$C$20,芦花古楼!T89)*芦花古楼!U89</f>
        <v>18000</v>
      </c>
      <c r="W89" s="24">
        <f t="shared" si="37"/>
        <v>95</v>
      </c>
      <c r="X89" s="24">
        <f t="shared" si="38"/>
        <v>105</v>
      </c>
      <c r="Y89" s="16">
        <f>INDEX(章节关卡!$E$6:$E$20,芦花古楼!T89)*芦花古楼!U89</f>
        <v>31500</v>
      </c>
      <c r="AB89" s="24">
        <v>85</v>
      </c>
      <c r="AC89" s="27">
        <v>14</v>
      </c>
      <c r="AD89" s="41">
        <v>180</v>
      </c>
      <c r="AE89" s="27">
        <f>INDEX(章节关卡!$C$6:$C$20,芦花古楼!AC89)*芦花古楼!AD89</f>
        <v>18000</v>
      </c>
      <c r="AF89" s="24">
        <f t="shared" si="43"/>
        <v>100</v>
      </c>
      <c r="AG89" s="24">
        <f t="shared" si="44"/>
        <v>105</v>
      </c>
      <c r="AH89" s="16">
        <f>INDEX(章节关卡!$E$6:$E$20,芦花古楼!AC89)*芦花古楼!AD89</f>
        <v>31500</v>
      </c>
      <c r="AK89" s="20">
        <v>84</v>
      </c>
      <c r="AL89" s="20">
        <v>54</v>
      </c>
      <c r="AN89" s="20">
        <v>84</v>
      </c>
      <c r="AO89" s="20">
        <f t="shared" si="48"/>
        <v>55</v>
      </c>
      <c r="AQ89" s="20">
        <v>84</v>
      </c>
      <c r="AR89" s="20">
        <f t="shared" si="49"/>
        <v>56</v>
      </c>
      <c r="AT89" s="20">
        <v>84</v>
      </c>
      <c r="AU89" s="20">
        <f t="shared" si="50"/>
        <v>57</v>
      </c>
      <c r="AX89" s="20">
        <v>84</v>
      </c>
      <c r="AY89" s="16">
        <f t="shared" si="45"/>
        <v>205</v>
      </c>
      <c r="AZ89" s="16">
        <f t="shared" si="46"/>
        <v>445</v>
      </c>
      <c r="BA89" s="16">
        <f t="shared" si="47"/>
        <v>43800</v>
      </c>
    </row>
    <row r="90" spans="1:53" ht="16.5" x14ac:dyDescent="0.2">
      <c r="A90" s="24">
        <v>86</v>
      </c>
      <c r="B90" s="27">
        <v>11</v>
      </c>
      <c r="C90" s="41">
        <v>60</v>
      </c>
      <c r="D90" s="27">
        <f>INDEX(章节关卡!$C$6:$C$20,芦花古楼!B90)*芦花古楼!C90</f>
        <v>3180</v>
      </c>
      <c r="E90" s="24">
        <f t="shared" si="39"/>
        <v>90</v>
      </c>
      <c r="F90" s="24">
        <f t="shared" si="40"/>
        <v>105</v>
      </c>
      <c r="G90" s="16">
        <f>INDEX(章节关卡!$E$6:$E$20,芦花古楼!B90)*芦花古楼!C90</f>
        <v>6600</v>
      </c>
      <c r="J90" s="24">
        <v>86</v>
      </c>
      <c r="K90" s="27">
        <v>11</v>
      </c>
      <c r="L90" s="41">
        <v>120</v>
      </c>
      <c r="M90" s="27">
        <f>INDEX(章节关卡!$C$6:$C$20,芦花古楼!K90)*芦花古楼!L90</f>
        <v>6360</v>
      </c>
      <c r="N90" s="24">
        <f t="shared" si="41"/>
        <v>95</v>
      </c>
      <c r="O90" s="24">
        <f t="shared" si="42"/>
        <v>105</v>
      </c>
      <c r="P90" s="16">
        <f>INDEX(章节关卡!$E$6:$E$20,芦花古楼!K90)*芦花古楼!L90</f>
        <v>13200</v>
      </c>
      <c r="S90" s="24">
        <v>86</v>
      </c>
      <c r="T90" s="27">
        <v>14</v>
      </c>
      <c r="U90" s="41">
        <v>180</v>
      </c>
      <c r="V90" s="27">
        <f>INDEX(章节关卡!$C$6:$C$20,芦花古楼!T90)*芦花古楼!U90</f>
        <v>18000</v>
      </c>
      <c r="W90" s="24">
        <f t="shared" si="37"/>
        <v>100</v>
      </c>
      <c r="X90" s="24">
        <f t="shared" si="38"/>
        <v>105</v>
      </c>
      <c r="Y90" s="16">
        <f>INDEX(章节关卡!$E$6:$E$20,芦花古楼!T90)*芦花古楼!U90</f>
        <v>31500</v>
      </c>
      <c r="AB90" s="24">
        <v>86</v>
      </c>
      <c r="AC90" s="27">
        <v>14</v>
      </c>
      <c r="AD90" s="41">
        <v>180</v>
      </c>
      <c r="AE90" s="27">
        <f>INDEX(章节关卡!$C$6:$C$20,芦花古楼!AC90)*芦花古楼!AD90</f>
        <v>18000</v>
      </c>
      <c r="AF90" s="24">
        <f t="shared" si="43"/>
        <v>105</v>
      </c>
      <c r="AG90" s="24">
        <f t="shared" si="44"/>
        <v>105</v>
      </c>
      <c r="AH90" s="16">
        <f>INDEX(章节关卡!$E$6:$E$20,芦花古楼!AC90)*芦花古楼!AD90</f>
        <v>31500</v>
      </c>
      <c r="AK90" s="20">
        <v>85</v>
      </c>
      <c r="AL90" s="20">
        <v>56</v>
      </c>
      <c r="AN90" s="20">
        <v>85</v>
      </c>
      <c r="AO90" s="20">
        <f t="shared" si="48"/>
        <v>57</v>
      </c>
      <c r="AQ90" s="20">
        <v>85</v>
      </c>
      <c r="AR90" s="20">
        <f t="shared" si="49"/>
        <v>58</v>
      </c>
      <c r="AT90" s="20">
        <v>85</v>
      </c>
      <c r="AU90" s="20">
        <f t="shared" si="50"/>
        <v>59</v>
      </c>
      <c r="AX90" s="20">
        <v>85</v>
      </c>
      <c r="AY90" s="16">
        <f t="shared" si="45"/>
        <v>100</v>
      </c>
      <c r="AZ90" s="16">
        <f t="shared" si="46"/>
        <v>450</v>
      </c>
      <c r="BA90" s="16">
        <f t="shared" si="47"/>
        <v>15600</v>
      </c>
    </row>
    <row r="91" spans="1:53" ht="16.5" x14ac:dyDescent="0.2">
      <c r="A91" s="24">
        <v>87</v>
      </c>
      <c r="B91" s="27">
        <v>11</v>
      </c>
      <c r="C91" s="41">
        <v>60</v>
      </c>
      <c r="D91" s="27">
        <f>INDEX(章节关卡!$C$6:$C$20,芦花古楼!B91)*芦花古楼!C91</f>
        <v>3180</v>
      </c>
      <c r="E91" s="24">
        <f t="shared" si="39"/>
        <v>90</v>
      </c>
      <c r="F91" s="24">
        <f t="shared" si="40"/>
        <v>105</v>
      </c>
      <c r="G91" s="16">
        <f>INDEX(章节关卡!$E$6:$E$20,芦花古楼!B91)*芦花古楼!C91</f>
        <v>6600</v>
      </c>
      <c r="J91" s="24">
        <v>87</v>
      </c>
      <c r="K91" s="27">
        <v>11</v>
      </c>
      <c r="L91" s="41">
        <v>120</v>
      </c>
      <c r="M91" s="27">
        <f>INDEX(章节关卡!$C$6:$C$20,芦花古楼!K91)*芦花古楼!L91</f>
        <v>6360</v>
      </c>
      <c r="N91" s="24">
        <f t="shared" si="41"/>
        <v>95</v>
      </c>
      <c r="O91" s="24">
        <f t="shared" si="42"/>
        <v>105</v>
      </c>
      <c r="P91" s="16">
        <f>INDEX(章节关卡!$E$6:$E$20,芦花古楼!K91)*芦花古楼!L91</f>
        <v>13200</v>
      </c>
      <c r="S91" s="24">
        <v>87</v>
      </c>
      <c r="T91" s="27">
        <v>14</v>
      </c>
      <c r="U91" s="41">
        <v>180</v>
      </c>
      <c r="V91" s="27">
        <f>INDEX(章节关卡!$C$6:$C$20,芦花古楼!T91)*芦花古楼!U91</f>
        <v>18000</v>
      </c>
      <c r="W91" s="24">
        <f t="shared" si="37"/>
        <v>100</v>
      </c>
      <c r="X91" s="24">
        <f t="shared" si="38"/>
        <v>105</v>
      </c>
      <c r="Y91" s="16">
        <f>INDEX(章节关卡!$E$6:$E$20,芦花古楼!T91)*芦花古楼!U91</f>
        <v>31500</v>
      </c>
      <c r="AB91" s="24">
        <v>87</v>
      </c>
      <c r="AC91" s="27">
        <v>14</v>
      </c>
      <c r="AD91" s="41">
        <v>180</v>
      </c>
      <c r="AE91" s="27">
        <f>INDEX(章节关卡!$C$6:$C$20,芦花古楼!AC91)*芦花古楼!AD91</f>
        <v>18000</v>
      </c>
      <c r="AF91" s="24">
        <f t="shared" si="43"/>
        <v>105</v>
      </c>
      <c r="AG91" s="24">
        <f t="shared" si="44"/>
        <v>105</v>
      </c>
      <c r="AH91" s="16">
        <f>INDEX(章节关卡!$E$6:$E$20,芦花古楼!AC91)*芦花古楼!AD91</f>
        <v>31500</v>
      </c>
      <c r="AK91" s="20">
        <v>86</v>
      </c>
      <c r="AL91" s="20">
        <v>58</v>
      </c>
      <c r="AN91" s="20">
        <v>86</v>
      </c>
      <c r="AO91" s="20">
        <f t="shared" si="48"/>
        <v>59</v>
      </c>
      <c r="AQ91" s="20">
        <v>86</v>
      </c>
      <c r="AR91" s="20">
        <f t="shared" si="49"/>
        <v>60</v>
      </c>
      <c r="AT91" s="20">
        <v>86</v>
      </c>
      <c r="AU91" s="20">
        <f t="shared" si="50"/>
        <v>61</v>
      </c>
      <c r="AX91" s="20">
        <v>86</v>
      </c>
      <c r="AY91" s="16">
        <f t="shared" si="45"/>
        <v>105</v>
      </c>
      <c r="AZ91" s="16">
        <f t="shared" si="46"/>
        <v>455</v>
      </c>
      <c r="BA91" s="16">
        <f t="shared" si="47"/>
        <v>36000</v>
      </c>
    </row>
    <row r="92" spans="1:53" ht="16.5" x14ac:dyDescent="0.2">
      <c r="A92" s="24">
        <v>88</v>
      </c>
      <c r="B92" s="27">
        <v>11</v>
      </c>
      <c r="C92" s="41">
        <v>60</v>
      </c>
      <c r="D92" s="27">
        <f>INDEX(章节关卡!$C$6:$C$20,芦花古楼!B92)*芦花古楼!C92</f>
        <v>3180</v>
      </c>
      <c r="E92" s="24">
        <f t="shared" si="39"/>
        <v>90</v>
      </c>
      <c r="F92" s="24">
        <f t="shared" si="40"/>
        <v>105</v>
      </c>
      <c r="G92" s="16">
        <f>INDEX(章节关卡!$E$6:$E$20,芦花古楼!B92)*芦花古楼!C92</f>
        <v>6600</v>
      </c>
      <c r="J92" s="24">
        <v>88</v>
      </c>
      <c r="K92" s="27">
        <v>11</v>
      </c>
      <c r="L92" s="41">
        <v>120</v>
      </c>
      <c r="M92" s="27">
        <f>INDEX(章节关卡!$C$6:$C$20,芦花古楼!K92)*芦花古楼!L92</f>
        <v>6360</v>
      </c>
      <c r="N92" s="24">
        <f t="shared" si="41"/>
        <v>95</v>
      </c>
      <c r="O92" s="24">
        <f t="shared" si="42"/>
        <v>105</v>
      </c>
      <c r="P92" s="16">
        <f>INDEX(章节关卡!$E$6:$E$20,芦花古楼!K92)*芦花古楼!L92</f>
        <v>13200</v>
      </c>
      <c r="S92" s="24">
        <v>88</v>
      </c>
      <c r="T92" s="27">
        <v>14</v>
      </c>
      <c r="U92" s="41">
        <v>180</v>
      </c>
      <c r="V92" s="27">
        <f>INDEX(章节关卡!$C$6:$C$20,芦花古楼!T92)*芦花古楼!U92</f>
        <v>18000</v>
      </c>
      <c r="W92" s="24">
        <f t="shared" si="37"/>
        <v>100</v>
      </c>
      <c r="X92" s="24">
        <f t="shared" si="38"/>
        <v>105</v>
      </c>
      <c r="Y92" s="16">
        <f>INDEX(章节关卡!$E$6:$E$20,芦花古楼!T92)*芦花古楼!U92</f>
        <v>31500</v>
      </c>
      <c r="AB92" s="24">
        <v>88</v>
      </c>
      <c r="AC92" s="27">
        <v>14</v>
      </c>
      <c r="AD92" s="41">
        <v>180</v>
      </c>
      <c r="AE92" s="27">
        <f>INDEX(章节关卡!$C$6:$C$20,芦花古楼!AC92)*芦花古楼!AD92</f>
        <v>18000</v>
      </c>
      <c r="AF92" s="24">
        <f t="shared" si="43"/>
        <v>105</v>
      </c>
      <c r="AG92" s="24">
        <f t="shared" si="44"/>
        <v>105</v>
      </c>
      <c r="AH92" s="16">
        <f>INDEX(章节关卡!$E$6:$E$20,芦花古楼!AC92)*芦花古楼!AD92</f>
        <v>31500</v>
      </c>
      <c r="AK92" s="20">
        <v>87</v>
      </c>
      <c r="AL92" s="20">
        <v>60</v>
      </c>
      <c r="AN92" s="20">
        <v>87</v>
      </c>
      <c r="AO92" s="20">
        <f t="shared" si="48"/>
        <v>61</v>
      </c>
      <c r="AQ92" s="20">
        <v>87</v>
      </c>
      <c r="AR92" s="20">
        <f t="shared" si="49"/>
        <v>62</v>
      </c>
      <c r="AT92" s="20">
        <v>87</v>
      </c>
      <c r="AU92" s="20">
        <f t="shared" si="50"/>
        <v>63</v>
      </c>
      <c r="AX92" s="20">
        <v>87</v>
      </c>
      <c r="AY92" s="16">
        <f t="shared" si="45"/>
        <v>210</v>
      </c>
      <c r="AZ92" s="16">
        <f t="shared" si="46"/>
        <v>460</v>
      </c>
      <c r="BA92" s="16">
        <f t="shared" si="47"/>
        <v>43800</v>
      </c>
    </row>
    <row r="93" spans="1:53" ht="16.5" x14ac:dyDescent="0.2">
      <c r="A93" s="24">
        <v>89</v>
      </c>
      <c r="B93" s="27">
        <v>11</v>
      </c>
      <c r="C93" s="41">
        <v>60</v>
      </c>
      <c r="D93" s="27">
        <f>INDEX(章节关卡!$C$6:$C$20,芦花古楼!B93)*芦花古楼!C93</f>
        <v>3180</v>
      </c>
      <c r="E93" s="24">
        <f t="shared" si="39"/>
        <v>90</v>
      </c>
      <c r="F93" s="24">
        <f t="shared" si="40"/>
        <v>105</v>
      </c>
      <c r="G93" s="16">
        <f>INDEX(章节关卡!$E$6:$E$20,芦花古楼!B93)*芦花古楼!C93</f>
        <v>6600</v>
      </c>
      <c r="J93" s="24">
        <v>89</v>
      </c>
      <c r="K93" s="27">
        <v>11</v>
      </c>
      <c r="L93" s="41">
        <v>120</v>
      </c>
      <c r="M93" s="27">
        <f>INDEX(章节关卡!$C$6:$C$20,芦花古楼!K93)*芦花古楼!L93</f>
        <v>6360</v>
      </c>
      <c r="N93" s="24">
        <f t="shared" si="41"/>
        <v>95</v>
      </c>
      <c r="O93" s="24">
        <f t="shared" si="42"/>
        <v>105</v>
      </c>
      <c r="P93" s="16">
        <f>INDEX(章节关卡!$E$6:$E$20,芦花古楼!K93)*芦花古楼!L93</f>
        <v>13200</v>
      </c>
      <c r="S93" s="24">
        <v>89</v>
      </c>
      <c r="T93" s="27">
        <v>14</v>
      </c>
      <c r="U93" s="41">
        <v>180</v>
      </c>
      <c r="V93" s="27">
        <f>INDEX(章节关卡!$C$6:$C$20,芦花古楼!T93)*芦花古楼!U93</f>
        <v>18000</v>
      </c>
      <c r="W93" s="24">
        <f t="shared" si="37"/>
        <v>100</v>
      </c>
      <c r="X93" s="24">
        <f t="shared" si="38"/>
        <v>105</v>
      </c>
      <c r="Y93" s="16">
        <f>INDEX(章节关卡!$E$6:$E$20,芦花古楼!T93)*芦花古楼!U93</f>
        <v>31500</v>
      </c>
      <c r="AB93" s="24">
        <v>89</v>
      </c>
      <c r="AC93" s="27">
        <v>14</v>
      </c>
      <c r="AD93" s="41">
        <v>180</v>
      </c>
      <c r="AE93" s="27">
        <f>INDEX(章节关卡!$C$6:$C$20,芦花古楼!AC93)*芦花古楼!AD93</f>
        <v>18000</v>
      </c>
      <c r="AF93" s="24">
        <f t="shared" si="43"/>
        <v>105</v>
      </c>
      <c r="AG93" s="24">
        <f t="shared" si="44"/>
        <v>105</v>
      </c>
      <c r="AH93" s="16">
        <f>INDEX(章节关卡!$E$6:$E$20,芦花古楼!AC93)*芦花古楼!AD93</f>
        <v>31500</v>
      </c>
      <c r="AK93" s="20">
        <v>88</v>
      </c>
      <c r="AL93" s="20">
        <v>63</v>
      </c>
      <c r="AN93" s="20">
        <v>88</v>
      </c>
      <c r="AO93" s="20">
        <f t="shared" si="48"/>
        <v>64</v>
      </c>
      <c r="AQ93" s="20">
        <v>88</v>
      </c>
      <c r="AR93" s="20">
        <f t="shared" si="49"/>
        <v>65</v>
      </c>
      <c r="AT93" s="20">
        <v>88</v>
      </c>
      <c r="AU93" s="20">
        <f t="shared" si="50"/>
        <v>66</v>
      </c>
      <c r="AX93" s="20">
        <v>88</v>
      </c>
      <c r="AY93" s="16">
        <f t="shared" si="45"/>
        <v>105</v>
      </c>
      <c r="AZ93" s="16">
        <f t="shared" si="46"/>
        <v>460</v>
      </c>
      <c r="BA93" s="16">
        <f t="shared" si="47"/>
        <v>15600</v>
      </c>
    </row>
    <row r="94" spans="1:53" ht="16.5" x14ac:dyDescent="0.2">
      <c r="A94" s="24">
        <v>90</v>
      </c>
      <c r="B94" s="27">
        <v>12</v>
      </c>
      <c r="C94" s="41">
        <v>60</v>
      </c>
      <c r="D94" s="27">
        <f>INDEX(章节关卡!$C$6:$C$20,芦花古楼!B94)*芦花古楼!C94</f>
        <v>3900</v>
      </c>
      <c r="E94" s="24">
        <f t="shared" si="39"/>
        <v>90</v>
      </c>
      <c r="F94" s="24">
        <f t="shared" si="40"/>
        <v>110</v>
      </c>
      <c r="G94" s="16">
        <f>INDEX(章节关卡!$E$6:$E$20,芦花古楼!B94)*芦花古楼!C94</f>
        <v>7800</v>
      </c>
      <c r="J94" s="24">
        <v>90</v>
      </c>
      <c r="K94" s="27">
        <v>12</v>
      </c>
      <c r="L94" s="41">
        <v>120</v>
      </c>
      <c r="M94" s="27">
        <f>INDEX(章节关卡!$C$6:$C$20,芦花古楼!K94)*芦花古楼!L94</f>
        <v>7800</v>
      </c>
      <c r="N94" s="24">
        <f t="shared" si="41"/>
        <v>95</v>
      </c>
      <c r="O94" s="24">
        <f t="shared" si="42"/>
        <v>110</v>
      </c>
      <c r="P94" s="16">
        <f>INDEX(章节关卡!$E$6:$E$20,芦花古楼!K94)*芦花古楼!L94</f>
        <v>15600</v>
      </c>
      <c r="S94" s="24">
        <v>90</v>
      </c>
      <c r="T94" s="27">
        <v>15</v>
      </c>
      <c r="U94" s="41">
        <v>180</v>
      </c>
      <c r="V94" s="27">
        <f>INDEX(章节关卡!$C$6:$C$20,芦花古楼!T94)*芦花古楼!U94</f>
        <v>22500</v>
      </c>
      <c r="W94" s="24">
        <f t="shared" si="37"/>
        <v>100</v>
      </c>
      <c r="X94" s="24">
        <f t="shared" si="38"/>
        <v>110</v>
      </c>
      <c r="Y94" s="16">
        <f>INDEX(章节关卡!$E$6:$E$20,芦花古楼!T94)*芦花古楼!U94</f>
        <v>36000</v>
      </c>
      <c r="AB94" s="24">
        <v>90</v>
      </c>
      <c r="AC94" s="27">
        <v>15</v>
      </c>
      <c r="AD94" s="41">
        <v>180</v>
      </c>
      <c r="AE94" s="27">
        <f>INDEX(章节关卡!$C$6:$C$20,芦花古楼!AC94)*芦花古楼!AD94</f>
        <v>22500</v>
      </c>
      <c r="AF94" s="24">
        <f t="shared" si="43"/>
        <v>105</v>
      </c>
      <c r="AG94" s="24">
        <f t="shared" si="44"/>
        <v>110</v>
      </c>
      <c r="AH94" s="16">
        <f>INDEX(章节关卡!$E$6:$E$20,芦花古楼!AC94)*芦花古楼!AD94</f>
        <v>36000</v>
      </c>
      <c r="AK94" s="20">
        <v>89</v>
      </c>
      <c r="AL94" s="20">
        <v>66</v>
      </c>
      <c r="AN94" s="20">
        <v>89</v>
      </c>
      <c r="AO94" s="20">
        <f t="shared" si="48"/>
        <v>67</v>
      </c>
      <c r="AQ94" s="20">
        <v>89</v>
      </c>
      <c r="AR94" s="20">
        <f t="shared" si="49"/>
        <v>68</v>
      </c>
      <c r="AT94" s="20">
        <v>89</v>
      </c>
      <c r="AU94" s="20">
        <f t="shared" si="50"/>
        <v>69</v>
      </c>
      <c r="AX94" s="20">
        <v>89</v>
      </c>
      <c r="AY94" s="16">
        <f t="shared" si="45"/>
        <v>110</v>
      </c>
      <c r="AZ94" s="16">
        <f t="shared" si="46"/>
        <v>460</v>
      </c>
      <c r="BA94" s="16">
        <f t="shared" si="47"/>
        <v>36000</v>
      </c>
    </row>
    <row r="95" spans="1:53" ht="16.5" x14ac:dyDescent="0.2">
      <c r="A95" s="24">
        <v>91</v>
      </c>
      <c r="B95" s="27">
        <v>12</v>
      </c>
      <c r="C95" s="41">
        <v>60</v>
      </c>
      <c r="D95" s="27">
        <f>INDEX(章节关卡!$C$6:$C$20,芦花古楼!B95)*芦花古楼!C95</f>
        <v>3900</v>
      </c>
      <c r="E95" s="24">
        <f t="shared" si="39"/>
        <v>95</v>
      </c>
      <c r="F95" s="24">
        <f t="shared" si="40"/>
        <v>110</v>
      </c>
      <c r="G95" s="16">
        <f>INDEX(章节关卡!$E$6:$E$20,芦花古楼!B95)*芦花古楼!C95</f>
        <v>7800</v>
      </c>
      <c r="J95" s="24">
        <v>91</v>
      </c>
      <c r="K95" s="27">
        <v>12</v>
      </c>
      <c r="L95" s="41">
        <v>120</v>
      </c>
      <c r="M95" s="27">
        <f>INDEX(章节关卡!$C$6:$C$20,芦花古楼!K95)*芦花古楼!L95</f>
        <v>7800</v>
      </c>
      <c r="N95" s="24">
        <f t="shared" si="41"/>
        <v>100</v>
      </c>
      <c r="O95" s="24">
        <f t="shared" si="42"/>
        <v>110</v>
      </c>
      <c r="P95" s="16">
        <f>INDEX(章节关卡!$E$6:$E$20,芦花古楼!K95)*芦花古楼!L95</f>
        <v>15600</v>
      </c>
      <c r="S95" s="24">
        <v>91</v>
      </c>
      <c r="T95" s="27">
        <v>15</v>
      </c>
      <c r="U95" s="41">
        <v>180</v>
      </c>
      <c r="V95" s="27">
        <f>INDEX(章节关卡!$C$6:$C$20,芦花古楼!T95)*芦花古楼!U95</f>
        <v>22500</v>
      </c>
      <c r="W95" s="24">
        <f t="shared" si="37"/>
        <v>105</v>
      </c>
      <c r="X95" s="24">
        <f t="shared" si="38"/>
        <v>110</v>
      </c>
      <c r="Y95" s="16">
        <f>INDEX(章节关卡!$E$6:$E$20,芦花古楼!T95)*芦花古楼!U95</f>
        <v>36000</v>
      </c>
      <c r="AB95" s="24">
        <v>91</v>
      </c>
      <c r="AC95" s="27">
        <v>15</v>
      </c>
      <c r="AD95" s="41">
        <v>180</v>
      </c>
      <c r="AE95" s="27">
        <f>INDEX(章节关卡!$C$6:$C$20,芦花古楼!AC95)*芦花古楼!AD95</f>
        <v>22500</v>
      </c>
      <c r="AF95" s="24">
        <f t="shared" si="43"/>
        <v>110</v>
      </c>
      <c r="AG95" s="24">
        <f t="shared" si="44"/>
        <v>110</v>
      </c>
      <c r="AH95" s="16">
        <f>INDEX(章节关卡!$E$6:$E$20,芦花古楼!AC95)*芦花古楼!AD95</f>
        <v>36000</v>
      </c>
      <c r="AK95" s="20">
        <v>90</v>
      </c>
      <c r="AL95" s="20">
        <v>69</v>
      </c>
      <c r="AN95" s="20">
        <v>90</v>
      </c>
      <c r="AO95" s="20">
        <f t="shared" si="48"/>
        <v>70</v>
      </c>
      <c r="AQ95" s="20">
        <v>90</v>
      </c>
      <c r="AR95" s="20">
        <f t="shared" si="49"/>
        <v>71</v>
      </c>
      <c r="AT95" s="20">
        <v>90</v>
      </c>
      <c r="AU95" s="20">
        <f t="shared" si="50"/>
        <v>72</v>
      </c>
      <c r="AX95" s="20">
        <v>90</v>
      </c>
      <c r="AY95" s="16">
        <f t="shared" si="45"/>
        <v>215</v>
      </c>
      <c r="AZ95" s="16">
        <f t="shared" si="46"/>
        <v>460</v>
      </c>
      <c r="BA95" s="16">
        <f t="shared" si="47"/>
        <v>43800</v>
      </c>
    </row>
    <row r="96" spans="1:53" ht="16.5" x14ac:dyDescent="0.2">
      <c r="A96" s="24">
        <v>92</v>
      </c>
      <c r="B96" s="27">
        <v>12</v>
      </c>
      <c r="C96" s="41">
        <v>60</v>
      </c>
      <c r="D96" s="27">
        <f>INDEX(章节关卡!$C$6:$C$20,芦花古楼!B96)*芦花古楼!C96</f>
        <v>3900</v>
      </c>
      <c r="E96" s="24">
        <f t="shared" si="39"/>
        <v>95</v>
      </c>
      <c r="F96" s="24">
        <f t="shared" si="40"/>
        <v>110</v>
      </c>
      <c r="G96" s="16">
        <f>INDEX(章节关卡!$E$6:$E$20,芦花古楼!B96)*芦花古楼!C96</f>
        <v>7800</v>
      </c>
      <c r="J96" s="24">
        <v>92</v>
      </c>
      <c r="K96" s="27">
        <v>12</v>
      </c>
      <c r="L96" s="41">
        <v>120</v>
      </c>
      <c r="M96" s="27">
        <f>INDEX(章节关卡!$C$6:$C$20,芦花古楼!K96)*芦花古楼!L96</f>
        <v>7800</v>
      </c>
      <c r="N96" s="24">
        <f t="shared" si="41"/>
        <v>100</v>
      </c>
      <c r="O96" s="24">
        <f t="shared" si="42"/>
        <v>110</v>
      </c>
      <c r="P96" s="16">
        <f>INDEX(章节关卡!$E$6:$E$20,芦花古楼!K96)*芦花古楼!L96</f>
        <v>15600</v>
      </c>
      <c r="S96" s="24">
        <v>92</v>
      </c>
      <c r="T96" s="27">
        <v>15</v>
      </c>
      <c r="U96" s="41">
        <v>180</v>
      </c>
      <c r="V96" s="27">
        <f>INDEX(章节关卡!$C$6:$C$20,芦花古楼!T96)*芦花古楼!U96</f>
        <v>22500</v>
      </c>
      <c r="W96" s="24">
        <f t="shared" si="37"/>
        <v>105</v>
      </c>
      <c r="X96" s="24">
        <f t="shared" si="38"/>
        <v>110</v>
      </c>
      <c r="Y96" s="16">
        <f>INDEX(章节关卡!$E$6:$E$20,芦花古楼!T96)*芦花古楼!U96</f>
        <v>36000</v>
      </c>
      <c r="AB96" s="24">
        <v>92</v>
      </c>
      <c r="AC96" s="27">
        <v>15</v>
      </c>
      <c r="AD96" s="41">
        <v>180</v>
      </c>
      <c r="AE96" s="27">
        <f>INDEX(章节关卡!$C$6:$C$20,芦花古楼!AC96)*芦花古楼!AD96</f>
        <v>22500</v>
      </c>
      <c r="AF96" s="24">
        <f t="shared" si="43"/>
        <v>110</v>
      </c>
      <c r="AG96" s="24">
        <f t="shared" si="44"/>
        <v>110</v>
      </c>
      <c r="AH96" s="16">
        <f>INDEX(章节关卡!$E$6:$E$20,芦花古楼!AC96)*芦花古楼!AD96</f>
        <v>36000</v>
      </c>
      <c r="AK96" s="20">
        <v>91</v>
      </c>
      <c r="AL96" s="20">
        <v>72</v>
      </c>
      <c r="AN96" s="20">
        <v>91</v>
      </c>
      <c r="AO96" s="20">
        <f t="shared" si="48"/>
        <v>73</v>
      </c>
      <c r="AQ96" s="20">
        <v>91</v>
      </c>
      <c r="AR96" s="20">
        <f t="shared" si="49"/>
        <v>74</v>
      </c>
      <c r="AT96" s="20">
        <v>91</v>
      </c>
      <c r="AU96" s="20">
        <f t="shared" si="50"/>
        <v>75</v>
      </c>
      <c r="AX96" s="20">
        <v>91</v>
      </c>
      <c r="AY96" s="16">
        <f t="shared" si="45"/>
        <v>105</v>
      </c>
      <c r="AZ96" s="16">
        <f t="shared" si="46"/>
        <v>460</v>
      </c>
      <c r="BA96" s="16">
        <f t="shared" si="47"/>
        <v>15600</v>
      </c>
    </row>
    <row r="97" spans="1:53" ht="16.5" x14ac:dyDescent="0.2">
      <c r="A97" s="24">
        <v>93</v>
      </c>
      <c r="B97" s="27">
        <v>12</v>
      </c>
      <c r="C97" s="41">
        <v>60</v>
      </c>
      <c r="D97" s="27">
        <f>INDEX(章节关卡!$C$6:$C$20,芦花古楼!B97)*芦花古楼!C97</f>
        <v>3900</v>
      </c>
      <c r="E97" s="24">
        <f t="shared" si="39"/>
        <v>95</v>
      </c>
      <c r="F97" s="24">
        <f t="shared" si="40"/>
        <v>110</v>
      </c>
      <c r="G97" s="16">
        <f>INDEX(章节关卡!$E$6:$E$20,芦花古楼!B97)*芦花古楼!C97</f>
        <v>7800</v>
      </c>
      <c r="J97" s="24">
        <v>93</v>
      </c>
      <c r="K97" s="27">
        <v>12</v>
      </c>
      <c r="L97" s="41">
        <v>120</v>
      </c>
      <c r="M97" s="27">
        <f>INDEX(章节关卡!$C$6:$C$20,芦花古楼!K97)*芦花古楼!L97</f>
        <v>7800</v>
      </c>
      <c r="N97" s="24">
        <f t="shared" si="41"/>
        <v>100</v>
      </c>
      <c r="O97" s="24">
        <f t="shared" si="42"/>
        <v>110</v>
      </c>
      <c r="P97" s="16">
        <f>INDEX(章节关卡!$E$6:$E$20,芦花古楼!K97)*芦花古楼!L97</f>
        <v>15600</v>
      </c>
      <c r="S97" s="24">
        <v>93</v>
      </c>
      <c r="T97" s="27">
        <v>15</v>
      </c>
      <c r="U97" s="41">
        <v>180</v>
      </c>
      <c r="V97" s="27">
        <f>INDEX(章节关卡!$C$6:$C$20,芦花古楼!T97)*芦花古楼!U97</f>
        <v>22500</v>
      </c>
      <c r="W97" s="24">
        <f t="shared" si="37"/>
        <v>105</v>
      </c>
      <c r="X97" s="24">
        <f t="shared" si="38"/>
        <v>110</v>
      </c>
      <c r="Y97" s="16">
        <f>INDEX(章节关卡!$E$6:$E$20,芦花古楼!T97)*芦花古楼!U97</f>
        <v>36000</v>
      </c>
      <c r="AB97" s="24">
        <v>93</v>
      </c>
      <c r="AC97" s="27">
        <v>15</v>
      </c>
      <c r="AD97" s="41">
        <v>180</v>
      </c>
      <c r="AE97" s="27">
        <f>INDEX(章节关卡!$C$6:$C$20,芦花古楼!AC97)*芦花古楼!AD97</f>
        <v>22500</v>
      </c>
      <c r="AF97" s="24">
        <f t="shared" si="43"/>
        <v>110</v>
      </c>
      <c r="AG97" s="24">
        <f t="shared" si="44"/>
        <v>110</v>
      </c>
      <c r="AH97" s="16">
        <f>INDEX(章节关卡!$E$6:$E$20,芦花古楼!AC97)*芦花古楼!AD97</f>
        <v>36000</v>
      </c>
      <c r="AK97" s="20">
        <v>92</v>
      </c>
      <c r="AL97" s="20">
        <v>75</v>
      </c>
      <c r="AN97" s="20">
        <v>92</v>
      </c>
      <c r="AO97" s="20">
        <f t="shared" si="48"/>
        <v>76</v>
      </c>
      <c r="AQ97" s="20">
        <v>92</v>
      </c>
      <c r="AR97" s="20">
        <f t="shared" si="49"/>
        <v>77</v>
      </c>
      <c r="AT97" s="20">
        <v>92</v>
      </c>
      <c r="AU97" s="20">
        <f t="shared" si="50"/>
        <v>78</v>
      </c>
      <c r="AX97" s="20">
        <v>92</v>
      </c>
      <c r="AY97" s="16">
        <f t="shared" si="45"/>
        <v>110</v>
      </c>
      <c r="AZ97" s="16">
        <f t="shared" si="46"/>
        <v>460</v>
      </c>
      <c r="BA97" s="16">
        <f t="shared" si="47"/>
        <v>36000</v>
      </c>
    </row>
    <row r="98" spans="1:53" ht="16.5" x14ac:dyDescent="0.2">
      <c r="A98" s="24">
        <v>94</v>
      </c>
      <c r="B98" s="27">
        <v>12</v>
      </c>
      <c r="C98" s="41">
        <v>60</v>
      </c>
      <c r="D98" s="27">
        <f>INDEX(章节关卡!$C$6:$C$20,芦花古楼!B98)*芦花古楼!C98</f>
        <v>3900</v>
      </c>
      <c r="E98" s="24">
        <f t="shared" si="39"/>
        <v>95</v>
      </c>
      <c r="F98" s="24">
        <f t="shared" si="40"/>
        <v>110</v>
      </c>
      <c r="G98" s="16">
        <f>INDEX(章节关卡!$E$6:$E$20,芦花古楼!B98)*芦花古楼!C98</f>
        <v>7800</v>
      </c>
      <c r="J98" s="24">
        <v>94</v>
      </c>
      <c r="K98" s="27">
        <v>12</v>
      </c>
      <c r="L98" s="41">
        <v>120</v>
      </c>
      <c r="M98" s="27">
        <f>INDEX(章节关卡!$C$6:$C$20,芦花古楼!K98)*芦花古楼!L98</f>
        <v>7800</v>
      </c>
      <c r="N98" s="24">
        <f t="shared" si="41"/>
        <v>100</v>
      </c>
      <c r="O98" s="24">
        <f t="shared" si="42"/>
        <v>110</v>
      </c>
      <c r="P98" s="16">
        <f>INDEX(章节关卡!$E$6:$E$20,芦花古楼!K98)*芦花古楼!L98</f>
        <v>15600</v>
      </c>
      <c r="S98" s="24">
        <v>94</v>
      </c>
      <c r="T98" s="27">
        <v>15</v>
      </c>
      <c r="U98" s="41">
        <v>180</v>
      </c>
      <c r="V98" s="27">
        <f>INDEX(章节关卡!$C$6:$C$20,芦花古楼!T98)*芦花古楼!U98</f>
        <v>22500</v>
      </c>
      <c r="W98" s="24">
        <f t="shared" si="37"/>
        <v>105</v>
      </c>
      <c r="X98" s="24">
        <f t="shared" si="38"/>
        <v>110</v>
      </c>
      <c r="Y98" s="16">
        <f>INDEX(章节关卡!$E$6:$E$20,芦花古楼!T98)*芦花古楼!U98</f>
        <v>36000</v>
      </c>
      <c r="AB98" s="24">
        <v>94</v>
      </c>
      <c r="AC98" s="27">
        <v>15</v>
      </c>
      <c r="AD98" s="41">
        <v>180</v>
      </c>
      <c r="AE98" s="27">
        <f>INDEX(章节关卡!$C$6:$C$20,芦花古楼!AC98)*芦花古楼!AD98</f>
        <v>22500</v>
      </c>
      <c r="AF98" s="24">
        <f t="shared" si="43"/>
        <v>110</v>
      </c>
      <c r="AG98" s="24">
        <f t="shared" si="44"/>
        <v>110</v>
      </c>
      <c r="AH98" s="16">
        <f>INDEX(章节关卡!$E$6:$E$20,芦花古楼!AC98)*芦花古楼!AD98</f>
        <v>36000</v>
      </c>
      <c r="AK98" s="20">
        <v>93</v>
      </c>
      <c r="AL98" s="20">
        <v>78</v>
      </c>
      <c r="AN98" s="20">
        <v>93</v>
      </c>
      <c r="AO98" s="20">
        <f t="shared" si="48"/>
        <v>79</v>
      </c>
      <c r="AQ98" s="20">
        <v>93</v>
      </c>
      <c r="AR98" s="20">
        <f t="shared" si="49"/>
        <v>80</v>
      </c>
      <c r="AT98" s="20">
        <v>93</v>
      </c>
      <c r="AU98" s="20">
        <f t="shared" si="50"/>
        <v>81</v>
      </c>
      <c r="AX98" s="20">
        <v>93</v>
      </c>
      <c r="AY98" s="16">
        <f t="shared" si="45"/>
        <v>215</v>
      </c>
      <c r="AZ98" s="16">
        <f t="shared" si="46"/>
        <v>460</v>
      </c>
      <c r="BA98" s="16">
        <f t="shared" si="47"/>
        <v>43800</v>
      </c>
    </row>
    <row r="99" spans="1:53" ht="16.5" x14ac:dyDescent="0.2">
      <c r="A99" s="24">
        <v>95</v>
      </c>
      <c r="B99" s="27">
        <v>12</v>
      </c>
      <c r="C99" s="41">
        <v>60</v>
      </c>
      <c r="D99" s="27">
        <f>INDEX(章节关卡!$C$6:$C$20,芦花古楼!B99)*芦花古楼!C99</f>
        <v>3900</v>
      </c>
      <c r="E99" s="24">
        <f t="shared" si="39"/>
        <v>95</v>
      </c>
      <c r="F99" s="24">
        <f t="shared" si="40"/>
        <v>115</v>
      </c>
      <c r="G99" s="16">
        <f>INDEX(章节关卡!$E$6:$E$20,芦花古楼!B99)*芦花古楼!C99</f>
        <v>7800</v>
      </c>
      <c r="J99" s="24">
        <v>95</v>
      </c>
      <c r="K99" s="27">
        <v>12</v>
      </c>
      <c r="L99" s="41">
        <v>120</v>
      </c>
      <c r="M99" s="27">
        <f>INDEX(章节关卡!$C$6:$C$20,芦花古楼!K99)*芦花古楼!L99</f>
        <v>7800</v>
      </c>
      <c r="N99" s="24">
        <f t="shared" si="41"/>
        <v>100</v>
      </c>
      <c r="O99" s="24">
        <f t="shared" si="42"/>
        <v>115</v>
      </c>
      <c r="P99" s="16">
        <f>INDEX(章节关卡!$E$6:$E$20,芦花古楼!K99)*芦花古楼!L99</f>
        <v>15600</v>
      </c>
      <c r="S99" s="24">
        <v>95</v>
      </c>
      <c r="T99" s="27">
        <v>15</v>
      </c>
      <c r="U99" s="41">
        <v>180</v>
      </c>
      <c r="V99" s="27">
        <f>INDEX(章节关卡!$C$6:$C$20,芦花古楼!T99)*芦花古楼!U99</f>
        <v>22500</v>
      </c>
      <c r="W99" s="24">
        <f t="shared" si="37"/>
        <v>105</v>
      </c>
      <c r="X99" s="24">
        <f t="shared" si="38"/>
        <v>115</v>
      </c>
      <c r="Y99" s="16">
        <f>INDEX(章节关卡!$E$6:$E$20,芦花古楼!T99)*芦花古楼!U99</f>
        <v>36000</v>
      </c>
      <c r="AB99" s="24">
        <v>95</v>
      </c>
      <c r="AC99" s="27">
        <v>15</v>
      </c>
      <c r="AD99" s="41">
        <v>180</v>
      </c>
      <c r="AE99" s="27">
        <f>INDEX(章节关卡!$C$6:$C$20,芦花古楼!AC99)*芦花古楼!AD99</f>
        <v>22500</v>
      </c>
      <c r="AF99" s="24">
        <f t="shared" si="43"/>
        <v>110</v>
      </c>
      <c r="AG99" s="24">
        <f t="shared" si="44"/>
        <v>115</v>
      </c>
      <c r="AH99" s="16">
        <f>INDEX(章节关卡!$E$6:$E$20,芦花古楼!AC99)*芦花古楼!AD99</f>
        <v>36000</v>
      </c>
      <c r="AK99" s="20">
        <v>94</v>
      </c>
      <c r="AL99" s="20">
        <v>81</v>
      </c>
      <c r="AN99" s="20">
        <v>94</v>
      </c>
      <c r="AO99" s="20">
        <f t="shared" si="48"/>
        <v>82</v>
      </c>
      <c r="AQ99" s="20">
        <v>94</v>
      </c>
      <c r="AR99" s="20">
        <f t="shared" si="49"/>
        <v>83</v>
      </c>
      <c r="AT99" s="20">
        <v>94</v>
      </c>
      <c r="AU99" s="20">
        <f t="shared" si="50"/>
        <v>84</v>
      </c>
      <c r="AX99" s="20">
        <v>94</v>
      </c>
      <c r="AY99" s="16">
        <f t="shared" si="45"/>
        <v>105</v>
      </c>
      <c r="AZ99" s="16">
        <f t="shared" si="46"/>
        <v>460</v>
      </c>
      <c r="BA99" s="16">
        <f t="shared" si="47"/>
        <v>15600</v>
      </c>
    </row>
    <row r="100" spans="1:53" ht="16.5" x14ac:dyDescent="0.2">
      <c r="A100" s="24">
        <v>96</v>
      </c>
      <c r="B100" s="27">
        <v>12</v>
      </c>
      <c r="C100" s="41">
        <v>60</v>
      </c>
      <c r="D100" s="27">
        <f>INDEX(章节关卡!$C$6:$C$20,芦花古楼!B100)*芦花古楼!C100</f>
        <v>3900</v>
      </c>
      <c r="E100" s="24">
        <f t="shared" si="39"/>
        <v>100</v>
      </c>
      <c r="F100" s="24">
        <f t="shared" si="40"/>
        <v>115</v>
      </c>
      <c r="G100" s="16">
        <f>INDEX(章节关卡!$E$6:$E$20,芦花古楼!B100)*芦花古楼!C100</f>
        <v>7800</v>
      </c>
      <c r="J100" s="24">
        <v>96</v>
      </c>
      <c r="K100" s="27">
        <v>12</v>
      </c>
      <c r="L100" s="41">
        <v>120</v>
      </c>
      <c r="M100" s="27">
        <f>INDEX(章节关卡!$C$6:$C$20,芦花古楼!K100)*芦花古楼!L100</f>
        <v>7800</v>
      </c>
      <c r="N100" s="24">
        <f t="shared" si="41"/>
        <v>105</v>
      </c>
      <c r="O100" s="24">
        <f t="shared" si="42"/>
        <v>115</v>
      </c>
      <c r="P100" s="16">
        <f>INDEX(章节关卡!$E$6:$E$20,芦花古楼!K100)*芦花古楼!L100</f>
        <v>15600</v>
      </c>
      <c r="S100" s="24">
        <v>96</v>
      </c>
      <c r="T100" s="27">
        <v>15</v>
      </c>
      <c r="U100" s="41">
        <v>180</v>
      </c>
      <c r="V100" s="27">
        <f>INDEX(章节关卡!$C$6:$C$20,芦花古楼!T100)*芦花古楼!U100</f>
        <v>22500</v>
      </c>
      <c r="W100" s="24">
        <f t="shared" si="37"/>
        <v>110</v>
      </c>
      <c r="X100" s="24">
        <f t="shared" si="38"/>
        <v>115</v>
      </c>
      <c r="Y100" s="16">
        <f>INDEX(章节关卡!$E$6:$E$20,芦花古楼!T100)*芦花古楼!U100</f>
        <v>36000</v>
      </c>
      <c r="AB100" s="24">
        <v>96</v>
      </c>
      <c r="AC100" s="27">
        <v>15</v>
      </c>
      <c r="AD100" s="41">
        <v>180</v>
      </c>
      <c r="AE100" s="27">
        <f>INDEX(章节关卡!$C$6:$C$20,芦花古楼!AC100)*芦花古楼!AD100</f>
        <v>22500</v>
      </c>
      <c r="AF100" s="24">
        <f t="shared" si="43"/>
        <v>115</v>
      </c>
      <c r="AG100" s="24">
        <f t="shared" si="44"/>
        <v>115</v>
      </c>
      <c r="AH100" s="16">
        <f>INDEX(章节关卡!$E$6:$E$20,芦花古楼!AC100)*芦花古楼!AD100</f>
        <v>36000</v>
      </c>
      <c r="AK100" s="20">
        <v>95</v>
      </c>
      <c r="AL100" s="20">
        <v>84</v>
      </c>
      <c r="AN100" s="20">
        <v>95</v>
      </c>
      <c r="AO100" s="20">
        <f t="shared" si="48"/>
        <v>85</v>
      </c>
      <c r="AQ100" s="20">
        <v>95</v>
      </c>
      <c r="AR100" s="20">
        <f t="shared" si="49"/>
        <v>86</v>
      </c>
      <c r="AT100" s="20">
        <v>95</v>
      </c>
      <c r="AU100" s="20">
        <f t="shared" si="50"/>
        <v>87</v>
      </c>
      <c r="AX100" s="20">
        <v>95</v>
      </c>
      <c r="AY100" s="16">
        <f t="shared" si="45"/>
        <v>110</v>
      </c>
      <c r="AZ100" s="16">
        <f t="shared" si="46"/>
        <v>460</v>
      </c>
      <c r="BA100" s="16">
        <f t="shared" si="47"/>
        <v>36000</v>
      </c>
    </row>
    <row r="101" spans="1:53" ht="16.5" x14ac:dyDescent="0.2">
      <c r="A101" s="24">
        <v>97</v>
      </c>
      <c r="B101" s="27">
        <v>12</v>
      </c>
      <c r="C101" s="41">
        <v>60</v>
      </c>
      <c r="D101" s="27">
        <f>INDEX(章节关卡!$C$6:$C$20,芦花古楼!B101)*芦花古楼!C101</f>
        <v>3900</v>
      </c>
      <c r="E101" s="24">
        <f t="shared" si="39"/>
        <v>100</v>
      </c>
      <c r="F101" s="24">
        <f t="shared" si="40"/>
        <v>115</v>
      </c>
      <c r="G101" s="16">
        <f>INDEX(章节关卡!$E$6:$E$20,芦花古楼!B101)*芦花古楼!C101</f>
        <v>7800</v>
      </c>
      <c r="J101" s="24">
        <v>97</v>
      </c>
      <c r="K101" s="27">
        <v>12</v>
      </c>
      <c r="L101" s="41">
        <v>120</v>
      </c>
      <c r="M101" s="27">
        <f>INDEX(章节关卡!$C$6:$C$20,芦花古楼!K101)*芦花古楼!L101</f>
        <v>7800</v>
      </c>
      <c r="N101" s="24">
        <f t="shared" si="41"/>
        <v>105</v>
      </c>
      <c r="O101" s="24">
        <f t="shared" si="42"/>
        <v>115</v>
      </c>
      <c r="P101" s="16">
        <f>INDEX(章节关卡!$E$6:$E$20,芦花古楼!K101)*芦花古楼!L101</f>
        <v>15600</v>
      </c>
      <c r="S101" s="24">
        <v>97</v>
      </c>
      <c r="T101" s="27">
        <v>15</v>
      </c>
      <c r="U101" s="41">
        <v>180</v>
      </c>
      <c r="V101" s="27">
        <f>INDEX(章节关卡!$C$6:$C$20,芦花古楼!T101)*芦花古楼!U101</f>
        <v>22500</v>
      </c>
      <c r="W101" s="24">
        <f t="shared" si="37"/>
        <v>110</v>
      </c>
      <c r="X101" s="24">
        <f t="shared" si="38"/>
        <v>115</v>
      </c>
      <c r="Y101" s="16">
        <f>INDEX(章节关卡!$E$6:$E$20,芦花古楼!T101)*芦花古楼!U101</f>
        <v>36000</v>
      </c>
      <c r="AB101" s="24">
        <v>97</v>
      </c>
      <c r="AC101" s="27">
        <v>15</v>
      </c>
      <c r="AD101" s="41">
        <v>180</v>
      </c>
      <c r="AE101" s="27">
        <f>INDEX(章节关卡!$C$6:$C$20,芦花古楼!AC101)*芦花古楼!AD101</f>
        <v>22500</v>
      </c>
      <c r="AF101" s="24">
        <f t="shared" si="43"/>
        <v>115</v>
      </c>
      <c r="AG101" s="24">
        <f t="shared" si="44"/>
        <v>115</v>
      </c>
      <c r="AH101" s="16">
        <f>INDEX(章节关卡!$E$6:$E$20,芦花古楼!AC101)*芦花古楼!AD101</f>
        <v>36000</v>
      </c>
      <c r="AK101" s="20">
        <v>96</v>
      </c>
      <c r="AL101" s="20">
        <v>87</v>
      </c>
      <c r="AN101" s="20">
        <v>96</v>
      </c>
      <c r="AO101" s="20">
        <f t="shared" si="48"/>
        <v>88</v>
      </c>
      <c r="AQ101" s="20">
        <v>96</v>
      </c>
      <c r="AR101" s="20">
        <f t="shared" si="49"/>
        <v>89</v>
      </c>
      <c r="AT101" s="20">
        <v>96</v>
      </c>
      <c r="AU101" s="20">
        <f t="shared" si="50"/>
        <v>90</v>
      </c>
      <c r="AX101" s="20">
        <v>96</v>
      </c>
      <c r="AY101" s="16">
        <f t="shared" si="45"/>
        <v>215</v>
      </c>
      <c r="AZ101" s="16">
        <f t="shared" si="46"/>
        <v>460</v>
      </c>
      <c r="BA101" s="16">
        <f t="shared" si="47"/>
        <v>43800</v>
      </c>
    </row>
    <row r="102" spans="1:53" ht="16.5" x14ac:dyDescent="0.2">
      <c r="A102" s="24">
        <v>98</v>
      </c>
      <c r="B102" s="27">
        <v>12</v>
      </c>
      <c r="C102" s="41">
        <v>60</v>
      </c>
      <c r="D102" s="27">
        <f>INDEX(章节关卡!$C$6:$C$20,芦花古楼!B102)*芦花古楼!C102</f>
        <v>3900</v>
      </c>
      <c r="E102" s="24">
        <f t="shared" si="39"/>
        <v>100</v>
      </c>
      <c r="F102" s="24">
        <f t="shared" si="40"/>
        <v>115</v>
      </c>
      <c r="G102" s="16">
        <f>INDEX(章节关卡!$E$6:$E$20,芦花古楼!B102)*芦花古楼!C102</f>
        <v>7800</v>
      </c>
      <c r="J102" s="24">
        <v>98</v>
      </c>
      <c r="K102" s="27">
        <v>12</v>
      </c>
      <c r="L102" s="41">
        <v>120</v>
      </c>
      <c r="M102" s="27">
        <f>INDEX(章节关卡!$C$6:$C$20,芦花古楼!K102)*芦花古楼!L102</f>
        <v>7800</v>
      </c>
      <c r="N102" s="24">
        <f t="shared" si="41"/>
        <v>105</v>
      </c>
      <c r="O102" s="24">
        <f t="shared" si="42"/>
        <v>115</v>
      </c>
      <c r="P102" s="16">
        <f>INDEX(章节关卡!$E$6:$E$20,芦花古楼!K102)*芦花古楼!L102</f>
        <v>15600</v>
      </c>
      <c r="S102" s="24">
        <v>98</v>
      </c>
      <c r="T102" s="27">
        <v>15</v>
      </c>
      <c r="U102" s="41">
        <v>180</v>
      </c>
      <c r="V102" s="27">
        <f>INDEX(章节关卡!$C$6:$C$20,芦花古楼!T102)*芦花古楼!U102</f>
        <v>22500</v>
      </c>
      <c r="W102" s="24">
        <f t="shared" si="37"/>
        <v>110</v>
      </c>
      <c r="X102" s="24">
        <f t="shared" si="38"/>
        <v>115</v>
      </c>
      <c r="Y102" s="16">
        <f>INDEX(章节关卡!$E$6:$E$20,芦花古楼!T102)*芦花古楼!U102</f>
        <v>36000</v>
      </c>
      <c r="AB102" s="24">
        <v>98</v>
      </c>
      <c r="AC102" s="27">
        <v>15</v>
      </c>
      <c r="AD102" s="41">
        <v>180</v>
      </c>
      <c r="AE102" s="27">
        <f>INDEX(章节关卡!$C$6:$C$20,芦花古楼!AC102)*芦花古楼!AD102</f>
        <v>22500</v>
      </c>
      <c r="AF102" s="24">
        <f t="shared" si="43"/>
        <v>115</v>
      </c>
      <c r="AG102" s="24">
        <f t="shared" si="44"/>
        <v>115</v>
      </c>
      <c r="AH102" s="16">
        <f>INDEX(章节关卡!$E$6:$E$20,芦花古楼!AC102)*芦花古楼!AD102</f>
        <v>36000</v>
      </c>
      <c r="AK102" s="20">
        <v>97</v>
      </c>
      <c r="AL102" s="20">
        <v>90</v>
      </c>
      <c r="AN102" s="20">
        <v>97</v>
      </c>
      <c r="AO102" s="20">
        <f t="shared" si="48"/>
        <v>91</v>
      </c>
      <c r="AQ102" s="20">
        <v>97</v>
      </c>
      <c r="AR102" s="20">
        <f t="shared" si="49"/>
        <v>92</v>
      </c>
      <c r="AT102" s="20">
        <v>97</v>
      </c>
      <c r="AU102" s="20">
        <f t="shared" si="50"/>
        <v>93</v>
      </c>
      <c r="AX102" s="20">
        <v>97</v>
      </c>
      <c r="AY102" s="16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6">
        <f t="shared" si="46"/>
        <v>460</v>
      </c>
      <c r="BA102" s="16">
        <f t="shared" si="47"/>
        <v>15600</v>
      </c>
    </row>
    <row r="103" spans="1:53" ht="16.5" x14ac:dyDescent="0.2">
      <c r="A103" s="24">
        <v>99</v>
      </c>
      <c r="B103" s="27">
        <v>12</v>
      </c>
      <c r="C103" s="41">
        <v>60</v>
      </c>
      <c r="D103" s="27">
        <f>INDEX(章节关卡!$C$6:$C$20,芦花古楼!B103)*芦花古楼!C103</f>
        <v>3900</v>
      </c>
      <c r="E103" s="24">
        <f t="shared" si="39"/>
        <v>100</v>
      </c>
      <c r="F103" s="24">
        <f t="shared" si="40"/>
        <v>115</v>
      </c>
      <c r="G103" s="16">
        <f>INDEX(章节关卡!$E$6:$E$20,芦花古楼!B103)*芦花古楼!C103</f>
        <v>7800</v>
      </c>
      <c r="J103" s="24">
        <v>99</v>
      </c>
      <c r="K103" s="27">
        <v>12</v>
      </c>
      <c r="L103" s="41">
        <v>120</v>
      </c>
      <c r="M103" s="27">
        <f>INDEX(章节关卡!$C$6:$C$20,芦花古楼!K103)*芦花古楼!L103</f>
        <v>7800</v>
      </c>
      <c r="N103" s="24">
        <f t="shared" si="41"/>
        <v>105</v>
      </c>
      <c r="O103" s="24">
        <f t="shared" si="42"/>
        <v>115</v>
      </c>
      <c r="P103" s="16">
        <f>INDEX(章节关卡!$E$6:$E$20,芦花古楼!K103)*芦花古楼!L103</f>
        <v>15600</v>
      </c>
      <c r="S103" s="24">
        <v>99</v>
      </c>
      <c r="T103" s="27">
        <v>15</v>
      </c>
      <c r="U103" s="41">
        <v>180</v>
      </c>
      <c r="V103" s="27">
        <f>INDEX(章节关卡!$C$6:$C$20,芦花古楼!T103)*芦花古楼!U103</f>
        <v>22500</v>
      </c>
      <c r="W103" s="24">
        <f t="shared" si="37"/>
        <v>110</v>
      </c>
      <c r="X103" s="24">
        <f t="shared" si="38"/>
        <v>115</v>
      </c>
      <c r="Y103" s="16">
        <f>INDEX(章节关卡!$E$6:$E$20,芦花古楼!T103)*芦花古楼!U103</f>
        <v>36000</v>
      </c>
      <c r="AB103" s="24">
        <v>99</v>
      </c>
      <c r="AC103" s="27">
        <v>15</v>
      </c>
      <c r="AD103" s="41">
        <v>180</v>
      </c>
      <c r="AE103" s="27">
        <f>INDEX(章节关卡!$C$6:$C$20,芦花古楼!AC103)*芦花古楼!AD103</f>
        <v>22500</v>
      </c>
      <c r="AF103" s="24">
        <f t="shared" si="43"/>
        <v>115</v>
      </c>
      <c r="AG103" s="24">
        <f t="shared" si="44"/>
        <v>115</v>
      </c>
      <c r="AH103" s="16">
        <f>INDEX(章节关卡!$E$6:$E$20,芦花古楼!AC103)*芦花古楼!AD103</f>
        <v>36000</v>
      </c>
      <c r="AK103" s="20">
        <v>98</v>
      </c>
      <c r="AL103" s="20">
        <v>93</v>
      </c>
      <c r="AN103" s="20">
        <v>98</v>
      </c>
      <c r="AO103" s="20">
        <f t="shared" si="48"/>
        <v>94</v>
      </c>
      <c r="AQ103" s="20">
        <v>98</v>
      </c>
      <c r="AR103" s="20">
        <f t="shared" si="49"/>
        <v>95</v>
      </c>
      <c r="AT103" s="20">
        <v>98</v>
      </c>
      <c r="AU103" s="20">
        <f t="shared" si="50"/>
        <v>96</v>
      </c>
      <c r="AX103" s="20">
        <v>98</v>
      </c>
      <c r="AY103" s="16">
        <f t="shared" si="51"/>
        <v>110</v>
      </c>
      <c r="AZ103" s="16">
        <f t="shared" si="46"/>
        <v>460</v>
      </c>
      <c r="BA103" s="16">
        <f t="shared" si="47"/>
        <v>36000</v>
      </c>
    </row>
    <row r="104" spans="1:53" ht="16.5" x14ac:dyDescent="0.2">
      <c r="A104" s="24">
        <v>100</v>
      </c>
      <c r="B104" s="27">
        <v>13</v>
      </c>
      <c r="C104" s="41">
        <v>60</v>
      </c>
      <c r="D104" s="27">
        <f>INDEX(章节关卡!$C$6:$C$20,芦花古楼!B104)*芦花古楼!C104</f>
        <v>4800</v>
      </c>
      <c r="E104" s="24">
        <f t="shared" si="39"/>
        <v>100</v>
      </c>
      <c r="F104" s="24">
        <f t="shared" si="40"/>
        <v>120</v>
      </c>
      <c r="G104" s="16">
        <f>INDEX(章节关卡!$E$6:$E$20,芦花古楼!B104)*芦花古楼!C104</f>
        <v>9000</v>
      </c>
      <c r="J104" s="24">
        <v>100</v>
      </c>
      <c r="K104" s="27">
        <v>13</v>
      </c>
      <c r="L104" s="41">
        <v>120</v>
      </c>
      <c r="M104" s="27">
        <f>INDEX(章节关卡!$C$6:$C$20,芦花古楼!K104)*芦花古楼!L104</f>
        <v>9600</v>
      </c>
      <c r="N104" s="24">
        <f t="shared" si="41"/>
        <v>105</v>
      </c>
      <c r="O104" s="24">
        <f t="shared" si="42"/>
        <v>120</v>
      </c>
      <c r="P104" s="16">
        <f>INDEX(章节关卡!$E$6:$E$20,芦花古楼!K104)*芦花古楼!L104</f>
        <v>18000</v>
      </c>
      <c r="S104" s="24">
        <v>100</v>
      </c>
      <c r="T104" s="27">
        <v>15</v>
      </c>
      <c r="U104" s="41">
        <v>180</v>
      </c>
      <c r="V104" s="27">
        <f>INDEX(章节关卡!$C$6:$C$20,芦花古楼!T104)*芦花古楼!U104</f>
        <v>22500</v>
      </c>
      <c r="W104" s="24">
        <f t="shared" si="37"/>
        <v>110</v>
      </c>
      <c r="X104" s="24">
        <f t="shared" si="38"/>
        <v>120</v>
      </c>
      <c r="Y104" s="16">
        <f>INDEX(章节关卡!$E$6:$E$20,芦花古楼!T104)*芦花古楼!U104</f>
        <v>36000</v>
      </c>
      <c r="AB104" s="24">
        <v>100</v>
      </c>
      <c r="AC104" s="27">
        <v>15</v>
      </c>
      <c r="AD104" s="41">
        <v>180</v>
      </c>
      <c r="AE104" s="27">
        <f>INDEX(章节关卡!$C$6:$C$20,芦花古楼!AC104)*芦花古楼!AD104</f>
        <v>22500</v>
      </c>
      <c r="AF104" s="24">
        <f t="shared" si="43"/>
        <v>115</v>
      </c>
      <c r="AG104" s="24">
        <f t="shared" si="44"/>
        <v>120</v>
      </c>
      <c r="AH104" s="16">
        <f>INDEX(章节关卡!$E$6:$E$20,芦花古楼!AC104)*芦花古楼!AD104</f>
        <v>36000</v>
      </c>
      <c r="AK104" s="20">
        <v>99</v>
      </c>
      <c r="AL104" s="20">
        <v>96</v>
      </c>
      <c r="AN104" s="20">
        <v>99</v>
      </c>
      <c r="AO104" s="20">
        <f t="shared" si="48"/>
        <v>97</v>
      </c>
      <c r="AQ104" s="20">
        <v>99</v>
      </c>
      <c r="AR104" s="20">
        <f t="shared" si="49"/>
        <v>98</v>
      </c>
      <c r="AT104" s="20">
        <v>99</v>
      </c>
      <c r="AU104" s="20">
        <f t="shared" si="50"/>
        <v>99</v>
      </c>
      <c r="AX104" s="20">
        <v>99</v>
      </c>
      <c r="AY104" s="16">
        <f t="shared" si="51"/>
        <v>215</v>
      </c>
      <c r="AZ104" s="16">
        <f t="shared" si="46"/>
        <v>465</v>
      </c>
      <c r="BA104" s="16">
        <f t="shared" si="47"/>
        <v>45000</v>
      </c>
    </row>
    <row r="105" spans="1:53" ht="16.5" x14ac:dyDescent="0.2">
      <c r="AK105" s="20">
        <v>100</v>
      </c>
      <c r="AL105" s="20">
        <v>99</v>
      </c>
      <c r="AN105" s="20">
        <v>100</v>
      </c>
      <c r="AO105" s="20">
        <f t="shared" si="48"/>
        <v>100</v>
      </c>
      <c r="AQ105" s="20">
        <v>100</v>
      </c>
      <c r="AR105" s="20">
        <f t="shared" si="49"/>
        <v>101</v>
      </c>
      <c r="AT105" s="20">
        <v>100</v>
      </c>
      <c r="AU105" s="20">
        <f t="shared" si="50"/>
        <v>102</v>
      </c>
      <c r="AX105" s="20">
        <v>100</v>
      </c>
      <c r="AY105" s="16">
        <f t="shared" si="51"/>
        <v>105</v>
      </c>
      <c r="AZ105" s="16">
        <f t="shared" si="46"/>
        <v>470</v>
      </c>
      <c r="BA105" s="16">
        <f t="shared" si="47"/>
        <v>18000</v>
      </c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7"/>
  <sheetViews>
    <sheetView workbookViewId="0">
      <selection activeCell="J26" sqref="J26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63" t="s">
        <v>85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8" t="s">
        <v>203</v>
      </c>
      <c r="J4" s="27">
        <v>1</v>
      </c>
      <c r="N4" s="12" t="s">
        <v>51</v>
      </c>
      <c r="O4" s="12" t="s">
        <v>49</v>
      </c>
      <c r="P4" s="12" t="s">
        <v>50</v>
      </c>
      <c r="T4" s="17"/>
    </row>
    <row r="5" spans="1:20" ht="16.5" customHeight="1" x14ac:dyDescent="0.2">
      <c r="A5" s="19">
        <v>1</v>
      </c>
      <c r="B5" s="19">
        <v>50</v>
      </c>
      <c r="D5" s="68" t="s">
        <v>43</v>
      </c>
      <c r="E5" s="68"/>
      <c r="F5" s="68"/>
      <c r="G5" s="68"/>
      <c r="I5" s="15" t="s">
        <v>44</v>
      </c>
      <c r="J5" s="16">
        <f>SUMIFS(章节关卡!$AR$5:$AR$200,章节关卡!$AP$5:$AP$200,"="&amp;分段产出计算!J4)</f>
        <v>700</v>
      </c>
      <c r="N5" s="19">
        <v>1</v>
      </c>
      <c r="O5" s="22">
        <f>N5/N$3</f>
        <v>4.6511627906976744E-2</v>
      </c>
      <c r="P5" s="16">
        <f>INT($J$8*O5/5)*5</f>
        <v>75</v>
      </c>
      <c r="T5" s="17"/>
    </row>
    <row r="6" spans="1:20" ht="16.5" x14ac:dyDescent="0.2">
      <c r="A6" s="19">
        <v>2</v>
      </c>
      <c r="B6" s="19">
        <v>60</v>
      </c>
      <c r="D6" s="68"/>
      <c r="E6" s="68"/>
      <c r="F6" s="68"/>
      <c r="G6" s="68"/>
      <c r="I6" s="15" t="s">
        <v>45</v>
      </c>
      <c r="J6" s="19">
        <v>60</v>
      </c>
      <c r="K6" s="16">
        <f>INDEX(章节关卡!$C$6:$C$20,分段产出计算!J4)*J6</f>
        <v>300</v>
      </c>
      <c r="N6" s="19">
        <v>1.25</v>
      </c>
      <c r="O6" s="22">
        <f t="shared" ref="O6:O13" si="0">N6/N$3</f>
        <v>5.8139534883720929E-2</v>
      </c>
      <c r="P6" s="16">
        <f t="shared" ref="P6:P13" si="1">INT($J$8*O6/5)*5</f>
        <v>95</v>
      </c>
      <c r="T6" s="17"/>
    </row>
    <row r="7" spans="1:20" ht="16.5" x14ac:dyDescent="0.2">
      <c r="A7" s="19">
        <v>3</v>
      </c>
      <c r="B7" s="19">
        <v>75</v>
      </c>
      <c r="D7" s="68"/>
      <c r="E7" s="68"/>
      <c r="F7" s="68"/>
      <c r="G7" s="68"/>
      <c r="I7" s="15" t="s">
        <v>48</v>
      </c>
      <c r="J7" s="21">
        <v>0.4</v>
      </c>
      <c r="K7" s="16">
        <f>J8*J7</f>
        <v>666.66666666666674</v>
      </c>
      <c r="N7" s="19">
        <v>1.5</v>
      </c>
      <c r="O7" s="22">
        <f t="shared" si="0"/>
        <v>6.9767441860465115E-2</v>
      </c>
      <c r="P7" s="16">
        <f t="shared" si="1"/>
        <v>115</v>
      </c>
      <c r="T7" s="17"/>
    </row>
    <row r="8" spans="1:20" ht="16.5" x14ac:dyDescent="0.2">
      <c r="A8" s="19">
        <v>4</v>
      </c>
      <c r="B8" s="19">
        <v>85</v>
      </c>
      <c r="D8" s="68"/>
      <c r="E8" s="68"/>
      <c r="F8" s="68"/>
      <c r="G8" s="68"/>
      <c r="I8" s="15" t="s">
        <v>46</v>
      </c>
      <c r="J8" s="16">
        <f>(J5+K6)/(1-J7)</f>
        <v>1666.6666666666667</v>
      </c>
      <c r="N8" s="19">
        <v>1.75</v>
      </c>
      <c r="O8" s="22">
        <f t="shared" si="0"/>
        <v>8.1395348837209308E-2</v>
      </c>
      <c r="P8" s="16">
        <f t="shared" si="1"/>
        <v>135</v>
      </c>
      <c r="T8" s="17"/>
    </row>
    <row r="9" spans="1:20" ht="16.5" x14ac:dyDescent="0.2">
      <c r="A9" s="19">
        <v>5</v>
      </c>
      <c r="B9" s="19">
        <v>100</v>
      </c>
      <c r="D9" s="68"/>
      <c r="E9" s="68"/>
      <c r="F9" s="68"/>
      <c r="G9" s="68"/>
      <c r="N9" s="19">
        <v>2</v>
      </c>
      <c r="O9" s="22">
        <f t="shared" si="0"/>
        <v>9.3023255813953487E-2</v>
      </c>
      <c r="P9" s="16">
        <f t="shared" si="1"/>
        <v>155</v>
      </c>
      <c r="T9" s="17"/>
    </row>
    <row r="10" spans="1:20" ht="16.5" x14ac:dyDescent="0.2">
      <c r="A10" s="19">
        <v>6</v>
      </c>
      <c r="B10" s="19">
        <v>125</v>
      </c>
      <c r="D10" s="68"/>
      <c r="E10" s="68"/>
      <c r="F10" s="68"/>
      <c r="G10" s="68"/>
      <c r="N10" s="19">
        <v>2.5</v>
      </c>
      <c r="O10" s="22">
        <f t="shared" si="0"/>
        <v>0.11627906976744186</v>
      </c>
      <c r="P10" s="16">
        <f t="shared" si="1"/>
        <v>190</v>
      </c>
      <c r="T10" s="17"/>
    </row>
    <row r="11" spans="1:20" ht="16.5" x14ac:dyDescent="0.2">
      <c r="A11" s="19">
        <v>7</v>
      </c>
      <c r="B11" s="19">
        <v>150</v>
      </c>
      <c r="D11" s="68"/>
      <c r="E11" s="68"/>
      <c r="F11" s="68"/>
      <c r="G11" s="68"/>
      <c r="N11" s="19">
        <v>3</v>
      </c>
      <c r="O11" s="22">
        <f t="shared" si="0"/>
        <v>0.13953488372093023</v>
      </c>
      <c r="P11" s="16">
        <f t="shared" si="1"/>
        <v>230</v>
      </c>
      <c r="T11" s="17"/>
    </row>
    <row r="12" spans="1:20" ht="16.5" x14ac:dyDescent="0.2">
      <c r="A12" s="19">
        <v>8</v>
      </c>
      <c r="B12" s="19">
        <v>175</v>
      </c>
      <c r="D12" s="68"/>
      <c r="E12" s="68"/>
      <c r="F12" s="68"/>
      <c r="G12" s="68"/>
      <c r="N12" s="19">
        <v>3.5</v>
      </c>
      <c r="O12" s="22">
        <f t="shared" si="0"/>
        <v>0.16279069767441862</v>
      </c>
      <c r="P12" s="16">
        <f t="shared" si="1"/>
        <v>270</v>
      </c>
      <c r="T12" s="17"/>
    </row>
    <row r="13" spans="1:20" ht="16.5" x14ac:dyDescent="0.2">
      <c r="A13" s="19">
        <v>9</v>
      </c>
      <c r="B13" s="19">
        <v>250</v>
      </c>
      <c r="D13" s="68"/>
      <c r="E13" s="68"/>
      <c r="F13" s="68"/>
      <c r="G13" s="68"/>
      <c r="N13" s="19">
        <v>5</v>
      </c>
      <c r="O13" s="22">
        <f t="shared" si="0"/>
        <v>0.23255813953488372</v>
      </c>
      <c r="P13" s="16">
        <f t="shared" si="1"/>
        <v>385</v>
      </c>
      <c r="T13" s="17"/>
    </row>
    <row r="14" spans="1:2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M14" s="17"/>
      <c r="N14" s="17"/>
      <c r="O14" s="17"/>
      <c r="P14" s="17"/>
    </row>
    <row r="15" spans="1:20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M15" s="17"/>
      <c r="O15" s="17"/>
      <c r="P15" s="17"/>
    </row>
    <row r="16" spans="1:20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M16" s="17"/>
      <c r="N16" s="17">
        <f>SUM(N18:N27)</f>
        <v>14.6</v>
      </c>
      <c r="O16" s="17"/>
      <c r="P16" s="17"/>
    </row>
    <row r="17" spans="1:16" ht="17.25" x14ac:dyDescent="0.2">
      <c r="A17" s="17"/>
      <c r="B17" s="17"/>
      <c r="C17" s="17"/>
      <c r="D17" s="17"/>
      <c r="E17" s="17"/>
      <c r="F17" s="17"/>
      <c r="G17" s="17"/>
      <c r="H17" s="17"/>
      <c r="I17" s="28" t="s">
        <v>203</v>
      </c>
      <c r="J17" s="27">
        <v>2</v>
      </c>
      <c r="K17" s="28" t="s">
        <v>204</v>
      </c>
      <c r="L17" s="27">
        <v>1</v>
      </c>
      <c r="M17" s="17"/>
      <c r="N17" s="12" t="s">
        <v>51</v>
      </c>
      <c r="O17" s="12" t="s">
        <v>49</v>
      </c>
      <c r="P17" s="12" t="s">
        <v>50</v>
      </c>
    </row>
    <row r="18" spans="1:16" ht="16.5" x14ac:dyDescent="0.2">
      <c r="A18" s="19">
        <v>10</v>
      </c>
      <c r="B18" s="19">
        <v>310</v>
      </c>
      <c r="D18" s="69" t="s">
        <v>52</v>
      </c>
      <c r="E18" s="70"/>
      <c r="F18" s="70"/>
      <c r="G18" s="71"/>
      <c r="I18" s="15" t="s">
        <v>54</v>
      </c>
      <c r="J18" s="16">
        <f>SUMIFS(章节关卡!$AR$5:$AR$200,章节关卡!$AP$5:$AP$200,"="&amp;分段产出计算!J17)</f>
        <v>1260</v>
      </c>
      <c r="K18" s="15" t="s">
        <v>53</v>
      </c>
      <c r="L18" s="16">
        <f>SUMIFS(章节关卡!$AZ$5:$AZ$214,章节关卡!$AX$5:$AX$214,"="&amp;分段产出计算!L17)</f>
        <v>1200</v>
      </c>
      <c r="N18" s="19">
        <v>1</v>
      </c>
      <c r="O18" s="23">
        <f t="shared" ref="O18:O27" si="2">N18/$N$16</f>
        <v>6.8493150684931503E-2</v>
      </c>
      <c r="P18" s="19">
        <f t="shared" ref="P18:P27" si="3">INT($J$22*O18/5)*5</f>
        <v>485</v>
      </c>
    </row>
    <row r="19" spans="1:16" ht="16.5" x14ac:dyDescent="0.2">
      <c r="A19" s="19">
        <v>11</v>
      </c>
      <c r="B19" s="19">
        <v>340</v>
      </c>
      <c r="D19" s="72"/>
      <c r="E19" s="73"/>
      <c r="F19" s="73"/>
      <c r="G19" s="74"/>
      <c r="I19" s="15" t="s">
        <v>55</v>
      </c>
      <c r="J19" s="16">
        <f>SUM(芦花古楼!D5:D8)</f>
        <v>1680</v>
      </c>
      <c r="N19" s="19">
        <v>1.1000000000000001</v>
      </c>
      <c r="O19" s="23">
        <f t="shared" si="2"/>
        <v>7.5342465753424667E-2</v>
      </c>
      <c r="P19" s="19">
        <f t="shared" si="3"/>
        <v>535</v>
      </c>
    </row>
    <row r="20" spans="1:16" ht="16.5" x14ac:dyDescent="0.2">
      <c r="A20" s="19">
        <v>12</v>
      </c>
      <c r="B20" s="19">
        <v>370</v>
      </c>
      <c r="D20" s="72"/>
      <c r="E20" s="73"/>
      <c r="F20" s="73"/>
      <c r="G20" s="74"/>
      <c r="I20" s="15" t="s">
        <v>56</v>
      </c>
      <c r="J20" s="19">
        <v>120</v>
      </c>
      <c r="K20" s="16">
        <f>INDEX(章节关卡!$C$6:$C$20,分段产出计算!J17)*J20</f>
        <v>840</v>
      </c>
      <c r="N20" s="19">
        <v>1.2</v>
      </c>
      <c r="O20" s="23">
        <f t="shared" si="2"/>
        <v>8.2191780821917804E-2</v>
      </c>
      <c r="P20" s="19">
        <f t="shared" si="3"/>
        <v>580</v>
      </c>
    </row>
    <row r="21" spans="1:16" ht="16.5" x14ac:dyDescent="0.2">
      <c r="A21" s="19">
        <v>13</v>
      </c>
      <c r="B21" s="19">
        <v>400</v>
      </c>
      <c r="D21" s="72"/>
      <c r="E21" s="73"/>
      <c r="F21" s="73"/>
      <c r="G21" s="74"/>
      <c r="I21" s="15" t="s">
        <v>48</v>
      </c>
      <c r="J21" s="21">
        <v>0.3</v>
      </c>
      <c r="K21" s="16">
        <f>J22*J21</f>
        <v>2134.2857142857142</v>
      </c>
      <c r="N21" s="19">
        <v>1.3</v>
      </c>
      <c r="O21" s="23">
        <f t="shared" si="2"/>
        <v>8.9041095890410968E-2</v>
      </c>
      <c r="P21" s="19">
        <f t="shared" si="3"/>
        <v>630</v>
      </c>
    </row>
    <row r="22" spans="1:16" ht="16.5" x14ac:dyDescent="0.2">
      <c r="A22" s="19">
        <v>14</v>
      </c>
      <c r="B22" s="19">
        <v>430</v>
      </c>
      <c r="D22" s="72"/>
      <c r="E22" s="73"/>
      <c r="F22" s="73"/>
      <c r="G22" s="74"/>
      <c r="I22" s="15" t="s">
        <v>46</v>
      </c>
      <c r="J22" s="16">
        <f>(J18+L18+J19+K20)/(1-J21)</f>
        <v>7114.2857142857147</v>
      </c>
      <c r="N22" s="19">
        <v>1.4</v>
      </c>
      <c r="O22" s="23">
        <f t="shared" si="2"/>
        <v>9.5890410958904104E-2</v>
      </c>
      <c r="P22" s="19">
        <f t="shared" si="3"/>
        <v>680</v>
      </c>
    </row>
    <row r="23" spans="1:16" ht="16.5" x14ac:dyDescent="0.2">
      <c r="A23" s="19">
        <v>15</v>
      </c>
      <c r="B23" s="19">
        <v>465</v>
      </c>
      <c r="D23" s="72"/>
      <c r="E23" s="73"/>
      <c r="F23" s="73"/>
      <c r="G23" s="74"/>
      <c r="N23" s="19">
        <v>1.5</v>
      </c>
      <c r="O23" s="23">
        <f t="shared" si="2"/>
        <v>0.10273972602739727</v>
      </c>
      <c r="P23" s="19">
        <f t="shared" si="3"/>
        <v>730</v>
      </c>
    </row>
    <row r="24" spans="1:16" ht="16.5" x14ac:dyDescent="0.2">
      <c r="A24" s="19">
        <v>16</v>
      </c>
      <c r="B24" s="19">
        <v>495</v>
      </c>
      <c r="D24" s="72"/>
      <c r="E24" s="73"/>
      <c r="F24" s="73"/>
      <c r="G24" s="74"/>
      <c r="N24" s="19">
        <v>1.6</v>
      </c>
      <c r="O24" s="23">
        <f t="shared" si="2"/>
        <v>0.10958904109589042</v>
      </c>
      <c r="P24" s="19">
        <f t="shared" si="3"/>
        <v>775</v>
      </c>
    </row>
    <row r="25" spans="1:16" ht="16.5" x14ac:dyDescent="0.2">
      <c r="A25" s="19">
        <v>17</v>
      </c>
      <c r="B25" s="19">
        <v>525</v>
      </c>
      <c r="D25" s="72"/>
      <c r="E25" s="73"/>
      <c r="F25" s="73"/>
      <c r="G25" s="74"/>
      <c r="N25" s="19">
        <v>1.7</v>
      </c>
      <c r="O25" s="23">
        <f t="shared" si="2"/>
        <v>0.11643835616438356</v>
      </c>
      <c r="P25" s="19">
        <f t="shared" si="3"/>
        <v>825</v>
      </c>
    </row>
    <row r="26" spans="1:16" ht="16.5" x14ac:dyDescent="0.2">
      <c r="A26" s="19">
        <v>18</v>
      </c>
      <c r="B26" s="19">
        <v>555</v>
      </c>
      <c r="D26" s="72"/>
      <c r="E26" s="73"/>
      <c r="F26" s="73"/>
      <c r="G26" s="74"/>
      <c r="N26" s="19">
        <v>1.8</v>
      </c>
      <c r="O26" s="23">
        <f t="shared" si="2"/>
        <v>0.12328767123287672</v>
      </c>
      <c r="P26" s="19">
        <f t="shared" si="3"/>
        <v>875</v>
      </c>
    </row>
    <row r="27" spans="1:16" ht="16.5" x14ac:dyDescent="0.2">
      <c r="A27" s="19">
        <v>19</v>
      </c>
      <c r="B27" s="19">
        <v>620</v>
      </c>
      <c r="D27" s="75"/>
      <c r="E27" s="76"/>
      <c r="F27" s="76"/>
      <c r="G27" s="77"/>
      <c r="N27" s="19">
        <v>2</v>
      </c>
      <c r="O27" s="23">
        <f t="shared" si="2"/>
        <v>0.13698630136986301</v>
      </c>
      <c r="P27" s="19">
        <f t="shared" si="3"/>
        <v>970</v>
      </c>
    </row>
    <row r="28" spans="1: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M28" s="17"/>
      <c r="N28" s="17"/>
      <c r="O28" s="17"/>
      <c r="P28" s="17"/>
    </row>
    <row r="29" spans="1:1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M29" s="17"/>
      <c r="N29" s="17">
        <f>SUM(N31:N40)</f>
        <v>14.6</v>
      </c>
      <c r="O29" s="17"/>
      <c r="P29" s="17"/>
    </row>
    <row r="30" spans="1:16" ht="17.25" x14ac:dyDescent="0.2">
      <c r="A30" s="17"/>
      <c r="B30" s="17"/>
      <c r="C30" s="17"/>
      <c r="D30" s="17"/>
      <c r="E30" s="17"/>
      <c r="F30" s="17"/>
      <c r="G30" s="17"/>
      <c r="H30" s="17"/>
      <c r="I30" s="28" t="s">
        <v>203</v>
      </c>
      <c r="J30" s="27">
        <v>3</v>
      </c>
      <c r="K30" s="28" t="s">
        <v>204</v>
      </c>
      <c r="L30" s="27">
        <v>2</v>
      </c>
      <c r="M30" s="17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9">
        <v>20</v>
      </c>
      <c r="B31" s="19">
        <v>660</v>
      </c>
      <c r="D31" s="69" t="s">
        <v>83</v>
      </c>
      <c r="E31" s="70"/>
      <c r="F31" s="70"/>
      <c r="G31" s="71"/>
      <c r="I31" s="15" t="s">
        <v>59</v>
      </c>
      <c r="J31" s="16">
        <f>SUMIFS(章节关卡!$AR$5:$AR$200,章节关卡!$AP$5:$AP$200,"="&amp;分段产出计算!J30)</f>
        <v>1400</v>
      </c>
      <c r="K31" s="15" t="s">
        <v>60</v>
      </c>
      <c r="L31" s="16">
        <f>SUMIFS(章节关卡!$AZ$5:$AZ$214,章节关卡!$AX$5:$AX$214,"="&amp;分段产出计算!L30)</f>
        <v>2520</v>
      </c>
      <c r="N31" s="19">
        <v>1</v>
      </c>
      <c r="O31" s="23">
        <f>N31/N$29</f>
        <v>6.8493150684931503E-2</v>
      </c>
      <c r="P31" s="19">
        <f t="shared" ref="P31:P40" si="4">INT($J$35*O31/5)*5</f>
        <v>745</v>
      </c>
    </row>
    <row r="32" spans="1:16" ht="16.5" x14ac:dyDescent="0.2">
      <c r="A32" s="19">
        <v>21</v>
      </c>
      <c r="B32" s="19">
        <v>725</v>
      </c>
      <c r="D32" s="72"/>
      <c r="E32" s="73"/>
      <c r="F32" s="73"/>
      <c r="G32" s="74"/>
      <c r="I32" s="15" t="s">
        <v>61</v>
      </c>
      <c r="J32" s="16">
        <f>SUM(芦花古楼!D9:D11)</f>
        <v>1800</v>
      </c>
      <c r="N32" s="19">
        <v>1.1000000000000001</v>
      </c>
      <c r="O32" s="23">
        <f t="shared" ref="O32:O40" si="5">N32/N$29</f>
        <v>7.5342465753424667E-2</v>
      </c>
      <c r="P32" s="19">
        <f t="shared" si="4"/>
        <v>820</v>
      </c>
    </row>
    <row r="33" spans="1:16" ht="16.5" x14ac:dyDescent="0.2">
      <c r="A33" s="19">
        <v>22</v>
      </c>
      <c r="B33" s="19">
        <v>795</v>
      </c>
      <c r="D33" s="72"/>
      <c r="E33" s="73"/>
      <c r="F33" s="73"/>
      <c r="G33" s="74"/>
      <c r="I33" s="15" t="s">
        <v>62</v>
      </c>
      <c r="J33" s="19">
        <v>300</v>
      </c>
      <c r="K33" s="16">
        <f>章节关卡!C8*J33</f>
        <v>3000</v>
      </c>
      <c r="N33" s="19">
        <v>1.2</v>
      </c>
      <c r="O33" s="23">
        <f t="shared" si="5"/>
        <v>8.2191780821917804E-2</v>
      </c>
      <c r="P33" s="19">
        <f t="shared" si="4"/>
        <v>895</v>
      </c>
    </row>
    <row r="34" spans="1:16" ht="16.5" x14ac:dyDescent="0.2">
      <c r="A34" s="19">
        <v>23</v>
      </c>
      <c r="B34" s="19">
        <v>860</v>
      </c>
      <c r="D34" s="72"/>
      <c r="E34" s="73"/>
      <c r="F34" s="73"/>
      <c r="G34" s="74"/>
      <c r="I34" s="15" t="s">
        <v>48</v>
      </c>
      <c r="J34" s="21">
        <v>0.2</v>
      </c>
      <c r="K34" s="16">
        <f>J35*J34</f>
        <v>2180</v>
      </c>
      <c r="N34" s="19">
        <v>1.3</v>
      </c>
      <c r="O34" s="23">
        <f t="shared" si="5"/>
        <v>8.9041095890410968E-2</v>
      </c>
      <c r="P34" s="19">
        <f t="shared" si="4"/>
        <v>970</v>
      </c>
    </row>
    <row r="35" spans="1:16" ht="16.5" x14ac:dyDescent="0.2">
      <c r="A35" s="19">
        <v>24</v>
      </c>
      <c r="B35" s="19">
        <v>925</v>
      </c>
      <c r="D35" s="72"/>
      <c r="E35" s="73"/>
      <c r="F35" s="73"/>
      <c r="G35" s="74"/>
      <c r="I35" s="15" t="s">
        <v>47</v>
      </c>
      <c r="J35" s="16">
        <f>(J31+L31+J32+K33)/(1-J34)</f>
        <v>10900</v>
      </c>
      <c r="N35" s="19">
        <v>1.4</v>
      </c>
      <c r="O35" s="23">
        <f t="shared" si="5"/>
        <v>9.5890410958904104E-2</v>
      </c>
      <c r="P35" s="19">
        <f t="shared" si="4"/>
        <v>1045</v>
      </c>
    </row>
    <row r="36" spans="1:16" ht="16.5" x14ac:dyDescent="0.2">
      <c r="A36" s="19">
        <v>25</v>
      </c>
      <c r="B36" s="19">
        <v>995</v>
      </c>
      <c r="D36" s="72"/>
      <c r="E36" s="73"/>
      <c r="F36" s="73"/>
      <c r="G36" s="74"/>
      <c r="N36" s="19">
        <v>1.5</v>
      </c>
      <c r="O36" s="23">
        <f t="shared" si="5"/>
        <v>0.10273972602739727</v>
      </c>
      <c r="P36" s="19">
        <f t="shared" si="4"/>
        <v>1115</v>
      </c>
    </row>
    <row r="37" spans="1:16" ht="16.5" x14ac:dyDescent="0.2">
      <c r="A37" s="19">
        <v>26</v>
      </c>
      <c r="B37" s="19">
        <v>1060</v>
      </c>
      <c r="D37" s="72"/>
      <c r="E37" s="73"/>
      <c r="F37" s="73"/>
      <c r="G37" s="74"/>
      <c r="N37" s="19">
        <v>1.6</v>
      </c>
      <c r="O37" s="23">
        <f t="shared" si="5"/>
        <v>0.10958904109589042</v>
      </c>
      <c r="P37" s="19">
        <f t="shared" si="4"/>
        <v>1190</v>
      </c>
    </row>
    <row r="38" spans="1:16" ht="16.5" x14ac:dyDescent="0.2">
      <c r="A38" s="19">
        <v>27</v>
      </c>
      <c r="B38" s="19">
        <v>1125</v>
      </c>
      <c r="D38" s="72"/>
      <c r="E38" s="73"/>
      <c r="F38" s="73"/>
      <c r="G38" s="74"/>
      <c r="N38" s="19">
        <v>1.7</v>
      </c>
      <c r="O38" s="23">
        <f t="shared" si="5"/>
        <v>0.11643835616438356</v>
      </c>
      <c r="P38" s="19">
        <f t="shared" si="4"/>
        <v>1265</v>
      </c>
    </row>
    <row r="39" spans="1:16" ht="16.5" x14ac:dyDescent="0.2">
      <c r="A39" s="19">
        <v>28</v>
      </c>
      <c r="B39" s="19">
        <v>1190</v>
      </c>
      <c r="D39" s="72"/>
      <c r="E39" s="73"/>
      <c r="F39" s="73"/>
      <c r="G39" s="74"/>
      <c r="N39" s="19">
        <v>1.8</v>
      </c>
      <c r="O39" s="23">
        <f t="shared" si="5"/>
        <v>0.12328767123287672</v>
      </c>
      <c r="P39" s="19">
        <f t="shared" si="4"/>
        <v>1340</v>
      </c>
    </row>
    <row r="40" spans="1:16" ht="16.5" x14ac:dyDescent="0.2">
      <c r="A40" s="19">
        <v>29</v>
      </c>
      <c r="B40" s="19">
        <v>1325</v>
      </c>
      <c r="D40" s="75"/>
      <c r="E40" s="76"/>
      <c r="F40" s="76"/>
      <c r="G40" s="77"/>
      <c r="N40" s="19">
        <v>2</v>
      </c>
      <c r="O40" s="23">
        <f t="shared" si="5"/>
        <v>0.13698630136986301</v>
      </c>
      <c r="P40" s="19">
        <f t="shared" si="4"/>
        <v>1490</v>
      </c>
    </row>
    <row r="41" spans="1:1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M41" s="17"/>
      <c r="N41" s="17"/>
      <c r="O41" s="17"/>
      <c r="P41" s="17"/>
    </row>
    <row r="42" spans="1:1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M42" s="17"/>
      <c r="N42" s="17">
        <f>SUM(N44:N53)</f>
        <v>19.2</v>
      </c>
      <c r="O42" s="17"/>
      <c r="P42" s="17"/>
    </row>
    <row r="43" spans="1:16" ht="17.25" x14ac:dyDescent="0.2">
      <c r="A43" s="17"/>
      <c r="B43" s="17"/>
      <c r="C43" s="17"/>
      <c r="D43" s="17"/>
      <c r="E43" s="17"/>
      <c r="F43" s="17"/>
      <c r="G43" s="17"/>
      <c r="H43" s="17"/>
      <c r="I43" s="28" t="s">
        <v>203</v>
      </c>
      <c r="J43" s="27">
        <v>4</v>
      </c>
      <c r="M43" s="17"/>
      <c r="N43" s="12" t="s">
        <v>51</v>
      </c>
      <c r="O43" s="12" t="s">
        <v>49</v>
      </c>
      <c r="P43" s="12" t="s">
        <v>50</v>
      </c>
    </row>
    <row r="44" spans="1:16" ht="16.5" x14ac:dyDescent="0.2">
      <c r="A44" s="19">
        <v>30</v>
      </c>
      <c r="B44" s="19">
        <v>1400</v>
      </c>
      <c r="D44" s="69" t="s">
        <v>84</v>
      </c>
      <c r="E44" s="70"/>
      <c r="F44" s="70"/>
      <c r="G44" s="71"/>
      <c r="I44" s="15" t="s">
        <v>59</v>
      </c>
      <c r="J44" s="16">
        <f>SUM(章节关卡!AR28:AR35)</f>
        <v>2080</v>
      </c>
      <c r="N44" s="19">
        <v>1</v>
      </c>
      <c r="O44" s="23">
        <f>N44/N$42</f>
        <v>5.2083333333333336E-2</v>
      </c>
      <c r="P44" s="19">
        <f>INT($J$50*O44/5)*5</f>
        <v>1445</v>
      </c>
    </row>
    <row r="45" spans="1:16" ht="16.5" x14ac:dyDescent="0.2">
      <c r="A45" s="19">
        <v>31</v>
      </c>
      <c r="B45" s="19">
        <v>1680</v>
      </c>
      <c r="D45" s="72"/>
      <c r="E45" s="73"/>
      <c r="F45" s="73"/>
      <c r="G45" s="74"/>
      <c r="I45" s="15" t="s">
        <v>63</v>
      </c>
      <c r="J45" s="16">
        <f>SUM(芦花古楼!D12:D14)</f>
        <v>2340</v>
      </c>
      <c r="N45" s="19">
        <v>1.2</v>
      </c>
      <c r="O45" s="23">
        <f t="shared" ref="O45:O53" si="6">N45/N$42</f>
        <v>6.25E-2</v>
      </c>
      <c r="P45" s="19">
        <f t="shared" ref="P45:P53" si="7">INT($J$50*O45/5)*5</f>
        <v>1735</v>
      </c>
    </row>
    <row r="46" spans="1:16" ht="16.5" x14ac:dyDescent="0.2">
      <c r="A46" s="19">
        <v>32</v>
      </c>
      <c r="B46" s="19">
        <v>1960</v>
      </c>
      <c r="D46" s="72"/>
      <c r="E46" s="73"/>
      <c r="F46" s="73"/>
      <c r="G46" s="74"/>
      <c r="I46" s="15" t="s">
        <v>64</v>
      </c>
      <c r="J46" s="16">
        <f>SUM(芦花古楼!M5:M8)</f>
        <v>6240</v>
      </c>
      <c r="N46" s="19">
        <v>1.4</v>
      </c>
      <c r="O46" s="23">
        <f t="shared" si="6"/>
        <v>7.2916666666666671E-2</v>
      </c>
      <c r="P46" s="19">
        <f t="shared" si="7"/>
        <v>2025</v>
      </c>
    </row>
    <row r="47" spans="1:16" ht="16.5" x14ac:dyDescent="0.2">
      <c r="A47" s="19">
        <v>33</v>
      </c>
      <c r="B47" s="19">
        <v>2245</v>
      </c>
      <c r="D47" s="72"/>
      <c r="E47" s="73"/>
      <c r="F47" s="73"/>
      <c r="G47" s="74"/>
      <c r="I47" s="15" t="s">
        <v>65</v>
      </c>
      <c r="J47" s="16">
        <f>SUM(日常任务!D4:D19)</f>
        <v>5000</v>
      </c>
      <c r="N47" s="19">
        <v>1.6</v>
      </c>
      <c r="O47" s="23">
        <f t="shared" si="6"/>
        <v>8.3333333333333343E-2</v>
      </c>
      <c r="P47" s="19">
        <f t="shared" si="7"/>
        <v>2315</v>
      </c>
    </row>
    <row r="48" spans="1:16" ht="16.5" x14ac:dyDescent="0.2">
      <c r="A48" s="19">
        <v>34</v>
      </c>
      <c r="B48" s="19">
        <v>2525</v>
      </c>
      <c r="D48" s="72"/>
      <c r="E48" s="73"/>
      <c r="F48" s="73"/>
      <c r="G48" s="74"/>
      <c r="I48" s="15" t="s">
        <v>62</v>
      </c>
      <c r="J48" s="41">
        <v>720</v>
      </c>
      <c r="K48" s="16">
        <f>章节关卡!C9*J48</f>
        <v>9360</v>
      </c>
      <c r="N48" s="19">
        <v>1.8</v>
      </c>
      <c r="O48" s="23">
        <f t="shared" si="6"/>
        <v>9.375E-2</v>
      </c>
      <c r="P48" s="19">
        <f t="shared" si="7"/>
        <v>2605</v>
      </c>
    </row>
    <row r="49" spans="1:17" ht="16.5" x14ac:dyDescent="0.2">
      <c r="A49" s="19">
        <v>35</v>
      </c>
      <c r="B49" s="19">
        <v>2805</v>
      </c>
      <c r="D49" s="72"/>
      <c r="E49" s="73"/>
      <c r="F49" s="73"/>
      <c r="G49" s="74"/>
      <c r="I49" s="15" t="s">
        <v>48</v>
      </c>
      <c r="J49" s="21">
        <v>0.1</v>
      </c>
      <c r="K49" s="16">
        <f>J50*J49</f>
        <v>2780</v>
      </c>
      <c r="N49" s="19">
        <v>2</v>
      </c>
      <c r="O49" s="23">
        <f t="shared" si="6"/>
        <v>0.10416666666666667</v>
      </c>
      <c r="P49" s="19">
        <f t="shared" si="7"/>
        <v>2895</v>
      </c>
    </row>
    <row r="50" spans="1:17" ht="16.5" x14ac:dyDescent="0.2">
      <c r="A50" s="19">
        <v>36</v>
      </c>
      <c r="B50" s="19">
        <v>3085</v>
      </c>
      <c r="D50" s="72"/>
      <c r="E50" s="73"/>
      <c r="F50" s="73"/>
      <c r="G50" s="74"/>
      <c r="I50" s="15" t="s">
        <v>47</v>
      </c>
      <c r="J50" s="16">
        <f>(J44+J45+J46+J47+K48)/(1-J49)</f>
        <v>27800</v>
      </c>
      <c r="N50" s="19">
        <v>2.2000000000000002</v>
      </c>
      <c r="O50" s="23">
        <f t="shared" si="6"/>
        <v>0.11458333333333334</v>
      </c>
      <c r="P50" s="19">
        <f t="shared" si="7"/>
        <v>3185</v>
      </c>
    </row>
    <row r="51" spans="1:17" ht="16.5" x14ac:dyDescent="0.2">
      <c r="A51" s="19">
        <v>37</v>
      </c>
      <c r="B51" s="19">
        <v>3365</v>
      </c>
      <c r="D51" s="72"/>
      <c r="E51" s="73"/>
      <c r="F51" s="73"/>
      <c r="G51" s="74"/>
      <c r="N51" s="19">
        <v>2.4</v>
      </c>
      <c r="O51" s="23">
        <f t="shared" si="6"/>
        <v>0.125</v>
      </c>
      <c r="P51" s="19">
        <f t="shared" si="7"/>
        <v>3475</v>
      </c>
    </row>
    <row r="52" spans="1:17" ht="16.5" x14ac:dyDescent="0.2">
      <c r="A52" s="19">
        <v>38</v>
      </c>
      <c r="B52" s="19">
        <v>3645</v>
      </c>
      <c r="D52" s="72"/>
      <c r="E52" s="73"/>
      <c r="F52" s="73"/>
      <c r="G52" s="74"/>
      <c r="N52" s="19">
        <v>2.6</v>
      </c>
      <c r="O52" s="23">
        <f t="shared" si="6"/>
        <v>0.13541666666666669</v>
      </c>
      <c r="P52" s="19">
        <f t="shared" si="7"/>
        <v>3760</v>
      </c>
    </row>
    <row r="53" spans="1:17" ht="16.5" x14ac:dyDescent="0.2">
      <c r="A53" s="19">
        <v>39</v>
      </c>
      <c r="B53" s="19">
        <v>4210</v>
      </c>
      <c r="D53" s="75"/>
      <c r="E53" s="76"/>
      <c r="F53" s="76"/>
      <c r="G53" s="77"/>
      <c r="N53" s="19">
        <v>3</v>
      </c>
      <c r="O53" s="23">
        <f t="shared" si="6"/>
        <v>0.15625</v>
      </c>
      <c r="P53" s="19">
        <f t="shared" si="7"/>
        <v>4340</v>
      </c>
    </row>
    <row r="54" spans="1:17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M54" s="17"/>
      <c r="N54" s="17"/>
      <c r="O54" s="17"/>
      <c r="P54" s="17"/>
      <c r="Q54" s="17"/>
    </row>
    <row r="55" spans="1:17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M55" s="17"/>
      <c r="N55" s="17">
        <f>SUM(N57:N66)</f>
        <v>14.6</v>
      </c>
      <c r="O55" s="17"/>
      <c r="P55" s="17"/>
      <c r="Q55" s="17"/>
    </row>
    <row r="56" spans="1:17" ht="17.25" x14ac:dyDescent="0.2">
      <c r="A56" s="17"/>
      <c r="B56" s="17"/>
      <c r="C56" s="17"/>
      <c r="D56" s="17"/>
      <c r="E56" s="17"/>
      <c r="F56" s="17"/>
      <c r="G56" s="17"/>
      <c r="H56" s="17"/>
      <c r="I56" s="28" t="s">
        <v>203</v>
      </c>
      <c r="J56" s="27">
        <v>5</v>
      </c>
      <c r="K56" s="17"/>
      <c r="M56" s="17"/>
      <c r="N56" s="12" t="s">
        <v>51</v>
      </c>
      <c r="O56" s="12" t="s">
        <v>49</v>
      </c>
      <c r="P56" s="12" t="s">
        <v>50</v>
      </c>
      <c r="Q56" s="17"/>
    </row>
    <row r="57" spans="1:17" ht="16.5" x14ac:dyDescent="0.2">
      <c r="A57" s="19">
        <v>40</v>
      </c>
      <c r="B57" s="19">
        <v>4005</v>
      </c>
      <c r="D57" s="68" t="s">
        <v>213</v>
      </c>
      <c r="E57" s="68"/>
      <c r="F57" s="68"/>
      <c r="G57" s="68"/>
      <c r="I57" s="26" t="s">
        <v>146</v>
      </c>
      <c r="J57" s="16">
        <f>SUM(章节关卡!AR41:AR48)</f>
        <v>2560</v>
      </c>
      <c r="N57" s="27">
        <v>1</v>
      </c>
      <c r="O57" s="23">
        <f>N57/$N$55</f>
        <v>6.8493150684931503E-2</v>
      </c>
      <c r="P57" s="27">
        <f>INT($J$64*O57/5)*5</f>
        <v>6000</v>
      </c>
    </row>
    <row r="58" spans="1:17" ht="16.5" x14ac:dyDescent="0.2">
      <c r="A58" s="19">
        <v>41</v>
      </c>
      <c r="B58" s="19">
        <v>4410</v>
      </c>
      <c r="D58" s="68"/>
      <c r="E58" s="68"/>
      <c r="F58" s="68"/>
      <c r="G58" s="68"/>
      <c r="I58" s="28" t="s">
        <v>205</v>
      </c>
      <c r="J58" s="16">
        <f>SUM(章节关卡!AZ20:AZ34)</f>
        <v>6960</v>
      </c>
      <c r="N58" s="27">
        <v>1.1000000000000001</v>
      </c>
      <c r="O58" s="23">
        <f t="shared" ref="O58:O66" si="8">N58/$N$55</f>
        <v>7.5342465753424667E-2</v>
      </c>
      <c r="P58" s="27">
        <f t="shared" ref="P58:P66" si="9">INT($J$64*O58/5)*5</f>
        <v>6600</v>
      </c>
    </row>
    <row r="59" spans="1:17" ht="16.5" x14ac:dyDescent="0.2">
      <c r="A59" s="19">
        <v>42</v>
      </c>
      <c r="B59" s="19">
        <v>4810</v>
      </c>
      <c r="D59" s="68"/>
      <c r="E59" s="68"/>
      <c r="F59" s="68"/>
      <c r="G59" s="68"/>
      <c r="I59" s="28" t="s">
        <v>206</v>
      </c>
      <c r="J59" s="16">
        <f>SUMIFS(芦花古楼!$D$5:$D$104,芦花古楼!$B$5:$B$104,"="&amp;分段产出计算!J56)</f>
        <v>4800</v>
      </c>
      <c r="K59" s="28" t="s">
        <v>207</v>
      </c>
      <c r="L59" s="16">
        <f>SUMIFS(芦花古楼!$M$5:$M$104,芦花古楼!$K$5:$K$104,"="&amp;分段产出计算!J56)</f>
        <v>13440</v>
      </c>
      <c r="N59" s="27">
        <v>1.2</v>
      </c>
      <c r="O59" s="23">
        <f t="shared" si="8"/>
        <v>8.2191780821917804E-2</v>
      </c>
      <c r="P59" s="27">
        <f t="shared" si="9"/>
        <v>7200</v>
      </c>
    </row>
    <row r="60" spans="1:17" ht="16.5" x14ac:dyDescent="0.2">
      <c r="A60" s="19">
        <v>43</v>
      </c>
      <c r="B60" s="19">
        <v>5210</v>
      </c>
      <c r="D60" s="68"/>
      <c r="E60" s="68"/>
      <c r="F60" s="68"/>
      <c r="G60" s="68"/>
      <c r="I60" s="28" t="s">
        <v>208</v>
      </c>
      <c r="J60" s="16">
        <f>SUMIFS(芦花古楼!$V$5:$V$104,芦花古楼!$T$5:$T$104,"="&amp;分段产出计算!J56)</f>
        <v>11520</v>
      </c>
      <c r="K60" s="28" t="s">
        <v>209</v>
      </c>
      <c r="L60" s="16">
        <f>SUMIFS(芦花古楼!$AE$5:$AE$104,芦花古楼!$AC$5:$AC$104,"="&amp;分段产出计算!J56)</f>
        <v>11520</v>
      </c>
      <c r="N60" s="27">
        <v>1.3</v>
      </c>
      <c r="O60" s="23">
        <f t="shared" si="8"/>
        <v>8.9041095890410968E-2</v>
      </c>
      <c r="P60" s="27">
        <f t="shared" si="9"/>
        <v>7800</v>
      </c>
    </row>
    <row r="61" spans="1:17" ht="16.5" x14ac:dyDescent="0.2">
      <c r="A61" s="19">
        <v>44</v>
      </c>
      <c r="B61" s="19">
        <v>5610</v>
      </c>
      <c r="D61" s="68"/>
      <c r="E61" s="68"/>
      <c r="F61" s="68"/>
      <c r="G61" s="68"/>
      <c r="I61" s="28" t="s">
        <v>65</v>
      </c>
      <c r="J61" s="16">
        <f>INDEX(节奏总表!$Q$4:$Q$18,分段产出计算!J56)</f>
        <v>1</v>
      </c>
      <c r="K61" s="16">
        <f>日常任务!D2*分段产出计算!J61</f>
        <v>5000</v>
      </c>
      <c r="N61" s="27">
        <v>1.4</v>
      </c>
      <c r="O61" s="23">
        <f t="shared" si="8"/>
        <v>9.5890410958904104E-2</v>
      </c>
      <c r="P61" s="27">
        <f t="shared" si="9"/>
        <v>8400</v>
      </c>
    </row>
    <row r="62" spans="1:17" ht="16.5" x14ac:dyDescent="0.2">
      <c r="A62" s="19">
        <v>45</v>
      </c>
      <c r="B62" s="19">
        <v>6010</v>
      </c>
      <c r="D62" s="68"/>
      <c r="E62" s="68"/>
      <c r="F62" s="68"/>
      <c r="G62" s="68"/>
      <c r="I62" s="28" t="s">
        <v>56</v>
      </c>
      <c r="J62" s="16">
        <f>INDEX(节奏总表!$Q$4:$Q$18,分段产出计算!J56)*24*60</f>
        <v>1440</v>
      </c>
      <c r="K62" s="16">
        <f>INDEX(章节关卡!$C$6:$C$20,分段产出计算!J56)*分段产出计算!J62</f>
        <v>23040</v>
      </c>
      <c r="N62" s="27">
        <v>1.5</v>
      </c>
      <c r="O62" s="23">
        <f t="shared" si="8"/>
        <v>0.10273972602739727</v>
      </c>
      <c r="P62" s="27">
        <f t="shared" si="9"/>
        <v>9000</v>
      </c>
    </row>
    <row r="63" spans="1:17" ht="16.5" x14ac:dyDescent="0.2">
      <c r="A63" s="19">
        <v>46</v>
      </c>
      <c r="B63" s="19">
        <v>6410</v>
      </c>
      <c r="C63" s="17"/>
      <c r="D63" s="68"/>
      <c r="E63" s="68"/>
      <c r="F63" s="68"/>
      <c r="G63" s="68"/>
      <c r="H63" s="17"/>
      <c r="I63" s="28" t="s">
        <v>48</v>
      </c>
      <c r="J63" s="21">
        <v>0.1</v>
      </c>
      <c r="K63" s="16">
        <f>J64*J63</f>
        <v>8760</v>
      </c>
      <c r="M63" s="17"/>
      <c r="N63" s="27">
        <v>1.6</v>
      </c>
      <c r="O63" s="23">
        <f t="shared" si="8"/>
        <v>0.10958904109589042</v>
      </c>
      <c r="P63" s="27">
        <f t="shared" si="9"/>
        <v>9600</v>
      </c>
      <c r="Q63" s="17"/>
    </row>
    <row r="64" spans="1:17" ht="16.5" x14ac:dyDescent="0.2">
      <c r="A64" s="19">
        <v>47</v>
      </c>
      <c r="B64" s="19">
        <v>6815</v>
      </c>
      <c r="C64" s="17"/>
      <c r="D64" s="68"/>
      <c r="E64" s="68"/>
      <c r="F64" s="68"/>
      <c r="G64" s="68"/>
      <c r="H64" s="17"/>
      <c r="I64" s="28" t="s">
        <v>46</v>
      </c>
      <c r="J64" s="16">
        <f>(J57+J58+J59+L59+J60+L60+K61+K62)/(1-J63)</f>
        <v>87600</v>
      </c>
      <c r="K64" s="17"/>
      <c r="M64" s="17"/>
      <c r="N64" s="27">
        <v>1.7</v>
      </c>
      <c r="O64" s="23">
        <f t="shared" si="8"/>
        <v>0.11643835616438356</v>
      </c>
      <c r="P64" s="27">
        <f t="shared" si="9"/>
        <v>10200</v>
      </c>
      <c r="Q64" s="17"/>
    </row>
    <row r="65" spans="1:17" ht="16.5" x14ac:dyDescent="0.2">
      <c r="A65" s="19">
        <v>48</v>
      </c>
      <c r="B65" s="19">
        <v>7215</v>
      </c>
      <c r="C65" s="17"/>
      <c r="D65" s="68"/>
      <c r="E65" s="68"/>
      <c r="F65" s="68"/>
      <c r="G65" s="68"/>
      <c r="H65" s="17"/>
      <c r="I65" s="17"/>
      <c r="J65" s="17"/>
      <c r="K65" s="17"/>
      <c r="M65" s="17"/>
      <c r="N65" s="27">
        <v>1.8</v>
      </c>
      <c r="O65" s="23">
        <f t="shared" si="8"/>
        <v>0.12328767123287672</v>
      </c>
      <c r="P65" s="27">
        <f t="shared" si="9"/>
        <v>10800</v>
      </c>
      <c r="Q65" s="17"/>
    </row>
    <row r="66" spans="1:17" ht="16.5" x14ac:dyDescent="0.2">
      <c r="A66" s="19">
        <v>49</v>
      </c>
      <c r="B66" s="19">
        <v>8015</v>
      </c>
      <c r="D66" s="68"/>
      <c r="E66" s="68"/>
      <c r="F66" s="68"/>
      <c r="G66" s="68"/>
      <c r="H66" s="17"/>
      <c r="N66" s="27">
        <v>2</v>
      </c>
      <c r="O66" s="23">
        <f t="shared" si="8"/>
        <v>0.13698630136986301</v>
      </c>
      <c r="P66" s="27">
        <f t="shared" si="9"/>
        <v>12000</v>
      </c>
    </row>
    <row r="67" spans="1:17" x14ac:dyDescent="0.2">
      <c r="D67" s="17"/>
      <c r="E67" s="17"/>
      <c r="F67" s="17"/>
      <c r="G67" s="17"/>
      <c r="H67" s="17"/>
    </row>
    <row r="68" spans="1:17" x14ac:dyDescent="0.2">
      <c r="D68" s="17"/>
      <c r="E68" s="17"/>
      <c r="F68" s="17"/>
      <c r="G68" s="17"/>
      <c r="H68" s="17"/>
    </row>
    <row r="69" spans="1:17" x14ac:dyDescent="0.2">
      <c r="D69" s="17"/>
      <c r="E69" s="17"/>
      <c r="F69" s="17"/>
      <c r="G69" s="17"/>
      <c r="H69" s="17"/>
      <c r="N69" s="17">
        <f>SUM(N71:N80)</f>
        <v>14.6</v>
      </c>
      <c r="O69" s="17"/>
      <c r="P69" s="17"/>
    </row>
    <row r="70" spans="1:17" ht="17.25" x14ac:dyDescent="0.2">
      <c r="A70" s="17"/>
      <c r="B70" s="17"/>
      <c r="D70" s="17"/>
      <c r="E70" s="17"/>
      <c r="F70" s="17"/>
      <c r="G70" s="17"/>
      <c r="H70" s="17"/>
      <c r="I70" s="28" t="s">
        <v>203</v>
      </c>
      <c r="J70" s="27">
        <v>6</v>
      </c>
      <c r="K70" s="28" t="s">
        <v>203</v>
      </c>
      <c r="L70" s="27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9">
        <v>50</v>
      </c>
      <c r="B71" s="19">
        <v>5960</v>
      </c>
      <c r="D71" s="68"/>
      <c r="E71" s="68"/>
      <c r="F71" s="68"/>
      <c r="G71" s="68"/>
      <c r="I71" s="28" t="s">
        <v>212</v>
      </c>
      <c r="J71" s="16">
        <f>SUMIFS(章节关卡!$AR$5:$AR$200,章节关卡!$AP$5:$AP$200,"="&amp;分段产出计算!J70)</f>
        <v>6000</v>
      </c>
      <c r="K71" s="28" t="s">
        <v>211</v>
      </c>
      <c r="L71" s="16">
        <f>SUMIFS(章节关卡!$AR$5:$AR$200,章节关卡!$AP$5:$AP$200,"="&amp;分段产出计算!L70)</f>
        <v>4800</v>
      </c>
      <c r="N71" s="27">
        <v>1</v>
      </c>
      <c r="O71" s="23">
        <f>N71/$N$69</f>
        <v>6.8493150684931503E-2</v>
      </c>
      <c r="P71" s="27">
        <f>INT($J$77*O71/5)*5</f>
        <v>9160</v>
      </c>
    </row>
    <row r="72" spans="1:17" ht="16.5" x14ac:dyDescent="0.2">
      <c r="A72" s="19">
        <v>51</v>
      </c>
      <c r="B72" s="19">
        <v>6560</v>
      </c>
      <c r="D72" s="68"/>
      <c r="E72" s="68"/>
      <c r="F72" s="68"/>
      <c r="G72" s="68"/>
      <c r="I72" s="28" t="s">
        <v>206</v>
      </c>
      <c r="J72" s="16">
        <f>SUMIFS(芦花古楼!$D$5:$D$104,芦花古楼!$B$5:$B$104,"="&amp;分段产出计算!J70)</f>
        <v>6000</v>
      </c>
      <c r="K72" s="28" t="s">
        <v>207</v>
      </c>
      <c r="L72" s="16">
        <f>SUMIFS(芦花古楼!$M$5:$M$104,芦花古楼!$K$5:$K$104,"="&amp;分段产出计算!J70)</f>
        <v>24000</v>
      </c>
      <c r="N72" s="27">
        <v>1.1000000000000001</v>
      </c>
      <c r="O72" s="23">
        <f t="shared" ref="O72:O80" si="10">N72/$N$69</f>
        <v>7.5342465753424667E-2</v>
      </c>
      <c r="P72" s="27">
        <f t="shared" ref="P72:P80" si="11">INT($J$77*O72/5)*5</f>
        <v>10075</v>
      </c>
    </row>
    <row r="73" spans="1:17" ht="16.5" x14ac:dyDescent="0.2">
      <c r="A73" s="19">
        <v>52</v>
      </c>
      <c r="B73" s="19">
        <v>7155</v>
      </c>
      <c r="D73" s="68"/>
      <c r="E73" s="68"/>
      <c r="F73" s="68"/>
      <c r="G73" s="68"/>
      <c r="I73" s="28" t="s">
        <v>208</v>
      </c>
      <c r="J73" s="16">
        <f>SUMIFS(芦花古楼!$V$5:$V$104,芦花古楼!$T$5:$T$104,"="&amp;分段产出计算!J70)</f>
        <v>18000</v>
      </c>
      <c r="K73" s="28" t="s">
        <v>209</v>
      </c>
      <c r="L73" s="16">
        <f>SUMIFS(芦花古楼!$AE$5:$AE$104,芦花古楼!$AC$5:$AC$104,"="&amp;分段产出计算!J70)</f>
        <v>18000</v>
      </c>
      <c r="N73" s="27">
        <v>1.2</v>
      </c>
      <c r="O73" s="23">
        <f t="shared" si="10"/>
        <v>8.2191780821917804E-2</v>
      </c>
      <c r="P73" s="27">
        <f t="shared" si="11"/>
        <v>10990</v>
      </c>
    </row>
    <row r="74" spans="1:17" ht="16.5" x14ac:dyDescent="0.2">
      <c r="A74" s="19">
        <v>53</v>
      </c>
      <c r="B74" s="19">
        <v>7750</v>
      </c>
      <c r="D74" s="68"/>
      <c r="E74" s="68"/>
      <c r="F74" s="68"/>
      <c r="G74" s="68"/>
      <c r="I74" s="28" t="s">
        <v>65</v>
      </c>
      <c r="J74" s="16">
        <f>INDEX(节奏总表!$Q$4:$Q$18,分段产出计算!J70)</f>
        <v>1.5</v>
      </c>
      <c r="K74" s="16">
        <f>日常任务!D16*分段产出计算!J74</f>
        <v>375</v>
      </c>
      <c r="N74" s="27">
        <v>1.3</v>
      </c>
      <c r="O74" s="23">
        <f t="shared" si="10"/>
        <v>8.9041095890410968E-2</v>
      </c>
      <c r="P74" s="27">
        <f t="shared" si="11"/>
        <v>11905</v>
      </c>
    </row>
    <row r="75" spans="1:17" ht="16.5" x14ac:dyDescent="0.2">
      <c r="A75" s="19">
        <v>54</v>
      </c>
      <c r="B75" s="19">
        <v>8350</v>
      </c>
      <c r="D75" s="68"/>
      <c r="E75" s="68"/>
      <c r="F75" s="68"/>
      <c r="G75" s="68"/>
      <c r="I75" s="28" t="s">
        <v>56</v>
      </c>
      <c r="J75" s="16">
        <f>INDEX(节奏总表!$Q$4:$Q$18,分段产出计算!J70)*24*60</f>
        <v>2160</v>
      </c>
      <c r="K75" s="16">
        <f>INDEX(章节关卡!$C$6:$C$20,分段产出计算!J70)*分段产出计算!J75</f>
        <v>43200</v>
      </c>
      <c r="N75" s="27">
        <v>1.4</v>
      </c>
      <c r="O75" s="23">
        <f t="shared" si="10"/>
        <v>9.5890410958904104E-2</v>
      </c>
      <c r="P75" s="27">
        <f t="shared" si="11"/>
        <v>12825</v>
      </c>
    </row>
    <row r="76" spans="1:17" ht="16.5" x14ac:dyDescent="0.2">
      <c r="A76" s="19">
        <v>55</v>
      </c>
      <c r="B76" s="19">
        <v>8945</v>
      </c>
      <c r="D76" s="68"/>
      <c r="E76" s="68"/>
      <c r="F76" s="68"/>
      <c r="G76" s="68"/>
      <c r="I76" s="28" t="s">
        <v>48</v>
      </c>
      <c r="J76" s="21">
        <v>0.1</v>
      </c>
      <c r="K76" s="16">
        <f>J77*J76</f>
        <v>13375</v>
      </c>
      <c r="N76" s="27">
        <v>1.5</v>
      </c>
      <c r="O76" s="23">
        <f t="shared" si="10"/>
        <v>0.10273972602739727</v>
      </c>
      <c r="P76" s="27">
        <f t="shared" si="11"/>
        <v>13740</v>
      </c>
    </row>
    <row r="77" spans="1:17" ht="16.5" x14ac:dyDescent="0.2">
      <c r="A77" s="19">
        <v>56</v>
      </c>
      <c r="B77" s="19">
        <v>9540</v>
      </c>
      <c r="D77" s="68"/>
      <c r="E77" s="68"/>
      <c r="F77" s="68"/>
      <c r="G77" s="68"/>
      <c r="I77" s="28" t="s">
        <v>46</v>
      </c>
      <c r="J77" s="16">
        <f>(J71+L71+J72+L72+J73+L73+K74+K75)/(1-J76)</f>
        <v>133750</v>
      </c>
      <c r="K77" s="17"/>
      <c r="N77" s="27">
        <v>1.6</v>
      </c>
      <c r="O77" s="23">
        <f t="shared" si="10"/>
        <v>0.10958904109589042</v>
      </c>
      <c r="P77" s="27">
        <f t="shared" si="11"/>
        <v>14655</v>
      </c>
    </row>
    <row r="78" spans="1:17" ht="16.5" x14ac:dyDescent="0.2">
      <c r="A78" s="19">
        <v>57</v>
      </c>
      <c r="B78" s="19">
        <v>10135</v>
      </c>
      <c r="D78" s="68"/>
      <c r="E78" s="68"/>
      <c r="F78" s="68"/>
      <c r="G78" s="68"/>
      <c r="N78" s="27">
        <v>1.7</v>
      </c>
      <c r="O78" s="23">
        <f t="shared" si="10"/>
        <v>0.11643835616438356</v>
      </c>
      <c r="P78" s="27">
        <f t="shared" si="11"/>
        <v>15570</v>
      </c>
    </row>
    <row r="79" spans="1:17" ht="16.5" x14ac:dyDescent="0.2">
      <c r="A79" s="19">
        <v>58</v>
      </c>
      <c r="B79" s="19">
        <v>10735</v>
      </c>
      <c r="D79" s="68"/>
      <c r="E79" s="68"/>
      <c r="F79" s="68"/>
      <c r="G79" s="68"/>
      <c r="N79" s="27">
        <v>1.8</v>
      </c>
      <c r="O79" s="23">
        <f t="shared" si="10"/>
        <v>0.12328767123287672</v>
      </c>
      <c r="P79" s="27">
        <f t="shared" si="11"/>
        <v>16485</v>
      </c>
    </row>
    <row r="80" spans="1:17" ht="16.5" x14ac:dyDescent="0.2">
      <c r="A80" s="19">
        <v>59</v>
      </c>
      <c r="B80" s="19">
        <v>11925</v>
      </c>
      <c r="D80" s="68"/>
      <c r="E80" s="68"/>
      <c r="F80" s="68"/>
      <c r="G80" s="68"/>
      <c r="N80" s="27">
        <v>2</v>
      </c>
      <c r="O80" s="23">
        <f t="shared" si="10"/>
        <v>0.13698630136986301</v>
      </c>
      <c r="P80" s="27">
        <f t="shared" si="11"/>
        <v>18320</v>
      </c>
    </row>
    <row r="81" spans="1:17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>
        <f>SUM(N85:N94)</f>
        <v>14.6</v>
      </c>
      <c r="O83" s="17"/>
      <c r="P83" s="17"/>
      <c r="Q83" s="17"/>
    </row>
    <row r="84" spans="1:17" ht="17.25" x14ac:dyDescent="0.2">
      <c r="A84" s="17"/>
      <c r="B84" s="17"/>
      <c r="C84" s="17"/>
      <c r="D84" s="17"/>
      <c r="E84" s="17"/>
      <c r="F84" s="17"/>
      <c r="G84" s="17"/>
      <c r="H84" s="17"/>
      <c r="I84" s="28" t="s">
        <v>203</v>
      </c>
      <c r="J84" s="27">
        <v>7</v>
      </c>
      <c r="K84" s="28" t="s">
        <v>203</v>
      </c>
      <c r="L84" s="27">
        <v>6</v>
      </c>
      <c r="M84" s="17"/>
      <c r="N84" s="12" t="s">
        <v>51</v>
      </c>
      <c r="O84" s="12" t="s">
        <v>49</v>
      </c>
      <c r="P84" s="12" t="s">
        <v>50</v>
      </c>
      <c r="Q84" s="17"/>
    </row>
    <row r="85" spans="1:17" ht="16.5" x14ac:dyDescent="0.2">
      <c r="A85" s="19">
        <v>60</v>
      </c>
      <c r="B85" s="19">
        <v>9140</v>
      </c>
      <c r="D85" s="68"/>
      <c r="E85" s="68"/>
      <c r="F85" s="68"/>
      <c r="G85" s="68"/>
      <c r="I85" s="28" t="s">
        <v>212</v>
      </c>
      <c r="J85" s="16">
        <f>SUMIFS(章节关卡!$AR$5:$AR$200,章节关卡!$AP$5:$AP$200,"="&amp;分段产出计算!J84)</f>
        <v>7500</v>
      </c>
      <c r="K85" s="28" t="s">
        <v>211</v>
      </c>
      <c r="L85" s="16">
        <f>SUMIFS(章节关卡!$AR$5:$AR$200,章节关卡!$AP$5:$AP$200,"="&amp;分段产出计算!L84)</f>
        <v>6000</v>
      </c>
      <c r="N85" s="27">
        <v>1</v>
      </c>
      <c r="O85" s="23">
        <f>N85/$N$83</f>
        <v>6.8493150684931503E-2</v>
      </c>
      <c r="P85" s="27">
        <f>INT($J$91*O85/5)*5</f>
        <v>15000</v>
      </c>
    </row>
    <row r="86" spans="1:17" ht="16.5" x14ac:dyDescent="0.2">
      <c r="A86" s="19">
        <v>61</v>
      </c>
      <c r="B86" s="19">
        <v>10055</v>
      </c>
      <c r="D86" s="68"/>
      <c r="E86" s="68"/>
      <c r="F86" s="68"/>
      <c r="G86" s="68"/>
      <c r="I86" s="28" t="s">
        <v>206</v>
      </c>
      <c r="J86" s="16">
        <f>SUMIFS(芦花古楼!$D$5:$D$104,芦花古楼!$B$5:$B$104,"="&amp;分段产出计算!J84)</f>
        <v>13500</v>
      </c>
      <c r="K86" s="28" t="s">
        <v>207</v>
      </c>
      <c r="L86" s="16">
        <f>SUMIFS(芦花古楼!$M$5:$M$104,芦花古楼!$K$5:$K$104,"="&amp;分段产出计算!J84)</f>
        <v>30000</v>
      </c>
      <c r="N86" s="27">
        <v>1.1000000000000001</v>
      </c>
      <c r="O86" s="23">
        <f t="shared" ref="O86:O94" si="12">N86/$N$83</f>
        <v>7.5342465753424667E-2</v>
      </c>
      <c r="P86" s="27">
        <f t="shared" ref="P86:P94" si="13">INT($J$91*O86/5)*5</f>
        <v>16500</v>
      </c>
    </row>
    <row r="87" spans="1:17" ht="16.5" x14ac:dyDescent="0.2">
      <c r="A87" s="19">
        <v>62</v>
      </c>
      <c r="B87" s="19">
        <v>10970</v>
      </c>
      <c r="D87" s="68"/>
      <c r="E87" s="68"/>
      <c r="F87" s="68"/>
      <c r="G87" s="68"/>
      <c r="I87" s="28" t="s">
        <v>208</v>
      </c>
      <c r="J87" s="16">
        <f>SUMIFS(芦花古楼!$V$5:$V$104,芦花古楼!$T$5:$T$104,"="&amp;分段产出计算!J84)</f>
        <v>45000</v>
      </c>
      <c r="K87" s="28" t="s">
        <v>209</v>
      </c>
      <c r="L87" s="16">
        <f>SUMIFS(芦花古楼!$AE$5:$AE$104,芦花古楼!$AC$5:$AC$104,"="&amp;分段产出计算!J84)</f>
        <v>45000</v>
      </c>
      <c r="N87" s="27">
        <v>1.2</v>
      </c>
      <c r="O87" s="23">
        <f t="shared" si="12"/>
        <v>8.2191780821917804E-2</v>
      </c>
      <c r="P87" s="27">
        <f t="shared" si="13"/>
        <v>18000</v>
      </c>
    </row>
    <row r="88" spans="1:17" ht="16.5" x14ac:dyDescent="0.2">
      <c r="A88" s="19">
        <v>63</v>
      </c>
      <c r="B88" s="19">
        <v>11885</v>
      </c>
      <c r="D88" s="68"/>
      <c r="E88" s="68"/>
      <c r="F88" s="68"/>
      <c r="G88" s="68"/>
      <c r="I88" s="28" t="s">
        <v>65</v>
      </c>
      <c r="J88" s="16">
        <f>INDEX(节奏总表!$Q$4:$Q$18,分段产出计算!J84)</f>
        <v>2</v>
      </c>
      <c r="K88" s="16">
        <f>日常任务!D30*分段产出计算!J88</f>
        <v>0</v>
      </c>
      <c r="N88" s="27">
        <v>1.3</v>
      </c>
      <c r="O88" s="23">
        <f t="shared" si="12"/>
        <v>8.9041095890410968E-2</v>
      </c>
      <c r="P88" s="27">
        <f t="shared" si="13"/>
        <v>19500</v>
      </c>
    </row>
    <row r="89" spans="1:17" ht="16.5" x14ac:dyDescent="0.2">
      <c r="A89" s="19">
        <v>64</v>
      </c>
      <c r="B89" s="19">
        <v>12800</v>
      </c>
      <c r="D89" s="68"/>
      <c r="E89" s="68"/>
      <c r="F89" s="68"/>
      <c r="G89" s="68"/>
      <c r="I89" s="28" t="s">
        <v>56</v>
      </c>
      <c r="J89" s="16">
        <f>INDEX(节奏总表!$Q$4:$Q$18,分段产出计算!J84)*24*60</f>
        <v>2880</v>
      </c>
      <c r="K89" s="16">
        <f>INDEX(章节关卡!$C$6:$C$20,分段产出计算!J84)*分段产出计算!J89</f>
        <v>72000</v>
      </c>
      <c r="N89" s="27">
        <v>1.4</v>
      </c>
      <c r="O89" s="23">
        <f t="shared" si="12"/>
        <v>9.5890410958904104E-2</v>
      </c>
      <c r="P89" s="27">
        <f t="shared" si="13"/>
        <v>21000</v>
      </c>
    </row>
    <row r="90" spans="1:17" ht="16.5" x14ac:dyDescent="0.2">
      <c r="A90" s="19">
        <v>65</v>
      </c>
      <c r="B90" s="19">
        <v>13715</v>
      </c>
      <c r="D90" s="68"/>
      <c r="E90" s="68"/>
      <c r="F90" s="68"/>
      <c r="G90" s="68"/>
      <c r="I90" s="28" t="s">
        <v>48</v>
      </c>
      <c r="J90" s="21">
        <v>0</v>
      </c>
      <c r="K90" s="16">
        <f>J91*J90</f>
        <v>0</v>
      </c>
      <c r="N90" s="27">
        <v>1.5</v>
      </c>
      <c r="O90" s="23">
        <f t="shared" si="12"/>
        <v>0.10273972602739727</v>
      </c>
      <c r="P90" s="27">
        <f t="shared" si="13"/>
        <v>22500</v>
      </c>
    </row>
    <row r="91" spans="1:17" ht="16.5" x14ac:dyDescent="0.2">
      <c r="A91" s="19">
        <v>66</v>
      </c>
      <c r="B91" s="19">
        <v>14630</v>
      </c>
      <c r="D91" s="68"/>
      <c r="E91" s="68"/>
      <c r="F91" s="68"/>
      <c r="G91" s="68"/>
      <c r="I91" s="28" t="s">
        <v>46</v>
      </c>
      <c r="J91" s="16">
        <f>(J85+L85+J86+L86+J87+L87+K88+K89)/(1-J90)</f>
        <v>219000</v>
      </c>
      <c r="K91" s="17"/>
      <c r="N91" s="27">
        <v>1.6</v>
      </c>
      <c r="O91" s="23">
        <f t="shared" si="12"/>
        <v>0.10958904109589042</v>
      </c>
      <c r="P91" s="27">
        <f t="shared" si="13"/>
        <v>24000</v>
      </c>
    </row>
    <row r="92" spans="1:17" ht="16.5" x14ac:dyDescent="0.2">
      <c r="A92" s="19">
        <v>67</v>
      </c>
      <c r="B92" s="19">
        <v>15540</v>
      </c>
      <c r="D92" s="68"/>
      <c r="E92" s="68"/>
      <c r="F92" s="68"/>
      <c r="G92" s="68"/>
      <c r="N92" s="27">
        <v>1.7</v>
      </c>
      <c r="O92" s="23">
        <f t="shared" si="12"/>
        <v>0.11643835616438356</v>
      </c>
      <c r="P92" s="27">
        <f t="shared" si="13"/>
        <v>25500</v>
      </c>
    </row>
    <row r="93" spans="1:17" ht="16.5" x14ac:dyDescent="0.2">
      <c r="A93" s="19">
        <v>68</v>
      </c>
      <c r="B93" s="19">
        <v>16455</v>
      </c>
      <c r="D93" s="68"/>
      <c r="E93" s="68"/>
      <c r="F93" s="68"/>
      <c r="G93" s="68"/>
      <c r="N93" s="27">
        <v>1.8</v>
      </c>
      <c r="O93" s="23">
        <f t="shared" si="12"/>
        <v>0.12328767123287672</v>
      </c>
      <c r="P93" s="27">
        <f t="shared" si="13"/>
        <v>27000</v>
      </c>
    </row>
    <row r="94" spans="1:17" ht="16.5" x14ac:dyDescent="0.2">
      <c r="A94" s="19">
        <v>69</v>
      </c>
      <c r="B94" s="19">
        <v>18285</v>
      </c>
      <c r="D94" s="68"/>
      <c r="E94" s="68"/>
      <c r="F94" s="68"/>
      <c r="G94" s="68"/>
      <c r="N94" s="27">
        <v>2</v>
      </c>
      <c r="O94" s="23">
        <f t="shared" si="12"/>
        <v>0.13698630136986301</v>
      </c>
      <c r="P94" s="27">
        <f t="shared" si="13"/>
        <v>30000</v>
      </c>
    </row>
    <row r="95" spans="1:17" x14ac:dyDescent="0.2">
      <c r="A95" s="17"/>
      <c r="B95" s="17"/>
      <c r="C95" s="17"/>
      <c r="D95" s="17"/>
      <c r="E95" s="17"/>
      <c r="F95" s="17"/>
      <c r="G95" s="17"/>
      <c r="H95" s="17"/>
      <c r="I95" s="17"/>
    </row>
    <row r="96" spans="1:17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>
        <f>SUM(N98:N107)</f>
        <v>14.6</v>
      </c>
      <c r="O96" s="17"/>
      <c r="P96" s="17"/>
    </row>
    <row r="97" spans="1:16" ht="17.25" x14ac:dyDescent="0.2">
      <c r="A97" s="17"/>
      <c r="B97" s="17"/>
      <c r="C97" s="17"/>
      <c r="D97" s="17"/>
      <c r="E97" s="17"/>
      <c r="F97" s="17"/>
      <c r="G97" s="17"/>
      <c r="H97" s="17"/>
      <c r="I97" s="28" t="s">
        <v>203</v>
      </c>
      <c r="J97" s="27">
        <v>8</v>
      </c>
      <c r="K97" s="28" t="s">
        <v>203</v>
      </c>
      <c r="L97" s="27">
        <v>7</v>
      </c>
      <c r="M97" s="17"/>
      <c r="N97" s="12" t="s">
        <v>51</v>
      </c>
      <c r="O97" s="12" t="s">
        <v>49</v>
      </c>
      <c r="P97" s="12" t="s">
        <v>50</v>
      </c>
    </row>
    <row r="98" spans="1:16" ht="16.5" x14ac:dyDescent="0.2">
      <c r="A98" s="19">
        <v>70</v>
      </c>
      <c r="B98" s="19">
        <v>12840</v>
      </c>
      <c r="D98" s="68"/>
      <c r="E98" s="68"/>
      <c r="F98" s="68"/>
      <c r="G98" s="68"/>
      <c r="I98" s="28" t="s">
        <v>212</v>
      </c>
      <c r="J98" s="16">
        <f>SUMIFS(章节关卡!$AR$5:$AR$200,章节关卡!$AP$5:$AP$200,"="&amp;分段产出计算!J97)</f>
        <v>9000</v>
      </c>
      <c r="K98" s="28" t="s">
        <v>211</v>
      </c>
      <c r="L98" s="16">
        <f>SUMIFS(章节关卡!$AR$5:$AR$200,章节关卡!$AP$5:$AP$200,"="&amp;分段产出计算!L97)</f>
        <v>7500</v>
      </c>
      <c r="N98" s="27">
        <v>1</v>
      </c>
      <c r="O98" s="23">
        <f>N98/$N$96</f>
        <v>6.8493150684931503E-2</v>
      </c>
      <c r="P98" s="27">
        <f>INT($J$104*O98/5)*5</f>
        <v>20235</v>
      </c>
    </row>
    <row r="99" spans="1:16" ht="16.5" x14ac:dyDescent="0.2">
      <c r="A99" s="19">
        <v>71</v>
      </c>
      <c r="B99" s="19">
        <v>14125</v>
      </c>
      <c r="D99" s="68"/>
      <c r="E99" s="68"/>
      <c r="F99" s="68"/>
      <c r="G99" s="68"/>
      <c r="I99" s="28" t="s">
        <v>206</v>
      </c>
      <c r="J99" s="16">
        <f>SUMIFS(芦花古楼!$D$5:$D$104,芦花古楼!$B$5:$B$104,"="&amp;分段产出计算!J97)</f>
        <v>27000</v>
      </c>
      <c r="K99" s="28" t="s">
        <v>207</v>
      </c>
      <c r="L99" s="16">
        <f>SUMIFS(芦花古楼!$M$5:$M$104,芦花古楼!$K$5:$K$104,"="&amp;分段产出计算!J97)</f>
        <v>36000</v>
      </c>
      <c r="N99" s="27">
        <v>1.1000000000000001</v>
      </c>
      <c r="O99" s="23">
        <f t="shared" ref="O99:O107" si="14">N99/$N$96</f>
        <v>7.5342465753424667E-2</v>
      </c>
      <c r="P99" s="27">
        <f t="shared" ref="P99:P107" si="15">INT($J$104*O99/5)*5</f>
        <v>22260</v>
      </c>
    </row>
    <row r="100" spans="1:16" ht="16.5" x14ac:dyDescent="0.2">
      <c r="A100" s="19">
        <v>72</v>
      </c>
      <c r="B100" s="19">
        <v>15410</v>
      </c>
      <c r="D100" s="68"/>
      <c r="E100" s="68"/>
      <c r="F100" s="68"/>
      <c r="G100" s="68"/>
      <c r="I100" s="28" t="s">
        <v>208</v>
      </c>
      <c r="J100" s="16">
        <f>SUMIFS(芦花古楼!$V$5:$V$104,芦花古楼!$T$5:$T$104,"="&amp;分段产出计算!J97)</f>
        <v>54000</v>
      </c>
      <c r="K100" s="28" t="s">
        <v>209</v>
      </c>
      <c r="L100" s="16">
        <f>SUMIFS(芦花古楼!$AE$5:$AE$104,芦花古楼!$AC$5:$AC$104,"="&amp;分段产出计算!J97)</f>
        <v>54000</v>
      </c>
      <c r="N100" s="27">
        <v>1.2</v>
      </c>
      <c r="O100" s="23">
        <f t="shared" si="14"/>
        <v>8.2191780821917804E-2</v>
      </c>
      <c r="P100" s="27">
        <f t="shared" si="15"/>
        <v>24285</v>
      </c>
    </row>
    <row r="101" spans="1:16" ht="16.5" x14ac:dyDescent="0.2">
      <c r="A101" s="19">
        <v>73</v>
      </c>
      <c r="B101" s="19">
        <v>16695</v>
      </c>
      <c r="D101" s="68"/>
      <c r="E101" s="68"/>
      <c r="F101" s="68"/>
      <c r="G101" s="68"/>
      <c r="I101" s="28" t="s">
        <v>65</v>
      </c>
      <c r="J101" s="16">
        <f>INDEX(节奏总表!$Q$4:$Q$18,分段产出计算!J97)</f>
        <v>2.5</v>
      </c>
      <c r="K101" s="16">
        <f>日常任务!D43*分段产出计算!J101</f>
        <v>0</v>
      </c>
      <c r="N101" s="27">
        <v>1.3</v>
      </c>
      <c r="O101" s="23">
        <f t="shared" si="14"/>
        <v>8.9041095890410968E-2</v>
      </c>
      <c r="P101" s="27">
        <f t="shared" si="15"/>
        <v>26310</v>
      </c>
    </row>
    <row r="102" spans="1:16" ht="16.5" x14ac:dyDescent="0.2">
      <c r="A102" s="19">
        <v>74</v>
      </c>
      <c r="B102" s="19">
        <v>17975</v>
      </c>
      <c r="D102" s="68"/>
      <c r="E102" s="68"/>
      <c r="F102" s="68"/>
      <c r="G102" s="68"/>
      <c r="I102" s="28" t="s">
        <v>56</v>
      </c>
      <c r="J102" s="16">
        <f>INDEX(节奏总表!$Q$4:$Q$18,分段产出计算!J97)*24*60</f>
        <v>3600</v>
      </c>
      <c r="K102" s="16">
        <f>INDEX(章节关卡!$C$6:$C$20,分段产出计算!J97)*分段产出计算!J102</f>
        <v>108000</v>
      </c>
      <c r="N102" s="27">
        <v>1.4</v>
      </c>
      <c r="O102" s="23">
        <f t="shared" si="14"/>
        <v>9.5890410958904104E-2</v>
      </c>
      <c r="P102" s="27">
        <f t="shared" si="15"/>
        <v>28335</v>
      </c>
    </row>
    <row r="103" spans="1:16" ht="16.5" x14ac:dyDescent="0.2">
      <c r="A103" s="19">
        <v>75</v>
      </c>
      <c r="B103" s="19">
        <v>19260</v>
      </c>
      <c r="D103" s="68"/>
      <c r="E103" s="68"/>
      <c r="F103" s="68"/>
      <c r="G103" s="68"/>
      <c r="I103" s="28" t="s">
        <v>48</v>
      </c>
      <c r="J103" s="21">
        <v>0</v>
      </c>
      <c r="K103" s="16">
        <f>J104*J103</f>
        <v>0</v>
      </c>
      <c r="N103" s="27">
        <v>1.5</v>
      </c>
      <c r="O103" s="23">
        <f t="shared" si="14"/>
        <v>0.10273972602739727</v>
      </c>
      <c r="P103" s="27">
        <f t="shared" si="15"/>
        <v>30355</v>
      </c>
    </row>
    <row r="104" spans="1:16" ht="16.5" x14ac:dyDescent="0.2">
      <c r="A104" s="19">
        <v>76</v>
      </c>
      <c r="B104" s="19">
        <v>20545</v>
      </c>
      <c r="D104" s="68"/>
      <c r="E104" s="68"/>
      <c r="F104" s="68"/>
      <c r="G104" s="68"/>
      <c r="I104" s="28" t="s">
        <v>46</v>
      </c>
      <c r="J104" s="16">
        <f>(J98+L98+J99+L99+J100+L100+K101+K102)/(1-J103)</f>
        <v>295500</v>
      </c>
      <c r="K104" s="17"/>
      <c r="N104" s="27">
        <v>1.6</v>
      </c>
      <c r="O104" s="23">
        <f t="shared" si="14"/>
        <v>0.10958904109589042</v>
      </c>
      <c r="P104" s="27">
        <f t="shared" si="15"/>
        <v>32380</v>
      </c>
    </row>
    <row r="105" spans="1:16" ht="16.5" x14ac:dyDescent="0.2">
      <c r="A105" s="19">
        <v>77</v>
      </c>
      <c r="B105" s="19">
        <v>21830</v>
      </c>
      <c r="D105" s="68"/>
      <c r="E105" s="68"/>
      <c r="F105" s="68"/>
      <c r="G105" s="68"/>
      <c r="N105" s="27">
        <v>1.7</v>
      </c>
      <c r="O105" s="23">
        <f t="shared" si="14"/>
        <v>0.11643835616438356</v>
      </c>
      <c r="P105" s="27">
        <f t="shared" si="15"/>
        <v>34405</v>
      </c>
    </row>
    <row r="106" spans="1:16" ht="16.5" x14ac:dyDescent="0.2">
      <c r="A106" s="19">
        <v>78</v>
      </c>
      <c r="B106" s="19">
        <v>23115</v>
      </c>
      <c r="D106" s="68"/>
      <c r="E106" s="68"/>
      <c r="F106" s="68"/>
      <c r="G106" s="68"/>
      <c r="N106" s="27">
        <v>1.8</v>
      </c>
      <c r="O106" s="23">
        <f t="shared" si="14"/>
        <v>0.12328767123287672</v>
      </c>
      <c r="P106" s="27">
        <f t="shared" si="15"/>
        <v>36430</v>
      </c>
    </row>
    <row r="107" spans="1:16" ht="16.5" x14ac:dyDescent="0.2">
      <c r="A107" s="19">
        <v>79</v>
      </c>
      <c r="B107" s="19">
        <v>25680</v>
      </c>
      <c r="D107" s="68"/>
      <c r="E107" s="68"/>
      <c r="F107" s="68"/>
      <c r="G107" s="68"/>
      <c r="N107" s="27">
        <v>2</v>
      </c>
      <c r="O107" s="23">
        <f t="shared" si="14"/>
        <v>0.13698630136986301</v>
      </c>
      <c r="P107" s="27">
        <f t="shared" si="15"/>
        <v>40475</v>
      </c>
    </row>
    <row r="108" spans="1:16" s="17" customFormat="1" x14ac:dyDescent="0.2"/>
    <row r="109" spans="1:16" s="17" customFormat="1" x14ac:dyDescent="0.2">
      <c r="N109" s="17">
        <f>SUM(N111:N120)</f>
        <v>14.6</v>
      </c>
    </row>
    <row r="110" spans="1:16" s="17" customFormat="1" ht="17.25" x14ac:dyDescent="0.2">
      <c r="I110" s="28" t="s">
        <v>203</v>
      </c>
      <c r="J110" s="27">
        <v>9</v>
      </c>
      <c r="K110" s="28" t="s">
        <v>203</v>
      </c>
      <c r="L110" s="27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9">
        <v>80</v>
      </c>
      <c r="B111" s="19">
        <v>20400</v>
      </c>
      <c r="D111" s="68"/>
      <c r="E111" s="68"/>
      <c r="F111" s="68"/>
      <c r="G111" s="68"/>
      <c r="I111" s="28" t="s">
        <v>212</v>
      </c>
      <c r="J111" s="16">
        <f>SUMIFS(章节关卡!$AR$5:$AR$200,章节关卡!$AP$5:$AP$200,"="&amp;分段产出计算!J110)</f>
        <v>10800</v>
      </c>
      <c r="K111" s="28" t="s">
        <v>211</v>
      </c>
      <c r="L111" s="16">
        <f>SUMIFS(章节关卡!$AR$5:$AR$200,章节关卡!$AP$5:$AP$200,"="&amp;分段产出计算!L110)</f>
        <v>9000</v>
      </c>
      <c r="N111" s="27">
        <v>1</v>
      </c>
      <c r="O111" s="23">
        <f>N111/$N$109</f>
        <v>6.8493150684931503E-2</v>
      </c>
      <c r="P111" s="27">
        <f>INT($J$117*O111/5)*5</f>
        <v>30205</v>
      </c>
    </row>
    <row r="112" spans="1:16" ht="16.5" x14ac:dyDescent="0.2">
      <c r="A112" s="19">
        <v>81</v>
      </c>
      <c r="B112" s="19">
        <v>22440</v>
      </c>
      <c r="D112" s="68"/>
      <c r="E112" s="68"/>
      <c r="F112" s="68"/>
      <c r="G112" s="68"/>
      <c r="I112" s="28" t="s">
        <v>206</v>
      </c>
      <c r="J112" s="16">
        <f>SUMIFS(芦花古楼!$D$5:$D$104,芦花古楼!$B$5:$B$104,"="&amp;分段产出计算!J110)</f>
        <v>32400</v>
      </c>
      <c r="K112" s="28" t="s">
        <v>207</v>
      </c>
      <c r="L112" s="16">
        <f>SUMIFS(芦花古楼!$M$5:$M$104,芦花古楼!$K$5:$K$104,"="&amp;分段产出计算!J110)</f>
        <v>64800</v>
      </c>
      <c r="N112" s="27">
        <v>1.1000000000000001</v>
      </c>
      <c r="O112" s="23">
        <f t="shared" ref="O112:O120" si="16">N112/$N$109</f>
        <v>7.5342465753424667E-2</v>
      </c>
      <c r="P112" s="27">
        <f t="shared" ref="P112:P120" si="17">INT($J$117*O112/5)*5</f>
        <v>33225</v>
      </c>
    </row>
    <row r="113" spans="1:18" ht="16.5" x14ac:dyDescent="0.2">
      <c r="A113" s="19">
        <v>82</v>
      </c>
      <c r="B113" s="19">
        <v>24480</v>
      </c>
      <c r="D113" s="68"/>
      <c r="E113" s="68"/>
      <c r="F113" s="68"/>
      <c r="G113" s="68"/>
      <c r="I113" s="28" t="s">
        <v>208</v>
      </c>
      <c r="J113" s="16">
        <f>SUMIFS(芦花古楼!$V$5:$V$104,芦花古楼!$T$5:$T$104,"="&amp;分段产出计算!J110)</f>
        <v>64800</v>
      </c>
      <c r="K113" s="28" t="s">
        <v>209</v>
      </c>
      <c r="L113" s="16">
        <f>SUMIFS(芦花古楼!$AE$5:$AE$104,芦花古楼!$AC$5:$AC$104,"="&amp;分段产出计算!J110)</f>
        <v>64800</v>
      </c>
      <c r="N113" s="27">
        <v>1.2</v>
      </c>
      <c r="O113" s="23">
        <f t="shared" si="16"/>
        <v>8.2191780821917804E-2</v>
      </c>
      <c r="P113" s="27">
        <f t="shared" si="17"/>
        <v>36245</v>
      </c>
    </row>
    <row r="114" spans="1:18" ht="16.5" x14ac:dyDescent="0.2">
      <c r="A114" s="19">
        <v>83</v>
      </c>
      <c r="B114" s="19">
        <v>26525</v>
      </c>
      <c r="D114" s="68"/>
      <c r="E114" s="68"/>
      <c r="F114" s="68"/>
      <c r="G114" s="68"/>
      <c r="I114" s="28" t="s">
        <v>65</v>
      </c>
      <c r="J114" s="16">
        <f>INDEX(节奏总表!$Q$4:$Q$18,分段产出计算!J110)</f>
        <v>3.75</v>
      </c>
      <c r="K114" s="16">
        <f>日常任务!D56*分段产出计算!J114</f>
        <v>0</v>
      </c>
      <c r="N114" s="27">
        <v>1.3</v>
      </c>
      <c r="O114" s="23">
        <f t="shared" si="16"/>
        <v>8.9041095890410968E-2</v>
      </c>
      <c r="P114" s="27">
        <f t="shared" si="17"/>
        <v>39265</v>
      </c>
    </row>
    <row r="115" spans="1:18" ht="16.5" x14ac:dyDescent="0.2">
      <c r="A115" s="19">
        <v>84</v>
      </c>
      <c r="B115" s="19">
        <v>28565</v>
      </c>
      <c r="D115" s="68"/>
      <c r="E115" s="68"/>
      <c r="F115" s="68"/>
      <c r="G115" s="68"/>
      <c r="I115" s="28" t="s">
        <v>56</v>
      </c>
      <c r="J115" s="16">
        <f>INDEX(节奏总表!$Q$4:$Q$18,分段产出计算!J110)*24*60</f>
        <v>5400</v>
      </c>
      <c r="K115" s="16">
        <f>INDEX(章节关卡!$C$6:$C$20,分段产出计算!J110)*分段产出计算!J115</f>
        <v>194400</v>
      </c>
      <c r="N115" s="27">
        <v>1.4</v>
      </c>
      <c r="O115" s="23">
        <f t="shared" si="16"/>
        <v>9.5890410958904104E-2</v>
      </c>
      <c r="P115" s="27">
        <f t="shared" si="17"/>
        <v>42285</v>
      </c>
    </row>
    <row r="116" spans="1:18" ht="16.5" x14ac:dyDescent="0.2">
      <c r="A116" s="19">
        <v>85</v>
      </c>
      <c r="B116" s="19">
        <v>30605</v>
      </c>
      <c r="D116" s="68"/>
      <c r="E116" s="68"/>
      <c r="F116" s="68"/>
      <c r="G116" s="68"/>
      <c r="I116" s="28" t="s">
        <v>48</v>
      </c>
      <c r="J116" s="21">
        <v>0</v>
      </c>
      <c r="K116" s="16">
        <f>J117*J116</f>
        <v>0</v>
      </c>
      <c r="N116" s="27">
        <v>1.5</v>
      </c>
      <c r="O116" s="23">
        <f t="shared" si="16"/>
        <v>0.10273972602739727</v>
      </c>
      <c r="P116" s="27">
        <f t="shared" si="17"/>
        <v>45305</v>
      </c>
    </row>
    <row r="117" spans="1:18" ht="16.5" x14ac:dyDescent="0.2">
      <c r="A117" s="19">
        <v>86</v>
      </c>
      <c r="B117" s="19">
        <v>32645</v>
      </c>
      <c r="D117" s="68"/>
      <c r="E117" s="68"/>
      <c r="F117" s="68"/>
      <c r="G117" s="68"/>
      <c r="I117" s="28" t="s">
        <v>46</v>
      </c>
      <c r="J117" s="16">
        <f>(J111+L111+J112+L112+J113+L113+K114+K115)/(1-J116)</f>
        <v>441000</v>
      </c>
      <c r="K117" s="17"/>
      <c r="N117" s="27">
        <v>1.6</v>
      </c>
      <c r="O117" s="23">
        <f t="shared" si="16"/>
        <v>0.10958904109589042</v>
      </c>
      <c r="P117" s="27">
        <f t="shared" si="17"/>
        <v>48325</v>
      </c>
    </row>
    <row r="118" spans="1:18" ht="16.5" x14ac:dyDescent="0.2">
      <c r="A118" s="19">
        <v>87</v>
      </c>
      <c r="B118" s="19">
        <v>34685</v>
      </c>
      <c r="D118" s="68"/>
      <c r="E118" s="68"/>
      <c r="F118" s="68"/>
      <c r="G118" s="68"/>
      <c r="N118" s="27">
        <v>1.7</v>
      </c>
      <c r="O118" s="23">
        <f t="shared" si="16"/>
        <v>0.11643835616438356</v>
      </c>
      <c r="P118" s="27">
        <f t="shared" si="17"/>
        <v>51345</v>
      </c>
    </row>
    <row r="119" spans="1:18" ht="16.5" x14ac:dyDescent="0.2">
      <c r="A119" s="19">
        <v>88</v>
      </c>
      <c r="B119" s="19">
        <v>36725</v>
      </c>
      <c r="D119" s="68"/>
      <c r="E119" s="68"/>
      <c r="F119" s="68"/>
      <c r="G119" s="68"/>
      <c r="N119" s="27">
        <v>1.8</v>
      </c>
      <c r="O119" s="23">
        <f t="shared" si="16"/>
        <v>0.12328767123287672</v>
      </c>
      <c r="P119" s="27">
        <f t="shared" si="17"/>
        <v>54365</v>
      </c>
    </row>
    <row r="120" spans="1:18" ht="16.5" x14ac:dyDescent="0.2">
      <c r="A120" s="19">
        <v>89</v>
      </c>
      <c r="B120" s="19">
        <v>40805</v>
      </c>
      <c r="D120" s="68"/>
      <c r="E120" s="68"/>
      <c r="F120" s="68"/>
      <c r="G120" s="68"/>
      <c r="N120" s="27">
        <v>2</v>
      </c>
      <c r="O120" s="23">
        <f t="shared" si="16"/>
        <v>0.13698630136986301</v>
      </c>
      <c r="P120" s="27">
        <f t="shared" si="17"/>
        <v>60410</v>
      </c>
    </row>
    <row r="121" spans="1:18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>
        <f>SUM(N124:N133)</f>
        <v>14.6</v>
      </c>
      <c r="O122" s="17"/>
      <c r="P122" s="17"/>
      <c r="Q122" s="17"/>
      <c r="R122" s="17"/>
    </row>
    <row r="123" spans="1:18" ht="17.25" x14ac:dyDescent="0.2">
      <c r="A123" s="17"/>
      <c r="B123" s="17"/>
      <c r="C123" s="17"/>
      <c r="D123" s="17"/>
      <c r="E123" s="17"/>
      <c r="F123" s="17"/>
      <c r="G123" s="17"/>
      <c r="H123" s="17"/>
      <c r="I123" s="28" t="s">
        <v>203</v>
      </c>
      <c r="J123" s="27">
        <v>10</v>
      </c>
      <c r="K123" s="28" t="s">
        <v>203</v>
      </c>
      <c r="L123" s="27">
        <v>9</v>
      </c>
      <c r="M123" s="17"/>
      <c r="N123" s="12" t="s">
        <v>51</v>
      </c>
      <c r="O123" s="12" t="s">
        <v>49</v>
      </c>
      <c r="P123" s="12" t="s">
        <v>50</v>
      </c>
      <c r="Q123" s="17"/>
      <c r="R123" s="17"/>
    </row>
    <row r="124" spans="1:18" ht="16.5" x14ac:dyDescent="0.2">
      <c r="A124" s="19">
        <v>90</v>
      </c>
      <c r="B124" s="19">
        <v>35770</v>
      </c>
      <c r="D124" s="68"/>
      <c r="E124" s="68"/>
      <c r="F124" s="68"/>
      <c r="G124" s="68"/>
      <c r="I124" s="28" t="s">
        <v>212</v>
      </c>
      <c r="J124" s="16">
        <f>SUMIFS(章节关卡!$AR$5:$AR$200,章节关卡!$AP$5:$AP$200,"="&amp;分段产出计算!J123)</f>
        <v>13200</v>
      </c>
      <c r="K124" s="28" t="s">
        <v>211</v>
      </c>
      <c r="L124" s="16">
        <f>SUMIFS(章节关卡!$AR$5:$AR$200,章节关卡!$AP$5:$AP$200,"="&amp;分段产出计算!L123)</f>
        <v>10800</v>
      </c>
      <c r="N124" s="27">
        <v>1</v>
      </c>
      <c r="O124" s="23">
        <f>N124/$N$122</f>
        <v>6.8493150684931503E-2</v>
      </c>
      <c r="P124" s="27">
        <f>INT($J$130*O124/5)*5</f>
        <v>47750</v>
      </c>
    </row>
    <row r="125" spans="1:18" ht="16.5" x14ac:dyDescent="0.2">
      <c r="A125" s="19">
        <v>91</v>
      </c>
      <c r="B125" s="19">
        <v>39350</v>
      </c>
      <c r="D125" s="68"/>
      <c r="E125" s="68"/>
      <c r="F125" s="68"/>
      <c r="G125" s="68"/>
      <c r="I125" s="28" t="s">
        <v>206</v>
      </c>
      <c r="J125" s="16">
        <f>SUMIFS(芦花古楼!$D$5:$D$104,芦花古楼!$B$5:$B$104,"="&amp;分段产出计算!J123)</f>
        <v>39600</v>
      </c>
      <c r="K125" s="28" t="s">
        <v>207</v>
      </c>
      <c r="L125" s="16">
        <f>SUMIFS(芦花古楼!$M$5:$M$104,芦花古楼!$K$5:$K$104,"="&amp;分段产出计算!J123)</f>
        <v>79200</v>
      </c>
      <c r="N125" s="27">
        <v>1.1000000000000001</v>
      </c>
      <c r="O125" s="23">
        <f t="shared" ref="O125:O133" si="18">N125/$N$122</f>
        <v>7.5342465753424667E-2</v>
      </c>
      <c r="P125" s="27">
        <f t="shared" ref="P125:P133" si="19">INT($J$130*O125/5)*5</f>
        <v>52525</v>
      </c>
    </row>
    <row r="126" spans="1:18" ht="16.5" x14ac:dyDescent="0.2">
      <c r="A126" s="19">
        <v>92</v>
      </c>
      <c r="B126" s="19">
        <v>42925</v>
      </c>
      <c r="D126" s="68"/>
      <c r="E126" s="68"/>
      <c r="F126" s="68"/>
      <c r="G126" s="68"/>
      <c r="I126" s="28" t="s">
        <v>208</v>
      </c>
      <c r="J126" s="16">
        <f>SUMIFS(芦花古楼!$V$5:$V$104,芦花古楼!$T$5:$T$104,"="&amp;分段产出计算!J123)</f>
        <v>79200</v>
      </c>
      <c r="K126" s="28" t="s">
        <v>209</v>
      </c>
      <c r="L126" s="16">
        <f>SUMIFS(芦花古楼!$AE$5:$AE$104,芦花古楼!$AC$5:$AC$104,"="&amp;分段产出计算!J123)</f>
        <v>79200</v>
      </c>
      <c r="N126" s="27">
        <v>1.2</v>
      </c>
      <c r="O126" s="23">
        <f t="shared" si="18"/>
        <v>8.2191780821917804E-2</v>
      </c>
      <c r="P126" s="27">
        <f t="shared" si="19"/>
        <v>57300</v>
      </c>
    </row>
    <row r="127" spans="1:18" ht="16.5" x14ac:dyDescent="0.2">
      <c r="A127" s="19">
        <v>93</v>
      </c>
      <c r="B127" s="19">
        <v>46505</v>
      </c>
      <c r="D127" s="68"/>
      <c r="E127" s="68"/>
      <c r="F127" s="68"/>
      <c r="G127" s="68"/>
      <c r="I127" s="28" t="s">
        <v>65</v>
      </c>
      <c r="J127" s="16">
        <f>INDEX(节奏总表!$Q$4:$Q$18,分段产出计算!J123)</f>
        <v>6.25</v>
      </c>
      <c r="K127" s="16">
        <f>日常任务!D69*分段产出计算!J127</f>
        <v>0</v>
      </c>
      <c r="N127" s="27">
        <v>1.3</v>
      </c>
      <c r="O127" s="23">
        <f t="shared" si="18"/>
        <v>8.9041095890410968E-2</v>
      </c>
      <c r="P127" s="27">
        <f t="shared" si="19"/>
        <v>62075</v>
      </c>
    </row>
    <row r="128" spans="1:18" ht="16.5" x14ac:dyDescent="0.2">
      <c r="A128" s="19">
        <v>94</v>
      </c>
      <c r="B128" s="19">
        <v>50080</v>
      </c>
      <c r="D128" s="68"/>
      <c r="E128" s="68"/>
      <c r="F128" s="68"/>
      <c r="G128" s="68"/>
      <c r="I128" s="28" t="s">
        <v>56</v>
      </c>
      <c r="J128" s="16">
        <f>INDEX(节奏总表!$Q$4:$Q$18,分段产出计算!J123)*24*60</f>
        <v>9000</v>
      </c>
      <c r="K128" s="16">
        <f>INDEX(章节关卡!$C$6:$C$20,分段产出计算!J123)*分段产出计算!J128</f>
        <v>396000</v>
      </c>
      <c r="N128" s="27">
        <v>1.4</v>
      </c>
      <c r="O128" s="23">
        <f t="shared" si="18"/>
        <v>9.5890410958904104E-2</v>
      </c>
      <c r="P128" s="27">
        <f t="shared" si="19"/>
        <v>66850</v>
      </c>
    </row>
    <row r="129" spans="1:17" ht="16.5" x14ac:dyDescent="0.2">
      <c r="A129" s="19">
        <v>95</v>
      </c>
      <c r="B129" s="19">
        <v>53660</v>
      </c>
      <c r="D129" s="68"/>
      <c r="E129" s="68"/>
      <c r="F129" s="68"/>
      <c r="G129" s="68"/>
      <c r="I129" s="28" t="s">
        <v>48</v>
      </c>
      <c r="J129" s="21">
        <v>0</v>
      </c>
      <c r="K129" s="16">
        <f>J130*J129</f>
        <v>0</v>
      </c>
      <c r="N129" s="27">
        <v>1.5</v>
      </c>
      <c r="O129" s="23">
        <f t="shared" si="18"/>
        <v>0.10273972602739727</v>
      </c>
      <c r="P129" s="27">
        <f t="shared" si="19"/>
        <v>71630</v>
      </c>
    </row>
    <row r="130" spans="1:17" ht="16.5" x14ac:dyDescent="0.2">
      <c r="A130" s="19">
        <v>96</v>
      </c>
      <c r="B130" s="19">
        <v>57235</v>
      </c>
      <c r="D130" s="68"/>
      <c r="E130" s="68"/>
      <c r="F130" s="68"/>
      <c r="G130" s="68"/>
      <c r="I130" s="28" t="s">
        <v>46</v>
      </c>
      <c r="J130" s="16">
        <f>(J124+L124+J125+L125+J126+L126+K127+K128)/(1-J129)</f>
        <v>697200</v>
      </c>
      <c r="K130" s="17"/>
      <c r="N130" s="27">
        <v>1.6</v>
      </c>
      <c r="O130" s="23">
        <f t="shared" si="18"/>
        <v>0.10958904109589042</v>
      </c>
      <c r="P130" s="27">
        <f t="shared" si="19"/>
        <v>76405</v>
      </c>
    </row>
    <row r="131" spans="1:17" ht="16.5" x14ac:dyDescent="0.2">
      <c r="A131" s="19">
        <v>97</v>
      </c>
      <c r="B131" s="19">
        <v>60815</v>
      </c>
      <c r="D131" s="68"/>
      <c r="E131" s="68"/>
      <c r="F131" s="68"/>
      <c r="G131" s="68"/>
      <c r="N131" s="27">
        <v>1.7</v>
      </c>
      <c r="O131" s="23">
        <f t="shared" si="18"/>
        <v>0.11643835616438356</v>
      </c>
      <c r="P131" s="27">
        <f t="shared" si="19"/>
        <v>81180</v>
      </c>
    </row>
    <row r="132" spans="1:17" ht="16.5" x14ac:dyDescent="0.2">
      <c r="A132" s="19">
        <v>98</v>
      </c>
      <c r="B132" s="19">
        <v>64390</v>
      </c>
      <c r="D132" s="68"/>
      <c r="E132" s="68"/>
      <c r="F132" s="68"/>
      <c r="G132" s="68"/>
      <c r="N132" s="27">
        <v>1.8</v>
      </c>
      <c r="O132" s="23">
        <f t="shared" si="18"/>
        <v>0.12328767123287672</v>
      </c>
      <c r="P132" s="27">
        <f t="shared" si="19"/>
        <v>85955</v>
      </c>
    </row>
    <row r="133" spans="1:17" ht="16.5" x14ac:dyDescent="0.2">
      <c r="A133" s="19">
        <v>99</v>
      </c>
      <c r="B133" s="19">
        <v>71545</v>
      </c>
      <c r="D133" s="68"/>
      <c r="E133" s="68"/>
      <c r="F133" s="68"/>
      <c r="G133" s="68"/>
      <c r="N133" s="27">
        <v>2</v>
      </c>
      <c r="O133" s="23">
        <f t="shared" si="18"/>
        <v>0.13698630136986301</v>
      </c>
      <c r="P133" s="27">
        <f t="shared" si="19"/>
        <v>95505</v>
      </c>
    </row>
    <row r="134" spans="1:17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ht="16.5" x14ac:dyDescent="0.2">
      <c r="A137" s="19">
        <v>100</v>
      </c>
      <c r="B137" s="19"/>
    </row>
    <row r="138" spans="1:17" ht="16.5" x14ac:dyDescent="0.2">
      <c r="A138" s="19">
        <v>101</v>
      </c>
      <c r="B138" s="19"/>
    </row>
    <row r="139" spans="1:17" ht="16.5" x14ac:dyDescent="0.2">
      <c r="A139" s="19">
        <v>102</v>
      </c>
      <c r="B139" s="19"/>
    </row>
    <row r="140" spans="1:17" ht="16.5" x14ac:dyDescent="0.2">
      <c r="A140" s="19">
        <v>103</v>
      </c>
      <c r="B140" s="19"/>
    </row>
    <row r="141" spans="1:17" ht="16.5" x14ac:dyDescent="0.2">
      <c r="A141" s="19">
        <v>104</v>
      </c>
      <c r="B141" s="19"/>
    </row>
    <row r="142" spans="1:17" ht="16.5" x14ac:dyDescent="0.2">
      <c r="A142" s="19">
        <v>105</v>
      </c>
      <c r="B142" s="19"/>
    </row>
    <row r="143" spans="1:17" ht="16.5" x14ac:dyDescent="0.2">
      <c r="A143" s="19">
        <v>106</v>
      </c>
      <c r="B143" s="19"/>
    </row>
    <row r="144" spans="1:17" ht="16.5" x14ac:dyDescent="0.2">
      <c r="A144" s="19">
        <v>107</v>
      </c>
      <c r="B144" s="19"/>
    </row>
    <row r="145" spans="1:2" ht="16.5" x14ac:dyDescent="0.2">
      <c r="A145" s="19">
        <v>108</v>
      </c>
      <c r="B145" s="19"/>
    </row>
    <row r="146" spans="1:2" ht="16.5" x14ac:dyDescent="0.2">
      <c r="A146" s="19">
        <v>109</v>
      </c>
      <c r="B146" s="19"/>
    </row>
    <row r="147" spans="1:2" ht="16.5" x14ac:dyDescent="0.2">
      <c r="A147" s="19">
        <v>110</v>
      </c>
      <c r="B147" s="19"/>
    </row>
    <row r="148" spans="1:2" ht="16.5" x14ac:dyDescent="0.2">
      <c r="A148" s="19">
        <v>111</v>
      </c>
      <c r="B148" s="19"/>
    </row>
    <row r="149" spans="1:2" ht="16.5" x14ac:dyDescent="0.2">
      <c r="A149" s="19">
        <v>112</v>
      </c>
      <c r="B149" s="19"/>
    </row>
    <row r="150" spans="1:2" ht="16.5" x14ac:dyDescent="0.2">
      <c r="A150" s="19">
        <v>113</v>
      </c>
      <c r="B150" s="19"/>
    </row>
    <row r="151" spans="1:2" ht="16.5" x14ac:dyDescent="0.2">
      <c r="A151" s="19">
        <v>114</v>
      </c>
      <c r="B151" s="19"/>
    </row>
    <row r="152" spans="1:2" ht="16.5" x14ac:dyDescent="0.2">
      <c r="A152" s="19">
        <v>115</v>
      </c>
      <c r="B152" s="19"/>
    </row>
    <row r="153" spans="1:2" ht="16.5" x14ac:dyDescent="0.2">
      <c r="A153" s="19">
        <v>116</v>
      </c>
      <c r="B153" s="19"/>
    </row>
    <row r="154" spans="1:2" ht="16.5" x14ac:dyDescent="0.2">
      <c r="A154" s="19">
        <v>117</v>
      </c>
      <c r="B154" s="19"/>
    </row>
    <row r="155" spans="1:2" ht="16.5" x14ac:dyDescent="0.2">
      <c r="A155" s="19">
        <v>118</v>
      </c>
      <c r="B155" s="19"/>
    </row>
    <row r="156" spans="1:2" ht="16.5" x14ac:dyDescent="0.2">
      <c r="A156" s="19">
        <v>119</v>
      </c>
      <c r="B156" s="19"/>
    </row>
    <row r="157" spans="1:2" ht="16.5" x14ac:dyDescent="0.2">
      <c r="A157" s="19">
        <v>120</v>
      </c>
      <c r="B157" s="19"/>
    </row>
    <row r="158" spans="1:2" ht="16.5" x14ac:dyDescent="0.2">
      <c r="A158" s="19">
        <v>121</v>
      </c>
      <c r="B158" s="19"/>
    </row>
    <row r="159" spans="1:2" ht="16.5" x14ac:dyDescent="0.2">
      <c r="A159" s="19">
        <v>122</v>
      </c>
      <c r="B159" s="19"/>
    </row>
    <row r="160" spans="1:2" ht="16.5" x14ac:dyDescent="0.2">
      <c r="A160" s="19">
        <v>123</v>
      </c>
      <c r="B160" s="19"/>
    </row>
    <row r="161" spans="1:2" ht="16.5" x14ac:dyDescent="0.2">
      <c r="A161" s="19">
        <v>124</v>
      </c>
      <c r="B161" s="19"/>
    </row>
    <row r="162" spans="1:2" ht="16.5" x14ac:dyDescent="0.2">
      <c r="A162" s="19">
        <v>125</v>
      </c>
      <c r="B162" s="19"/>
    </row>
    <row r="163" spans="1:2" ht="16.5" x14ac:dyDescent="0.2">
      <c r="A163" s="19">
        <v>126</v>
      </c>
      <c r="B163" s="19"/>
    </row>
    <row r="164" spans="1:2" ht="16.5" x14ac:dyDescent="0.2">
      <c r="A164" s="19">
        <v>127</v>
      </c>
      <c r="B164" s="19"/>
    </row>
    <row r="165" spans="1:2" ht="16.5" x14ac:dyDescent="0.2">
      <c r="A165" s="19">
        <v>128</v>
      </c>
      <c r="B165" s="19"/>
    </row>
    <row r="166" spans="1:2" ht="16.5" x14ac:dyDescent="0.2">
      <c r="A166" s="19">
        <v>129</v>
      </c>
      <c r="B166" s="19"/>
    </row>
    <row r="167" spans="1:2" ht="16.5" x14ac:dyDescent="0.2">
      <c r="A167" s="19">
        <v>130</v>
      </c>
      <c r="B167" s="19"/>
    </row>
    <row r="168" spans="1:2" ht="16.5" x14ac:dyDescent="0.2">
      <c r="A168" s="19">
        <v>131</v>
      </c>
      <c r="B168" s="19"/>
    </row>
    <row r="169" spans="1:2" ht="16.5" x14ac:dyDescent="0.2">
      <c r="A169" s="19">
        <v>132</v>
      </c>
      <c r="B169" s="19"/>
    </row>
    <row r="170" spans="1:2" ht="16.5" x14ac:dyDescent="0.2">
      <c r="A170" s="19">
        <v>133</v>
      </c>
      <c r="B170" s="19"/>
    </row>
    <row r="171" spans="1:2" ht="16.5" x14ac:dyDescent="0.2">
      <c r="A171" s="19">
        <v>134</v>
      </c>
      <c r="B171" s="19"/>
    </row>
    <row r="172" spans="1:2" ht="16.5" x14ac:dyDescent="0.2">
      <c r="A172" s="19">
        <v>135</v>
      </c>
      <c r="B172" s="19"/>
    </row>
    <row r="173" spans="1:2" ht="16.5" x14ac:dyDescent="0.2">
      <c r="A173" s="19">
        <v>136</v>
      </c>
      <c r="B173" s="19"/>
    </row>
    <row r="174" spans="1:2" ht="16.5" x14ac:dyDescent="0.2">
      <c r="A174" s="19">
        <v>137</v>
      </c>
      <c r="B174" s="19"/>
    </row>
    <row r="175" spans="1:2" ht="16.5" x14ac:dyDescent="0.2">
      <c r="A175" s="19">
        <v>138</v>
      </c>
      <c r="B175" s="19"/>
    </row>
    <row r="176" spans="1:2" ht="16.5" x14ac:dyDescent="0.2">
      <c r="A176" s="19">
        <v>139</v>
      </c>
      <c r="B176" s="19"/>
    </row>
    <row r="177" spans="1:2" ht="16.5" x14ac:dyDescent="0.2">
      <c r="A177" s="19">
        <v>140</v>
      </c>
      <c r="B177" s="19"/>
    </row>
    <row r="178" spans="1:2" ht="16.5" x14ac:dyDescent="0.2">
      <c r="A178" s="19">
        <v>141</v>
      </c>
      <c r="B178" s="19"/>
    </row>
    <row r="179" spans="1:2" ht="16.5" x14ac:dyDescent="0.2">
      <c r="A179" s="19">
        <v>142</v>
      </c>
      <c r="B179" s="19"/>
    </row>
    <row r="180" spans="1:2" ht="16.5" x14ac:dyDescent="0.2">
      <c r="A180" s="19">
        <v>143</v>
      </c>
      <c r="B180" s="19"/>
    </row>
    <row r="181" spans="1:2" ht="16.5" x14ac:dyDescent="0.2">
      <c r="A181" s="19">
        <v>144</v>
      </c>
      <c r="B181" s="19"/>
    </row>
    <row r="182" spans="1:2" ht="16.5" x14ac:dyDescent="0.2">
      <c r="A182" s="19">
        <v>145</v>
      </c>
      <c r="B182" s="19"/>
    </row>
    <row r="183" spans="1:2" ht="16.5" x14ac:dyDescent="0.2">
      <c r="A183" s="19">
        <v>146</v>
      </c>
      <c r="B183" s="19"/>
    </row>
    <row r="184" spans="1:2" ht="16.5" x14ac:dyDescent="0.2">
      <c r="A184" s="19">
        <v>147</v>
      </c>
      <c r="B184" s="19"/>
    </row>
    <row r="185" spans="1:2" ht="16.5" x14ac:dyDescent="0.2">
      <c r="A185" s="19">
        <v>148</v>
      </c>
      <c r="B185" s="19"/>
    </row>
    <row r="186" spans="1:2" ht="16.5" x14ac:dyDescent="0.2">
      <c r="A186" s="19">
        <v>149</v>
      </c>
      <c r="B186" s="19"/>
    </row>
    <row r="187" spans="1:2" ht="16.5" x14ac:dyDescent="0.2">
      <c r="A187" s="19">
        <v>150</v>
      </c>
      <c r="B187" s="19"/>
    </row>
  </sheetData>
  <mergeCells count="11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8"/>
  <sheetViews>
    <sheetView tabSelected="1" topLeftCell="C1" workbookViewId="0">
      <selection activeCell="S12" sqref="S12"/>
    </sheetView>
  </sheetViews>
  <sheetFormatPr defaultRowHeight="14.25" x14ac:dyDescent="0.2"/>
  <cols>
    <col min="4" max="4" width="10.875" customWidth="1"/>
    <col min="5" max="5" width="10.625" customWidth="1"/>
    <col min="6" max="6" width="10" customWidth="1"/>
    <col min="7" max="9" width="12" customWidth="1"/>
    <col min="10" max="13" width="16.375" customWidth="1"/>
    <col min="14" max="14" width="22.125" customWidth="1"/>
    <col min="15" max="15" width="14" customWidth="1"/>
    <col min="16" max="17" width="12.25" customWidth="1"/>
    <col min="18" max="18" width="14.75" customWidth="1"/>
    <col min="19" max="19" width="10.375" customWidth="1"/>
  </cols>
  <sheetData>
    <row r="3" spans="1:22" ht="15" x14ac:dyDescent="0.2">
      <c r="A3" s="14" t="s">
        <v>33</v>
      </c>
      <c r="B3" s="14" t="s">
        <v>90</v>
      </c>
      <c r="C3" s="14" t="s">
        <v>91</v>
      </c>
      <c r="D3" s="14" t="s">
        <v>123</v>
      </c>
      <c r="E3" s="14" t="s">
        <v>92</v>
      </c>
      <c r="F3" s="14" t="s">
        <v>93</v>
      </c>
      <c r="G3" s="14" t="s">
        <v>114</v>
      </c>
      <c r="H3" s="14" t="s">
        <v>395</v>
      </c>
      <c r="I3" s="14" t="s">
        <v>396</v>
      </c>
      <c r="J3" s="14" t="s">
        <v>115</v>
      </c>
      <c r="K3" s="14" t="s">
        <v>116</v>
      </c>
      <c r="L3" s="14" t="s">
        <v>447</v>
      </c>
      <c r="M3" s="14" t="s">
        <v>448</v>
      </c>
      <c r="N3" s="14" t="s">
        <v>94</v>
      </c>
      <c r="O3" s="14" t="s">
        <v>228</v>
      </c>
      <c r="P3" s="14" t="s">
        <v>231</v>
      </c>
      <c r="Q3" s="14" t="s">
        <v>185</v>
      </c>
      <c r="R3" s="14" t="s">
        <v>230</v>
      </c>
      <c r="U3" s="14" t="s">
        <v>200</v>
      </c>
      <c r="V3" s="14" t="s">
        <v>232</v>
      </c>
    </row>
    <row r="4" spans="1:22" ht="16.5" x14ac:dyDescent="0.2">
      <c r="A4" s="19">
        <v>1</v>
      </c>
      <c r="B4" s="19">
        <v>35</v>
      </c>
      <c r="C4" s="24">
        <v>40</v>
      </c>
      <c r="D4" s="24"/>
      <c r="E4" s="19"/>
      <c r="F4" s="19"/>
      <c r="G4" s="19" t="s">
        <v>107</v>
      </c>
      <c r="H4" s="24">
        <v>1</v>
      </c>
      <c r="I4" s="41"/>
      <c r="J4" s="19" t="s">
        <v>117</v>
      </c>
      <c r="K4" s="24">
        <v>5</v>
      </c>
      <c r="L4" s="41"/>
      <c r="M4" s="41"/>
      <c r="N4" s="19" t="s">
        <v>120</v>
      </c>
      <c r="O4" s="27" t="s">
        <v>229</v>
      </c>
      <c r="P4" s="27">
        <f>INT(C4/10)+1</f>
        <v>5</v>
      </c>
      <c r="Q4" s="27">
        <v>120</v>
      </c>
      <c r="R4" s="27">
        <f>INDEX(章节关卡!$E$5:$E$20,个人BOSS!P4)*个人BOSS!Q4</f>
        <v>3000</v>
      </c>
      <c r="U4" s="27">
        <v>1</v>
      </c>
      <c r="V4" s="27">
        <v>0</v>
      </c>
    </row>
    <row r="5" spans="1:22" ht="16.5" x14ac:dyDescent="0.2">
      <c r="A5" s="19">
        <v>2</v>
      </c>
      <c r="B5" s="19">
        <v>35</v>
      </c>
      <c r="C5" s="24">
        <v>40</v>
      </c>
      <c r="D5" s="24"/>
      <c r="E5" s="19"/>
      <c r="F5" s="19"/>
      <c r="G5" s="19" t="s">
        <v>108</v>
      </c>
      <c r="H5" s="24">
        <v>1</v>
      </c>
      <c r="I5" s="41"/>
      <c r="J5" s="19" t="s">
        <v>117</v>
      </c>
      <c r="K5" s="24">
        <v>5</v>
      </c>
      <c r="L5" s="41"/>
      <c r="M5" s="41"/>
      <c r="N5" s="24" t="s">
        <v>120</v>
      </c>
      <c r="O5" s="27" t="s">
        <v>229</v>
      </c>
      <c r="P5" s="27">
        <f>INT(C5/10)+1</f>
        <v>5</v>
      </c>
      <c r="Q5" s="27">
        <v>120</v>
      </c>
      <c r="R5" s="27">
        <f>INDEX(章节关卡!$E$5:$E$20,个人BOSS!P5)*个人BOSS!Q5</f>
        <v>3000</v>
      </c>
      <c r="U5" s="27">
        <v>2</v>
      </c>
      <c r="V5" s="27">
        <v>0</v>
      </c>
    </row>
    <row r="6" spans="1:22" ht="16.5" x14ac:dyDescent="0.2">
      <c r="A6" s="19">
        <v>3</v>
      </c>
      <c r="B6" s="19">
        <v>35</v>
      </c>
      <c r="C6" s="24">
        <v>45</v>
      </c>
      <c r="D6" s="24"/>
      <c r="E6" s="19"/>
      <c r="F6" s="19"/>
      <c r="G6" s="19" t="s">
        <v>107</v>
      </c>
      <c r="H6" s="24">
        <v>2</v>
      </c>
      <c r="I6" s="41"/>
      <c r="J6" s="19" t="s">
        <v>117</v>
      </c>
      <c r="K6" s="24">
        <v>9</v>
      </c>
      <c r="L6" s="41"/>
      <c r="M6" s="41"/>
      <c r="N6" s="24" t="s">
        <v>120</v>
      </c>
      <c r="O6" s="27" t="s">
        <v>229</v>
      </c>
      <c r="P6" s="27">
        <f>INT(C6/10)+1</f>
        <v>5</v>
      </c>
      <c r="Q6" s="27">
        <v>120</v>
      </c>
      <c r="R6" s="27">
        <f>INDEX(章节关卡!$E$5:$E$20,个人BOSS!P6)*个人BOSS!Q6</f>
        <v>3000</v>
      </c>
      <c r="U6" s="27">
        <v>3</v>
      </c>
      <c r="V6" s="27">
        <v>0</v>
      </c>
    </row>
    <row r="7" spans="1:22" ht="16.5" x14ac:dyDescent="0.2">
      <c r="A7" s="19">
        <v>4</v>
      </c>
      <c r="B7" s="24">
        <v>35</v>
      </c>
      <c r="C7" s="24">
        <v>45</v>
      </c>
      <c r="D7" s="24"/>
      <c r="E7" s="19"/>
      <c r="F7" s="19"/>
      <c r="G7" s="19" t="s">
        <v>108</v>
      </c>
      <c r="H7" s="24">
        <v>2</v>
      </c>
      <c r="I7" s="41"/>
      <c r="J7" s="19" t="s">
        <v>117</v>
      </c>
      <c r="K7" s="24">
        <v>9</v>
      </c>
      <c r="L7" s="41"/>
      <c r="M7" s="41"/>
      <c r="N7" s="24" t="s">
        <v>120</v>
      </c>
      <c r="O7" s="27" t="s">
        <v>229</v>
      </c>
      <c r="P7" s="27">
        <f>INT(C7/10)+1</f>
        <v>5</v>
      </c>
      <c r="Q7" s="27">
        <v>120</v>
      </c>
      <c r="R7" s="27">
        <f>INDEX(章节关卡!$E$5:$E$20,个人BOSS!P7)*个人BOSS!Q7</f>
        <v>3000</v>
      </c>
      <c r="U7" s="27">
        <v>4</v>
      </c>
      <c r="V7" s="27">
        <v>0</v>
      </c>
    </row>
    <row r="8" spans="1:22" ht="16.5" x14ac:dyDescent="0.2">
      <c r="A8" s="19">
        <v>5</v>
      </c>
      <c r="B8" s="24">
        <v>40</v>
      </c>
      <c r="C8" s="24">
        <v>50</v>
      </c>
      <c r="D8" s="24"/>
      <c r="E8" s="19"/>
      <c r="F8" s="19"/>
      <c r="G8" s="19" t="s">
        <v>107</v>
      </c>
      <c r="H8" s="24">
        <v>4</v>
      </c>
      <c r="I8" s="41"/>
      <c r="J8" s="19" t="s">
        <v>117</v>
      </c>
      <c r="K8" s="24">
        <v>15</v>
      </c>
      <c r="L8" s="41"/>
      <c r="M8" s="41"/>
      <c r="N8" s="24" t="s">
        <v>121</v>
      </c>
      <c r="O8" s="27" t="s">
        <v>229</v>
      </c>
      <c r="P8" s="27">
        <f>INT(C8/10)+1</f>
        <v>6</v>
      </c>
      <c r="Q8" s="27">
        <v>120</v>
      </c>
      <c r="R8" s="27">
        <f>INDEX(章节关卡!$E$5:$E$20,个人BOSS!P8)*个人BOSS!Q8</f>
        <v>3840</v>
      </c>
      <c r="U8" s="27">
        <v>5</v>
      </c>
      <c r="V8" s="27">
        <f>INDEX($R$4:$R$38,MATCH(U8,$P$4:$P$38,1))*2</f>
        <v>6000</v>
      </c>
    </row>
    <row r="9" spans="1:22" ht="16.5" x14ac:dyDescent="0.2">
      <c r="A9" s="19">
        <v>6</v>
      </c>
      <c r="B9" s="24">
        <v>40</v>
      </c>
      <c r="C9" s="24">
        <v>50</v>
      </c>
      <c r="D9" s="24"/>
      <c r="E9" s="19"/>
      <c r="F9" s="19"/>
      <c r="G9" s="19" t="s">
        <v>108</v>
      </c>
      <c r="H9" s="24">
        <v>4</v>
      </c>
      <c r="I9" s="41"/>
      <c r="J9" s="19" t="s">
        <v>117</v>
      </c>
      <c r="K9" s="24">
        <v>15</v>
      </c>
      <c r="L9" s="41"/>
      <c r="M9" s="41"/>
      <c r="N9" s="24" t="s">
        <v>121</v>
      </c>
      <c r="O9" s="27" t="s">
        <v>229</v>
      </c>
      <c r="P9" s="27">
        <f>INT(C9/10)+1</f>
        <v>6</v>
      </c>
      <c r="Q9" s="27">
        <v>120</v>
      </c>
      <c r="R9" s="27">
        <f>INDEX(章节关卡!$E$5:$E$20,个人BOSS!P9)*个人BOSS!Q9</f>
        <v>3840</v>
      </c>
      <c r="U9" s="27">
        <v>6</v>
      </c>
      <c r="V9" s="27">
        <f t="shared" ref="V9:V18" si="0">INDEX($R$4:$R$38,MATCH(U9,$P$4:$P$38,1))*2</f>
        <v>7680</v>
      </c>
    </row>
    <row r="10" spans="1:22" ht="16.5" x14ac:dyDescent="0.2">
      <c r="A10" s="19">
        <v>7</v>
      </c>
      <c r="B10" s="19">
        <v>40</v>
      </c>
      <c r="C10" s="24">
        <v>50</v>
      </c>
      <c r="D10" s="24"/>
      <c r="E10" s="19"/>
      <c r="F10" s="19"/>
      <c r="G10" s="19" t="s">
        <v>109</v>
      </c>
      <c r="H10" s="24">
        <v>1</v>
      </c>
      <c r="I10" s="41"/>
      <c r="J10" s="19" t="s">
        <v>117</v>
      </c>
      <c r="K10" s="24">
        <v>10</v>
      </c>
      <c r="L10" s="41" t="s">
        <v>118</v>
      </c>
      <c r="M10" s="41">
        <v>3</v>
      </c>
      <c r="N10" s="24" t="s">
        <v>121</v>
      </c>
      <c r="O10" s="27" t="s">
        <v>229</v>
      </c>
      <c r="P10" s="27">
        <f>INT(C10/10)+1</f>
        <v>6</v>
      </c>
      <c r="Q10" s="27">
        <v>120</v>
      </c>
      <c r="R10" s="27">
        <f>INDEX(章节关卡!$E$5:$E$20,个人BOSS!P10)*个人BOSS!Q10</f>
        <v>3840</v>
      </c>
      <c r="U10" s="27">
        <v>7</v>
      </c>
      <c r="V10" s="27">
        <f t="shared" si="0"/>
        <v>9600</v>
      </c>
    </row>
    <row r="11" spans="1:22" ht="16.5" x14ac:dyDescent="0.2">
      <c r="A11" s="19">
        <v>8</v>
      </c>
      <c r="B11" s="19">
        <v>40</v>
      </c>
      <c r="C11" s="24">
        <v>55</v>
      </c>
      <c r="D11" s="24"/>
      <c r="E11" s="19"/>
      <c r="F11" s="19"/>
      <c r="G11" s="19" t="s">
        <v>110</v>
      </c>
      <c r="H11" s="24">
        <v>1</v>
      </c>
      <c r="I11" s="41"/>
      <c r="J11" s="19" t="s">
        <v>117</v>
      </c>
      <c r="K11" s="24">
        <v>10</v>
      </c>
      <c r="L11" s="41" t="s">
        <v>118</v>
      </c>
      <c r="M11" s="41">
        <v>3</v>
      </c>
      <c r="N11" s="24" t="s">
        <v>121</v>
      </c>
      <c r="O11" s="27" t="s">
        <v>229</v>
      </c>
      <c r="P11" s="27">
        <f>INT(C11/10)+1</f>
        <v>6</v>
      </c>
      <c r="Q11" s="27">
        <v>120</v>
      </c>
      <c r="R11" s="27">
        <f>INDEX(章节关卡!$E$5:$E$20,个人BOSS!P11)*个人BOSS!Q11</f>
        <v>3840</v>
      </c>
      <c r="U11" s="27">
        <v>8</v>
      </c>
      <c r="V11" s="27">
        <f t="shared" si="0"/>
        <v>12000</v>
      </c>
    </row>
    <row r="12" spans="1:22" ht="16.5" x14ac:dyDescent="0.2">
      <c r="A12" s="19">
        <v>9</v>
      </c>
      <c r="B12" s="19">
        <v>45</v>
      </c>
      <c r="C12" s="24">
        <v>55</v>
      </c>
      <c r="D12" s="24"/>
      <c r="E12" s="19"/>
      <c r="F12" s="19"/>
      <c r="G12" s="19" t="s">
        <v>107</v>
      </c>
      <c r="H12" s="24">
        <v>7</v>
      </c>
      <c r="I12" s="41"/>
      <c r="J12" s="19" t="s">
        <v>117</v>
      </c>
      <c r="K12" s="24">
        <v>25</v>
      </c>
      <c r="L12" s="41"/>
      <c r="M12" s="41"/>
      <c r="N12" s="24" t="s">
        <v>121</v>
      </c>
      <c r="O12" s="27" t="s">
        <v>229</v>
      </c>
      <c r="P12" s="27">
        <f>INT(C12/10)+1</f>
        <v>6</v>
      </c>
      <c r="Q12" s="27">
        <v>120</v>
      </c>
      <c r="R12" s="27">
        <f>INDEX(章节关卡!$E$5:$E$20,个人BOSS!P12)*个人BOSS!Q12</f>
        <v>3840</v>
      </c>
      <c r="U12" s="27">
        <v>9</v>
      </c>
      <c r="V12" s="27">
        <f t="shared" si="0"/>
        <v>14400</v>
      </c>
    </row>
    <row r="13" spans="1:22" ht="16.5" x14ac:dyDescent="0.2">
      <c r="A13" s="19">
        <v>10</v>
      </c>
      <c r="B13" s="24">
        <v>45</v>
      </c>
      <c r="C13" s="24">
        <v>55</v>
      </c>
      <c r="D13" s="24"/>
      <c r="E13" s="19"/>
      <c r="F13" s="19"/>
      <c r="G13" s="19" t="s">
        <v>108</v>
      </c>
      <c r="H13" s="24">
        <v>7</v>
      </c>
      <c r="I13" s="41"/>
      <c r="J13" s="19" t="s">
        <v>117</v>
      </c>
      <c r="K13" s="24">
        <v>25</v>
      </c>
      <c r="L13" s="41"/>
      <c r="M13" s="41"/>
      <c r="N13" s="24" t="s">
        <v>121</v>
      </c>
      <c r="O13" s="27" t="s">
        <v>229</v>
      </c>
      <c r="P13" s="27">
        <f>INT(C13/10)+1</f>
        <v>6</v>
      </c>
      <c r="Q13" s="27">
        <v>120</v>
      </c>
      <c r="R13" s="27">
        <f>INDEX(章节关卡!$E$5:$E$20,个人BOSS!P13)*个人BOSS!Q13</f>
        <v>3840</v>
      </c>
      <c r="U13" s="27">
        <v>10</v>
      </c>
      <c r="V13" s="27">
        <f t="shared" si="0"/>
        <v>17280</v>
      </c>
    </row>
    <row r="14" spans="1:22" ht="16.5" x14ac:dyDescent="0.2">
      <c r="A14" s="19">
        <v>11</v>
      </c>
      <c r="B14" s="24">
        <v>45</v>
      </c>
      <c r="C14" s="24">
        <v>60</v>
      </c>
      <c r="D14" s="24"/>
      <c r="E14" s="19"/>
      <c r="F14" s="19"/>
      <c r="G14" s="19" t="s">
        <v>109</v>
      </c>
      <c r="H14" s="24">
        <v>2</v>
      </c>
      <c r="I14" s="41"/>
      <c r="J14" s="19" t="s">
        <v>117</v>
      </c>
      <c r="K14" s="24">
        <v>10</v>
      </c>
      <c r="L14" s="41" t="s">
        <v>118</v>
      </c>
      <c r="M14" s="41">
        <v>6</v>
      </c>
      <c r="N14" s="24" t="s">
        <v>121</v>
      </c>
      <c r="O14" s="27" t="s">
        <v>229</v>
      </c>
      <c r="P14" s="27">
        <f>INT(C14/10)+1</f>
        <v>7</v>
      </c>
      <c r="Q14" s="27">
        <v>120</v>
      </c>
      <c r="R14" s="27">
        <f>INDEX(章节关卡!$E$5:$E$20,个人BOSS!P14)*个人BOSS!Q14</f>
        <v>4800</v>
      </c>
      <c r="U14" s="27">
        <v>11</v>
      </c>
      <c r="V14" s="27">
        <f t="shared" si="0"/>
        <v>21600</v>
      </c>
    </row>
    <row r="15" spans="1:22" ht="16.5" x14ac:dyDescent="0.2">
      <c r="A15" s="19">
        <v>12</v>
      </c>
      <c r="B15" s="24">
        <v>45</v>
      </c>
      <c r="C15" s="24">
        <v>60</v>
      </c>
      <c r="D15" s="24"/>
      <c r="E15" s="19"/>
      <c r="F15" s="19"/>
      <c r="G15" s="19" t="s">
        <v>110</v>
      </c>
      <c r="H15" s="24">
        <v>2</v>
      </c>
      <c r="I15" s="41"/>
      <c r="J15" s="19" t="s">
        <v>117</v>
      </c>
      <c r="K15" s="24">
        <v>10</v>
      </c>
      <c r="L15" s="41" t="s">
        <v>118</v>
      </c>
      <c r="M15" s="41">
        <v>6</v>
      </c>
      <c r="N15" s="24" t="s">
        <v>121</v>
      </c>
      <c r="O15" s="27" t="s">
        <v>229</v>
      </c>
      <c r="P15" s="27">
        <f>INT(C15/10)+1</f>
        <v>7</v>
      </c>
      <c r="Q15" s="27">
        <v>120</v>
      </c>
      <c r="R15" s="27">
        <f>INDEX(章节关卡!$E$5:$E$20,个人BOSS!P15)*个人BOSS!Q15</f>
        <v>4800</v>
      </c>
      <c r="U15" s="27">
        <v>12</v>
      </c>
      <c r="V15" s="27">
        <f t="shared" si="0"/>
        <v>21600</v>
      </c>
    </row>
    <row r="16" spans="1:22" ht="16.5" x14ac:dyDescent="0.2">
      <c r="A16" s="19">
        <v>13</v>
      </c>
      <c r="B16" s="24">
        <v>50</v>
      </c>
      <c r="C16" s="24">
        <v>65</v>
      </c>
      <c r="D16" s="24"/>
      <c r="E16" s="19"/>
      <c r="F16" s="19"/>
      <c r="G16" s="19" t="s">
        <v>107</v>
      </c>
      <c r="H16" s="24">
        <v>10</v>
      </c>
      <c r="I16" s="41"/>
      <c r="J16" s="19" t="s">
        <v>117</v>
      </c>
      <c r="K16" s="24">
        <v>50</v>
      </c>
      <c r="L16" s="41"/>
      <c r="M16" s="41"/>
      <c r="N16" s="24" t="s">
        <v>121</v>
      </c>
      <c r="O16" s="27" t="s">
        <v>229</v>
      </c>
      <c r="P16" s="27">
        <f>INT(C16/10)+1</f>
        <v>7</v>
      </c>
      <c r="Q16" s="27">
        <v>120</v>
      </c>
      <c r="R16" s="27">
        <f>INDEX(章节关卡!$E$5:$E$20,个人BOSS!P16)*个人BOSS!Q16</f>
        <v>4800</v>
      </c>
      <c r="U16" s="27">
        <v>13</v>
      </c>
      <c r="V16" s="27">
        <f t="shared" si="0"/>
        <v>21600</v>
      </c>
    </row>
    <row r="17" spans="1:22" ht="16.5" x14ac:dyDescent="0.2">
      <c r="A17" s="19">
        <v>14</v>
      </c>
      <c r="B17" s="24">
        <v>50</v>
      </c>
      <c r="C17" s="24">
        <v>65</v>
      </c>
      <c r="D17" s="24"/>
      <c r="E17" s="19"/>
      <c r="F17" s="19"/>
      <c r="G17" s="19" t="s">
        <v>111</v>
      </c>
      <c r="H17" s="24">
        <v>1</v>
      </c>
      <c r="I17" s="41"/>
      <c r="J17" s="19" t="s">
        <v>118</v>
      </c>
      <c r="K17" s="24">
        <v>7</v>
      </c>
      <c r="L17" s="41" t="s">
        <v>119</v>
      </c>
      <c r="M17" s="41">
        <v>2</v>
      </c>
      <c r="N17" s="24" t="s">
        <v>121</v>
      </c>
      <c r="O17" s="27" t="s">
        <v>229</v>
      </c>
      <c r="P17" s="27">
        <f>INT(C17/10)+1</f>
        <v>7</v>
      </c>
      <c r="Q17" s="27">
        <v>120</v>
      </c>
      <c r="R17" s="27">
        <f>INDEX(章节关卡!$E$5:$E$20,个人BOSS!P17)*个人BOSS!Q17</f>
        <v>4800</v>
      </c>
      <c r="U17" s="27">
        <v>14</v>
      </c>
      <c r="V17" s="27">
        <f t="shared" si="0"/>
        <v>21600</v>
      </c>
    </row>
    <row r="18" spans="1:22" ht="16.5" x14ac:dyDescent="0.2">
      <c r="A18" s="19">
        <v>15</v>
      </c>
      <c r="B18" s="24">
        <v>50</v>
      </c>
      <c r="C18" s="24">
        <v>65</v>
      </c>
      <c r="D18" s="24"/>
      <c r="E18" s="19"/>
      <c r="F18" s="19"/>
      <c r="G18" s="19" t="s">
        <v>112</v>
      </c>
      <c r="H18" s="24">
        <v>1</v>
      </c>
      <c r="I18" s="41"/>
      <c r="J18" s="19" t="s">
        <v>118</v>
      </c>
      <c r="K18" s="24">
        <v>7</v>
      </c>
      <c r="L18" s="41" t="s">
        <v>119</v>
      </c>
      <c r="M18" s="41">
        <v>2</v>
      </c>
      <c r="N18" s="24" t="s">
        <v>121</v>
      </c>
      <c r="O18" s="27" t="s">
        <v>229</v>
      </c>
      <c r="P18" s="27">
        <f>INT(C18/10)+1</f>
        <v>7</v>
      </c>
      <c r="Q18" s="27">
        <v>120</v>
      </c>
      <c r="R18" s="27">
        <f>INDEX(章节关卡!$E$5:$E$20,个人BOSS!P18)*个人BOSS!Q18</f>
        <v>4800</v>
      </c>
      <c r="U18" s="27">
        <v>15</v>
      </c>
      <c r="V18" s="27">
        <f t="shared" si="0"/>
        <v>21600</v>
      </c>
    </row>
    <row r="19" spans="1:22" ht="16.5" x14ac:dyDescent="0.2">
      <c r="A19" s="19">
        <v>16</v>
      </c>
      <c r="B19" s="24">
        <v>50</v>
      </c>
      <c r="C19" s="24">
        <v>65</v>
      </c>
      <c r="D19" s="24"/>
      <c r="E19" s="19"/>
      <c r="F19" s="19"/>
      <c r="G19" s="19" t="s">
        <v>113</v>
      </c>
      <c r="H19" s="24">
        <v>1</v>
      </c>
      <c r="I19" s="41"/>
      <c r="J19" s="19" t="s">
        <v>118</v>
      </c>
      <c r="K19" s="24">
        <v>7</v>
      </c>
      <c r="L19" s="41" t="s">
        <v>119</v>
      </c>
      <c r="M19" s="41">
        <v>2</v>
      </c>
      <c r="N19" s="24" t="s">
        <v>121</v>
      </c>
      <c r="O19" s="27" t="s">
        <v>229</v>
      </c>
      <c r="P19" s="27">
        <f>INT(C19/10)+1</f>
        <v>7</v>
      </c>
      <c r="Q19" s="27">
        <v>120</v>
      </c>
      <c r="R19" s="27">
        <f>INDEX(章节关卡!$E$5:$E$20,个人BOSS!P19)*个人BOSS!Q19</f>
        <v>4800</v>
      </c>
      <c r="U19" s="17"/>
      <c r="V19" s="17"/>
    </row>
    <row r="20" spans="1:22" ht="16.5" x14ac:dyDescent="0.2">
      <c r="A20" s="19">
        <v>17</v>
      </c>
      <c r="B20" s="24">
        <v>55</v>
      </c>
      <c r="C20" s="24">
        <v>70</v>
      </c>
      <c r="D20" s="24"/>
      <c r="E20" s="19"/>
      <c r="F20" s="19"/>
      <c r="G20" s="19" t="s">
        <v>109</v>
      </c>
      <c r="H20" s="24">
        <v>4</v>
      </c>
      <c r="I20" s="41"/>
      <c r="J20" s="19" t="s">
        <v>117</v>
      </c>
      <c r="K20" s="24">
        <v>10</v>
      </c>
      <c r="L20" s="41" t="s">
        <v>118</v>
      </c>
      <c r="M20" s="41">
        <v>10</v>
      </c>
      <c r="N20" s="24" t="s">
        <v>121</v>
      </c>
      <c r="O20" s="27" t="s">
        <v>229</v>
      </c>
      <c r="P20" s="27">
        <f>INT(C20/10)+1</f>
        <v>8</v>
      </c>
      <c r="Q20" s="27">
        <v>120</v>
      </c>
      <c r="R20" s="27">
        <f>INDEX(章节关卡!$E$5:$E$20,个人BOSS!P20)*个人BOSS!Q20</f>
        <v>6000</v>
      </c>
      <c r="U20" s="17"/>
      <c r="V20" s="17"/>
    </row>
    <row r="21" spans="1:22" ht="16.5" x14ac:dyDescent="0.2">
      <c r="A21" s="19">
        <v>18</v>
      </c>
      <c r="B21" s="24">
        <v>55</v>
      </c>
      <c r="C21" s="24">
        <v>70</v>
      </c>
      <c r="D21" s="24"/>
      <c r="E21" s="19"/>
      <c r="F21" s="19"/>
      <c r="G21" s="19" t="s">
        <v>108</v>
      </c>
      <c r="H21" s="24">
        <v>10</v>
      </c>
      <c r="I21" s="41"/>
      <c r="J21" s="19" t="s">
        <v>117</v>
      </c>
      <c r="K21" s="24">
        <v>50</v>
      </c>
      <c r="L21" s="41"/>
      <c r="M21" s="41"/>
      <c r="N21" s="24" t="s">
        <v>121</v>
      </c>
      <c r="O21" s="27" t="s">
        <v>229</v>
      </c>
      <c r="P21" s="27">
        <f>INT(C21/10)+1</f>
        <v>8</v>
      </c>
      <c r="Q21" s="27">
        <v>120</v>
      </c>
      <c r="R21" s="27">
        <f>INDEX(章节关卡!$E$5:$E$20,个人BOSS!P21)*个人BOSS!Q21</f>
        <v>6000</v>
      </c>
      <c r="U21" s="17"/>
      <c r="V21" s="17"/>
    </row>
    <row r="22" spans="1:22" ht="16.5" x14ac:dyDescent="0.2">
      <c r="A22" s="19">
        <v>19</v>
      </c>
      <c r="B22" s="24">
        <v>55</v>
      </c>
      <c r="C22" s="24">
        <v>70</v>
      </c>
      <c r="D22" s="24"/>
      <c r="E22" s="19"/>
      <c r="F22" s="19"/>
      <c r="G22" s="19" t="s">
        <v>110</v>
      </c>
      <c r="H22" s="24">
        <v>4</v>
      </c>
      <c r="I22" s="41"/>
      <c r="J22" s="19" t="s">
        <v>117</v>
      </c>
      <c r="K22" s="24">
        <v>10</v>
      </c>
      <c r="L22" s="41" t="s">
        <v>118</v>
      </c>
      <c r="M22" s="41">
        <v>10</v>
      </c>
      <c r="N22" s="24" t="s">
        <v>121</v>
      </c>
      <c r="O22" s="27" t="s">
        <v>229</v>
      </c>
      <c r="P22" s="27">
        <f>INT(C22/10)+1</f>
        <v>8</v>
      </c>
      <c r="Q22" s="27">
        <v>120</v>
      </c>
      <c r="R22" s="27">
        <f>INDEX(章节关卡!$E$5:$E$20,个人BOSS!P22)*个人BOSS!Q22</f>
        <v>6000</v>
      </c>
      <c r="U22" s="17"/>
      <c r="V22" s="17"/>
    </row>
    <row r="23" spans="1:22" ht="16.5" x14ac:dyDescent="0.2">
      <c r="A23" s="19">
        <v>20</v>
      </c>
      <c r="B23" s="24">
        <v>55</v>
      </c>
      <c r="C23" s="24">
        <v>70</v>
      </c>
      <c r="D23" s="24"/>
      <c r="E23" s="19"/>
      <c r="F23" s="19"/>
      <c r="G23" s="19" t="s">
        <v>109</v>
      </c>
      <c r="H23" s="24">
        <v>7</v>
      </c>
      <c r="I23" s="41"/>
      <c r="J23" s="19" t="s">
        <v>117</v>
      </c>
      <c r="K23" s="24">
        <v>10</v>
      </c>
      <c r="L23" s="41" t="s">
        <v>118</v>
      </c>
      <c r="M23" s="41">
        <v>15</v>
      </c>
      <c r="N23" s="24" t="s">
        <v>121</v>
      </c>
      <c r="O23" s="27" t="s">
        <v>229</v>
      </c>
      <c r="P23" s="27">
        <f>INT(C23/10)+1</f>
        <v>8</v>
      </c>
      <c r="Q23" s="27">
        <v>120</v>
      </c>
      <c r="R23" s="27">
        <f>INDEX(章节关卡!$E$5:$E$20,个人BOSS!P23)*个人BOSS!Q23</f>
        <v>6000</v>
      </c>
      <c r="U23" s="17"/>
      <c r="V23" s="17"/>
    </row>
    <row r="24" spans="1:22" ht="16.5" x14ac:dyDescent="0.2">
      <c r="A24" s="19">
        <v>21</v>
      </c>
      <c r="B24" s="24">
        <v>60</v>
      </c>
      <c r="C24" s="24">
        <v>75</v>
      </c>
      <c r="D24" s="24"/>
      <c r="E24" s="19"/>
      <c r="F24" s="19"/>
      <c r="G24" s="19" t="s">
        <v>111</v>
      </c>
      <c r="H24" s="24">
        <v>2</v>
      </c>
      <c r="I24" s="41"/>
      <c r="J24" s="19" t="s">
        <v>118</v>
      </c>
      <c r="K24" s="24">
        <v>7</v>
      </c>
      <c r="L24" s="41" t="s">
        <v>119</v>
      </c>
      <c r="M24" s="41">
        <v>4</v>
      </c>
      <c r="N24" s="24" t="s">
        <v>122</v>
      </c>
      <c r="O24" s="27" t="s">
        <v>229</v>
      </c>
      <c r="P24" s="27">
        <f>INT(C24/10)+1</f>
        <v>8</v>
      </c>
      <c r="Q24" s="27">
        <v>120</v>
      </c>
      <c r="R24" s="27">
        <f>INDEX(章节关卡!$E$5:$E$20,个人BOSS!P24)*个人BOSS!Q24</f>
        <v>6000</v>
      </c>
      <c r="U24" s="17"/>
      <c r="V24" s="17"/>
    </row>
    <row r="25" spans="1:22" ht="16.5" x14ac:dyDescent="0.2">
      <c r="A25" s="19">
        <v>22</v>
      </c>
      <c r="B25" s="24">
        <v>60</v>
      </c>
      <c r="C25" s="24">
        <v>75</v>
      </c>
      <c r="D25" s="24"/>
      <c r="E25" s="19"/>
      <c r="F25" s="19"/>
      <c r="G25" s="19" t="s">
        <v>112</v>
      </c>
      <c r="H25" s="24">
        <v>2</v>
      </c>
      <c r="I25" s="41"/>
      <c r="J25" s="19" t="s">
        <v>118</v>
      </c>
      <c r="K25" s="24">
        <v>7</v>
      </c>
      <c r="L25" s="41" t="s">
        <v>119</v>
      </c>
      <c r="M25" s="41">
        <v>4</v>
      </c>
      <c r="N25" s="24" t="s">
        <v>122</v>
      </c>
      <c r="O25" s="27" t="s">
        <v>229</v>
      </c>
      <c r="P25" s="27">
        <f>INT(C25/10)+1</f>
        <v>8</v>
      </c>
      <c r="Q25" s="27">
        <v>120</v>
      </c>
      <c r="R25" s="27">
        <f>INDEX(章节关卡!$E$5:$E$20,个人BOSS!P25)*个人BOSS!Q25</f>
        <v>6000</v>
      </c>
      <c r="U25" s="17"/>
      <c r="V25" s="17"/>
    </row>
    <row r="26" spans="1:22" ht="16.5" x14ac:dyDescent="0.2">
      <c r="A26" s="19">
        <v>23</v>
      </c>
      <c r="B26" s="24">
        <v>60</v>
      </c>
      <c r="C26" s="24">
        <v>75</v>
      </c>
      <c r="D26" s="24"/>
      <c r="E26" s="19"/>
      <c r="F26" s="19"/>
      <c r="G26" s="19" t="s">
        <v>113</v>
      </c>
      <c r="H26" s="24">
        <v>2</v>
      </c>
      <c r="I26" s="41"/>
      <c r="J26" s="19" t="s">
        <v>118</v>
      </c>
      <c r="K26" s="24">
        <v>7</v>
      </c>
      <c r="L26" s="41" t="s">
        <v>119</v>
      </c>
      <c r="M26" s="41">
        <v>4</v>
      </c>
      <c r="N26" s="24" t="s">
        <v>122</v>
      </c>
      <c r="O26" s="27" t="s">
        <v>229</v>
      </c>
      <c r="P26" s="27">
        <f>INT(C26/10)+1</f>
        <v>8</v>
      </c>
      <c r="Q26" s="27">
        <v>120</v>
      </c>
      <c r="R26" s="27">
        <f>INDEX(章节关卡!$E$5:$E$20,个人BOSS!P26)*个人BOSS!Q26</f>
        <v>6000</v>
      </c>
      <c r="U26" s="17"/>
      <c r="V26" s="17"/>
    </row>
    <row r="27" spans="1:22" ht="16.5" x14ac:dyDescent="0.2">
      <c r="A27" s="19">
        <v>24</v>
      </c>
      <c r="B27" s="24">
        <v>60</v>
      </c>
      <c r="C27" s="24">
        <v>75</v>
      </c>
      <c r="D27" s="24"/>
      <c r="E27" s="19"/>
      <c r="F27" s="19"/>
      <c r="G27" s="19" t="s">
        <v>110</v>
      </c>
      <c r="H27" s="24">
        <v>7</v>
      </c>
      <c r="I27" s="41"/>
      <c r="J27" s="19" t="s">
        <v>117</v>
      </c>
      <c r="K27" s="24">
        <v>10</v>
      </c>
      <c r="L27" s="41" t="s">
        <v>118</v>
      </c>
      <c r="M27" s="41">
        <v>15</v>
      </c>
      <c r="N27" s="24" t="s">
        <v>122</v>
      </c>
      <c r="O27" s="27" t="s">
        <v>229</v>
      </c>
      <c r="P27" s="27">
        <f>INT(C27/10)+1</f>
        <v>8</v>
      </c>
      <c r="Q27" s="27">
        <v>120</v>
      </c>
      <c r="R27" s="27">
        <f>INDEX(章节关卡!$E$5:$E$20,个人BOSS!P27)*个人BOSS!Q27</f>
        <v>6000</v>
      </c>
      <c r="U27" s="17"/>
      <c r="V27" s="17"/>
    </row>
    <row r="28" spans="1:22" ht="16.5" x14ac:dyDescent="0.2">
      <c r="A28" s="19">
        <v>25</v>
      </c>
      <c r="B28" s="24">
        <v>65</v>
      </c>
      <c r="C28" s="24">
        <v>80</v>
      </c>
      <c r="D28" s="24"/>
      <c r="E28" s="19"/>
      <c r="F28" s="19"/>
      <c r="G28" s="19" t="s">
        <v>109</v>
      </c>
      <c r="H28" s="24">
        <v>10</v>
      </c>
      <c r="I28" s="41"/>
      <c r="J28" s="19" t="s">
        <v>117</v>
      </c>
      <c r="K28" s="24">
        <v>10</v>
      </c>
      <c r="L28" s="41" t="s">
        <v>118</v>
      </c>
      <c r="M28" s="41">
        <v>35</v>
      </c>
      <c r="N28" s="24" t="s">
        <v>122</v>
      </c>
      <c r="O28" s="27" t="s">
        <v>229</v>
      </c>
      <c r="P28" s="27">
        <f>INT(C28/10)+1</f>
        <v>9</v>
      </c>
      <c r="Q28" s="27">
        <v>120</v>
      </c>
      <c r="R28" s="27">
        <f>INDEX(章节关卡!$E$5:$E$20,个人BOSS!P28)*个人BOSS!Q28</f>
        <v>7200</v>
      </c>
      <c r="U28" s="17"/>
      <c r="V28" s="17"/>
    </row>
    <row r="29" spans="1:22" ht="16.5" x14ac:dyDescent="0.2">
      <c r="A29" s="19">
        <v>26</v>
      </c>
      <c r="B29" s="24">
        <v>65</v>
      </c>
      <c r="C29" s="24">
        <v>80</v>
      </c>
      <c r="D29" s="24"/>
      <c r="E29" s="19"/>
      <c r="F29" s="19"/>
      <c r="G29" s="19" t="s">
        <v>111</v>
      </c>
      <c r="H29" s="24">
        <v>4</v>
      </c>
      <c r="I29" s="41"/>
      <c r="J29" s="19" t="s">
        <v>118</v>
      </c>
      <c r="K29" s="24">
        <v>7</v>
      </c>
      <c r="L29" s="41" t="s">
        <v>119</v>
      </c>
      <c r="M29" s="41">
        <v>7</v>
      </c>
      <c r="N29" s="24" t="s">
        <v>122</v>
      </c>
      <c r="O29" s="27" t="s">
        <v>229</v>
      </c>
      <c r="P29" s="27">
        <f>INT(C29/10)+1</f>
        <v>9</v>
      </c>
      <c r="Q29" s="27">
        <v>120</v>
      </c>
      <c r="R29" s="27">
        <f>INDEX(章节关卡!$E$5:$E$20,个人BOSS!P29)*个人BOSS!Q29</f>
        <v>7200</v>
      </c>
      <c r="U29" s="17"/>
      <c r="V29" s="17"/>
    </row>
    <row r="30" spans="1:22" ht="16.5" x14ac:dyDescent="0.2">
      <c r="A30" s="19">
        <v>27</v>
      </c>
      <c r="B30" s="24">
        <v>65</v>
      </c>
      <c r="C30" s="24">
        <v>80</v>
      </c>
      <c r="D30" s="24"/>
      <c r="E30" s="19"/>
      <c r="F30" s="19"/>
      <c r="G30" s="19" t="s">
        <v>112</v>
      </c>
      <c r="H30" s="24">
        <v>4</v>
      </c>
      <c r="I30" s="41"/>
      <c r="J30" s="19" t="s">
        <v>118</v>
      </c>
      <c r="K30" s="24">
        <v>7</v>
      </c>
      <c r="L30" s="41" t="s">
        <v>119</v>
      </c>
      <c r="M30" s="41">
        <v>7</v>
      </c>
      <c r="N30" s="24" t="s">
        <v>122</v>
      </c>
      <c r="O30" s="27" t="s">
        <v>229</v>
      </c>
      <c r="P30" s="27">
        <f>INT(C30/10)+1</f>
        <v>9</v>
      </c>
      <c r="Q30" s="27">
        <v>120</v>
      </c>
      <c r="R30" s="27">
        <f>INDEX(章节关卡!$E$5:$E$20,个人BOSS!P30)*个人BOSS!Q30</f>
        <v>7200</v>
      </c>
      <c r="U30" s="17"/>
      <c r="V30" s="17"/>
    </row>
    <row r="31" spans="1:22" ht="16.5" x14ac:dyDescent="0.2">
      <c r="A31" s="19">
        <v>28</v>
      </c>
      <c r="B31" s="24">
        <v>65</v>
      </c>
      <c r="C31" s="24">
        <v>80</v>
      </c>
      <c r="D31" s="24"/>
      <c r="E31" s="19"/>
      <c r="F31" s="19"/>
      <c r="G31" s="19" t="s">
        <v>113</v>
      </c>
      <c r="H31" s="24">
        <v>4</v>
      </c>
      <c r="I31" s="41"/>
      <c r="J31" s="19" t="s">
        <v>118</v>
      </c>
      <c r="K31" s="24">
        <v>7</v>
      </c>
      <c r="L31" s="41" t="s">
        <v>119</v>
      </c>
      <c r="M31" s="41">
        <v>7</v>
      </c>
      <c r="N31" s="24" t="s">
        <v>122</v>
      </c>
      <c r="O31" s="27" t="s">
        <v>229</v>
      </c>
      <c r="P31" s="27">
        <f>INT(C31/10)+1</f>
        <v>9</v>
      </c>
      <c r="Q31" s="27">
        <v>120</v>
      </c>
      <c r="R31" s="27">
        <f>INDEX(章节关卡!$E$5:$E$20,个人BOSS!P31)*个人BOSS!Q31</f>
        <v>7200</v>
      </c>
      <c r="U31" s="17"/>
      <c r="V31" s="17"/>
    </row>
    <row r="32" spans="1:22" ht="16.5" x14ac:dyDescent="0.2">
      <c r="A32" s="24">
        <v>29</v>
      </c>
      <c r="B32" s="24">
        <v>65</v>
      </c>
      <c r="C32" s="24">
        <v>80</v>
      </c>
      <c r="D32" s="24"/>
      <c r="E32" s="24"/>
      <c r="F32" s="24"/>
      <c r="G32" s="24" t="s">
        <v>110</v>
      </c>
      <c r="H32" s="24">
        <v>10</v>
      </c>
      <c r="I32" s="41"/>
      <c r="J32" s="24" t="s">
        <v>117</v>
      </c>
      <c r="K32" s="24">
        <v>10</v>
      </c>
      <c r="L32" s="41" t="s">
        <v>118</v>
      </c>
      <c r="M32" s="41">
        <v>35</v>
      </c>
      <c r="N32" s="24" t="s">
        <v>122</v>
      </c>
      <c r="O32" s="27" t="s">
        <v>229</v>
      </c>
      <c r="P32" s="27">
        <f>INT(C32/10)+1</f>
        <v>9</v>
      </c>
      <c r="Q32" s="27">
        <v>120</v>
      </c>
      <c r="R32" s="27">
        <f>INDEX(章节关卡!$E$5:$E$20,个人BOSS!P32)*个人BOSS!Q32</f>
        <v>7200</v>
      </c>
      <c r="U32" s="17"/>
      <c r="V32" s="17"/>
    </row>
    <row r="33" spans="1:22" ht="16.5" x14ac:dyDescent="0.2">
      <c r="A33" s="24">
        <v>30</v>
      </c>
      <c r="B33" s="24">
        <v>70</v>
      </c>
      <c r="C33" s="24">
        <v>90</v>
      </c>
      <c r="D33" s="24"/>
      <c r="E33" s="24"/>
      <c r="F33" s="24"/>
      <c r="G33" s="24" t="s">
        <v>111</v>
      </c>
      <c r="H33" s="24">
        <v>7</v>
      </c>
      <c r="I33" s="41"/>
      <c r="J33" s="24" t="s">
        <v>118</v>
      </c>
      <c r="K33" s="24">
        <v>7</v>
      </c>
      <c r="L33" s="41" t="s">
        <v>119</v>
      </c>
      <c r="M33" s="41">
        <v>10</v>
      </c>
      <c r="N33" s="24" t="s">
        <v>122</v>
      </c>
      <c r="O33" s="27" t="s">
        <v>229</v>
      </c>
      <c r="P33" s="27">
        <f>INT(C33/10)+1</f>
        <v>10</v>
      </c>
      <c r="Q33" s="27">
        <v>120</v>
      </c>
      <c r="R33" s="27">
        <f>INDEX(章节关卡!$E$5:$E$20,个人BOSS!P33)*个人BOSS!Q33</f>
        <v>8640</v>
      </c>
      <c r="U33" s="17"/>
      <c r="V33" s="17"/>
    </row>
    <row r="34" spans="1:22" ht="16.5" x14ac:dyDescent="0.2">
      <c r="A34" s="24">
        <v>31</v>
      </c>
      <c r="B34" s="24">
        <v>70</v>
      </c>
      <c r="C34" s="24">
        <v>90</v>
      </c>
      <c r="D34" s="24"/>
      <c r="E34" s="24"/>
      <c r="F34" s="24"/>
      <c r="G34" s="24" t="s">
        <v>112</v>
      </c>
      <c r="H34" s="24">
        <v>7</v>
      </c>
      <c r="I34" s="41"/>
      <c r="J34" s="24" t="s">
        <v>118</v>
      </c>
      <c r="K34" s="24">
        <v>7</v>
      </c>
      <c r="L34" s="41" t="s">
        <v>119</v>
      </c>
      <c r="M34" s="41">
        <v>10</v>
      </c>
      <c r="N34" s="24" t="s">
        <v>122</v>
      </c>
      <c r="O34" s="27" t="s">
        <v>229</v>
      </c>
      <c r="P34" s="27">
        <f>INT(C34/10)+1</f>
        <v>10</v>
      </c>
      <c r="Q34" s="27">
        <v>120</v>
      </c>
      <c r="R34" s="27">
        <f>INDEX(章节关卡!$E$5:$E$20,个人BOSS!P34)*个人BOSS!Q34</f>
        <v>8640</v>
      </c>
      <c r="U34" s="17"/>
      <c r="V34" s="17"/>
    </row>
    <row r="35" spans="1:22" ht="16.5" x14ac:dyDescent="0.2">
      <c r="A35" s="24">
        <v>32</v>
      </c>
      <c r="B35" s="24">
        <v>70</v>
      </c>
      <c r="C35" s="24">
        <v>90</v>
      </c>
      <c r="D35" s="24"/>
      <c r="E35" s="24"/>
      <c r="F35" s="24"/>
      <c r="G35" s="24" t="s">
        <v>113</v>
      </c>
      <c r="H35" s="24">
        <v>7</v>
      </c>
      <c r="I35" s="41"/>
      <c r="J35" s="24" t="s">
        <v>118</v>
      </c>
      <c r="K35" s="24">
        <v>7</v>
      </c>
      <c r="L35" s="41" t="s">
        <v>119</v>
      </c>
      <c r="M35" s="41">
        <v>10</v>
      </c>
      <c r="N35" s="24" t="s">
        <v>122</v>
      </c>
      <c r="O35" s="27" t="s">
        <v>229</v>
      </c>
      <c r="P35" s="27">
        <f>INT(C35/10)+1</f>
        <v>10</v>
      </c>
      <c r="Q35" s="27">
        <v>120</v>
      </c>
      <c r="R35" s="27">
        <f>INDEX(章节关卡!$E$5:$E$20,个人BOSS!P35)*个人BOSS!Q35</f>
        <v>8640</v>
      </c>
      <c r="U35" s="17"/>
      <c r="V35" s="17"/>
    </row>
    <row r="36" spans="1:22" ht="16.5" x14ac:dyDescent="0.2">
      <c r="A36" s="24">
        <v>33</v>
      </c>
      <c r="B36" s="24">
        <v>80</v>
      </c>
      <c r="C36" s="24">
        <v>100</v>
      </c>
      <c r="D36" s="24"/>
      <c r="E36" s="24"/>
      <c r="F36" s="24"/>
      <c r="G36" s="24" t="s">
        <v>111</v>
      </c>
      <c r="H36" s="24">
        <v>10</v>
      </c>
      <c r="I36" s="41"/>
      <c r="J36" s="24" t="s">
        <v>118</v>
      </c>
      <c r="K36" s="24">
        <v>7</v>
      </c>
      <c r="L36" s="41" t="s">
        <v>119</v>
      </c>
      <c r="M36" s="41">
        <v>20</v>
      </c>
      <c r="N36" s="24" t="s">
        <v>122</v>
      </c>
      <c r="O36" s="27" t="s">
        <v>229</v>
      </c>
      <c r="P36" s="27">
        <f>INT(C36/10)+1</f>
        <v>11</v>
      </c>
      <c r="Q36" s="27">
        <v>120</v>
      </c>
      <c r="R36" s="27">
        <f>INDEX(章节关卡!$E$5:$E$20,个人BOSS!P36)*个人BOSS!Q36</f>
        <v>10800</v>
      </c>
      <c r="U36" s="17"/>
      <c r="V36" s="17"/>
    </row>
    <row r="37" spans="1:22" ht="16.5" x14ac:dyDescent="0.2">
      <c r="A37" s="24">
        <v>34</v>
      </c>
      <c r="B37" s="24">
        <v>80</v>
      </c>
      <c r="C37" s="24">
        <v>100</v>
      </c>
      <c r="D37" s="24"/>
      <c r="E37" s="24"/>
      <c r="F37" s="24"/>
      <c r="G37" s="24" t="s">
        <v>112</v>
      </c>
      <c r="H37" s="24">
        <v>10</v>
      </c>
      <c r="I37" s="41"/>
      <c r="J37" s="24" t="s">
        <v>118</v>
      </c>
      <c r="K37" s="24">
        <v>7</v>
      </c>
      <c r="L37" s="41" t="s">
        <v>119</v>
      </c>
      <c r="M37" s="41">
        <v>20</v>
      </c>
      <c r="N37" s="24" t="s">
        <v>122</v>
      </c>
      <c r="O37" s="27" t="s">
        <v>229</v>
      </c>
      <c r="P37" s="27">
        <f>INT(C37/10)+1</f>
        <v>11</v>
      </c>
      <c r="Q37" s="27">
        <v>120</v>
      </c>
      <c r="R37" s="27">
        <f>INDEX(章节关卡!$E$5:$E$20,个人BOSS!P37)*个人BOSS!Q37</f>
        <v>10800</v>
      </c>
      <c r="U37" s="17"/>
      <c r="V37" s="17"/>
    </row>
    <row r="38" spans="1:22" ht="16.5" x14ac:dyDescent="0.2">
      <c r="A38" s="24">
        <v>35</v>
      </c>
      <c r="B38" s="24">
        <v>80</v>
      </c>
      <c r="C38" s="24">
        <v>100</v>
      </c>
      <c r="D38" s="24"/>
      <c r="E38" s="24"/>
      <c r="F38" s="24"/>
      <c r="G38" s="24" t="s">
        <v>113</v>
      </c>
      <c r="H38" s="24">
        <v>10</v>
      </c>
      <c r="I38" s="41"/>
      <c r="J38" s="24" t="s">
        <v>118</v>
      </c>
      <c r="K38" s="24">
        <v>7</v>
      </c>
      <c r="L38" s="41" t="s">
        <v>119</v>
      </c>
      <c r="M38" s="41">
        <v>20</v>
      </c>
      <c r="N38" s="24" t="s">
        <v>122</v>
      </c>
      <c r="O38" s="27" t="s">
        <v>229</v>
      </c>
      <c r="P38" s="27">
        <f>INT(C38/10)+1</f>
        <v>11</v>
      </c>
      <c r="Q38" s="27">
        <v>120</v>
      </c>
      <c r="R38" s="27">
        <f>INDEX(章节关卡!$E$5:$E$20,个人BOSS!P38)*个人BOSS!Q38</f>
        <v>10800</v>
      </c>
      <c r="U38" s="17"/>
      <c r="V38" s="1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workbookViewId="0">
      <selection activeCell="N10" sqref="N10"/>
    </sheetView>
  </sheetViews>
  <sheetFormatPr defaultRowHeight="14.25" x14ac:dyDescent="0.2"/>
  <cols>
    <col min="2" max="2" width="13.625" customWidth="1"/>
    <col min="3" max="4" width="11.5" customWidth="1"/>
    <col min="5" max="6" width="11.75" customWidth="1"/>
    <col min="7" max="7" width="18.375" customWidth="1"/>
    <col min="8" max="8" width="12.75" customWidth="1"/>
    <col min="9" max="9" width="15.875" customWidth="1"/>
    <col min="10" max="10" width="11.75" customWidth="1"/>
    <col min="11" max="11" width="10.875" customWidth="1"/>
    <col min="12" max="12" width="11.75" customWidth="1"/>
    <col min="16" max="17" width="12.375" customWidth="1"/>
    <col min="18" max="18" width="13" customWidth="1"/>
  </cols>
  <sheetData>
    <row r="2" spans="1:18" ht="15" x14ac:dyDescent="0.2">
      <c r="A2" s="14" t="s">
        <v>445</v>
      </c>
      <c r="B2" s="14" t="s">
        <v>410</v>
      </c>
      <c r="C2" s="14" t="s">
        <v>409</v>
      </c>
      <c r="D2" s="14" t="s">
        <v>408</v>
      </c>
      <c r="E2" s="14" t="s">
        <v>405</v>
      </c>
      <c r="F2" s="14" t="s">
        <v>446</v>
      </c>
      <c r="G2" s="14" t="s">
        <v>406</v>
      </c>
      <c r="H2" s="14" t="s">
        <v>405</v>
      </c>
      <c r="I2" s="14" t="s">
        <v>444</v>
      </c>
      <c r="J2" s="14" t="s">
        <v>405</v>
      </c>
      <c r="K2" s="14" t="s">
        <v>406</v>
      </c>
      <c r="L2" s="14" t="s">
        <v>405</v>
      </c>
      <c r="P2" s="14" t="s">
        <v>407</v>
      </c>
      <c r="Q2" s="14"/>
      <c r="R2" s="14" t="s">
        <v>449</v>
      </c>
    </row>
    <row r="3" spans="1:18" ht="16.5" x14ac:dyDescent="0.2">
      <c r="A3" s="41">
        <v>1</v>
      </c>
      <c r="B3" s="41" t="s">
        <v>404</v>
      </c>
      <c r="C3" s="41">
        <f>价值概述!$C$14</f>
        <v>15</v>
      </c>
      <c r="D3" s="41" t="str">
        <f>B3&amp;"-"&amp;E3&amp;"个"</f>
        <v>神器1-1个</v>
      </c>
      <c r="E3" s="41">
        <v>1</v>
      </c>
      <c r="F3" s="41">
        <v>40</v>
      </c>
      <c r="G3" s="41" t="s">
        <v>117</v>
      </c>
      <c r="H3" s="41">
        <v>5</v>
      </c>
      <c r="I3" s="41"/>
      <c r="J3" s="41"/>
      <c r="K3" s="41"/>
      <c r="L3" s="41"/>
      <c r="P3" s="41">
        <f>C3*E3+INDEX(价值概述!$C$52:$C$54,MATCH(世界BOSS设计!G3,价值概述!$A$52:$A$54,0))*H3+IF(I3="",0,INDEX(价值概述!$C$52:$C$54,MATCH(世界BOSS设计!I3,价值概述!$A$52:$A$54,0))*J3)</f>
        <v>40</v>
      </c>
      <c r="Q3" s="41">
        <v>1</v>
      </c>
      <c r="R3" s="41">
        <f>P3*Q3</f>
        <v>40</v>
      </c>
    </row>
    <row r="4" spans="1:18" ht="16.5" x14ac:dyDescent="0.2">
      <c r="A4" s="41">
        <v>6</v>
      </c>
      <c r="B4" s="41" t="s">
        <v>403</v>
      </c>
      <c r="C4" s="41">
        <f>价值概述!$C$16</f>
        <v>20</v>
      </c>
      <c r="D4" s="41" t="str">
        <f>B4&amp;"-"&amp;E4&amp;"个"</f>
        <v>神器2-1个</v>
      </c>
      <c r="E4" s="41">
        <v>1</v>
      </c>
      <c r="F4" s="41">
        <v>45</v>
      </c>
      <c r="G4" s="41" t="s">
        <v>117</v>
      </c>
      <c r="H4" s="41">
        <v>5</v>
      </c>
      <c r="I4" s="41"/>
      <c r="J4" s="41"/>
      <c r="K4" s="41"/>
      <c r="L4" s="41"/>
      <c r="P4" s="41">
        <f>C4*E4+INDEX(价值概述!$C$52:$C$54,MATCH(世界BOSS设计!G4,价值概述!$A$52:$A$54,0))*H4+IF(I4="",0,INDEX(价值概述!$C$52:$C$54,MATCH(世界BOSS设计!I4,价值概述!$A$52:$A$54,0))*J4)</f>
        <v>45</v>
      </c>
      <c r="Q4" s="41">
        <v>1</v>
      </c>
      <c r="R4" s="41">
        <f t="shared" ref="R4:R37" si="0">P4*Q4</f>
        <v>45</v>
      </c>
    </row>
    <row r="5" spans="1:18" ht="16.5" x14ac:dyDescent="0.2">
      <c r="A5" s="41">
        <v>2</v>
      </c>
      <c r="B5" s="41" t="s">
        <v>404</v>
      </c>
      <c r="C5" s="41">
        <f>价值概述!$C$14</f>
        <v>15</v>
      </c>
      <c r="D5" s="41" t="str">
        <f>B5&amp;"-"&amp;E5&amp;"个"</f>
        <v>神器1-2个</v>
      </c>
      <c r="E5" s="41">
        <v>2</v>
      </c>
      <c r="F5" s="41">
        <v>75</v>
      </c>
      <c r="G5" s="41" t="s">
        <v>117</v>
      </c>
      <c r="H5" s="41">
        <v>9</v>
      </c>
      <c r="I5" s="41"/>
      <c r="J5" s="41"/>
      <c r="K5" s="41"/>
      <c r="L5" s="41"/>
      <c r="P5" s="41">
        <f>C5*E5+INDEX(价值概述!$C$52:$C$54,MATCH(世界BOSS设计!G5,价值概述!$A$52:$A$54,0))*H5+IF(I5="",0,INDEX(价值概述!$C$52:$C$54,MATCH(世界BOSS设计!I5,价值概述!$A$52:$A$54,0))*J5)</f>
        <v>75</v>
      </c>
      <c r="Q5" s="41">
        <v>1</v>
      </c>
      <c r="R5" s="41">
        <f t="shared" si="0"/>
        <v>75</v>
      </c>
    </row>
    <row r="6" spans="1:18" ht="16.5" x14ac:dyDescent="0.2">
      <c r="A6" s="41">
        <v>7</v>
      </c>
      <c r="B6" s="41" t="s">
        <v>403</v>
      </c>
      <c r="C6" s="41">
        <f>价值概述!$C$16</f>
        <v>20</v>
      </c>
      <c r="D6" s="41" t="str">
        <f>B6&amp;"-"&amp;E6&amp;"个"</f>
        <v>神器2-2个</v>
      </c>
      <c r="E6" s="41">
        <v>2</v>
      </c>
      <c r="F6" s="41">
        <v>85</v>
      </c>
      <c r="G6" s="41" t="s">
        <v>117</v>
      </c>
      <c r="H6" s="41">
        <v>9</v>
      </c>
      <c r="I6" s="41"/>
      <c r="J6" s="41"/>
      <c r="K6" s="41"/>
      <c r="L6" s="41"/>
      <c r="P6" s="41">
        <f>C6*E6+INDEX(价值概述!$C$52:$C$54,MATCH(世界BOSS设计!G6,价值概述!$A$52:$A$54,0))*H6+IF(I6="",0,INDEX(价值概述!$C$52:$C$54,MATCH(世界BOSS设计!I6,价值概述!$A$52:$A$54,0))*J6)</f>
        <v>85</v>
      </c>
      <c r="Q6" s="41">
        <v>1</v>
      </c>
      <c r="R6" s="41">
        <f t="shared" si="0"/>
        <v>85</v>
      </c>
    </row>
    <row r="7" spans="1:18" ht="16.5" x14ac:dyDescent="0.2">
      <c r="A7" s="41">
        <v>3</v>
      </c>
      <c r="B7" s="41" t="s">
        <v>404</v>
      </c>
      <c r="C7" s="41">
        <f>价值概述!$C$14</f>
        <v>15</v>
      </c>
      <c r="D7" s="41" t="str">
        <f>B7&amp;"-"&amp;E7&amp;"个"</f>
        <v>神器1-4个</v>
      </c>
      <c r="E7" s="41">
        <v>4</v>
      </c>
      <c r="F7" s="41">
        <v>135</v>
      </c>
      <c r="G7" s="41" t="s">
        <v>117</v>
      </c>
      <c r="H7" s="41">
        <v>15</v>
      </c>
      <c r="I7" s="41"/>
      <c r="J7" s="41"/>
      <c r="K7" s="41"/>
      <c r="L7" s="41"/>
      <c r="P7" s="41">
        <f>C7*E7+INDEX(价值概述!$C$52:$C$54,MATCH(世界BOSS设计!G7,价值概述!$A$52:$A$54,0))*H7+IF(I7="",0,INDEX(价值概述!$C$52:$C$54,MATCH(世界BOSS设计!I7,价值概述!$A$52:$A$54,0))*J7)</f>
        <v>135</v>
      </c>
      <c r="Q7" s="41">
        <v>1</v>
      </c>
      <c r="R7" s="41">
        <f t="shared" si="0"/>
        <v>135</v>
      </c>
    </row>
    <row r="8" spans="1:18" ht="16.5" x14ac:dyDescent="0.2">
      <c r="A8" s="41">
        <v>8</v>
      </c>
      <c r="B8" s="41" t="s">
        <v>403</v>
      </c>
      <c r="C8" s="41">
        <f>价值概述!$C$16</f>
        <v>20</v>
      </c>
      <c r="D8" s="41" t="str">
        <f>B8&amp;"-"&amp;E8&amp;"个"</f>
        <v>神器2-4个</v>
      </c>
      <c r="E8" s="41">
        <v>4</v>
      </c>
      <c r="F8" s="41">
        <v>155</v>
      </c>
      <c r="G8" s="41" t="s">
        <v>117</v>
      </c>
      <c r="H8" s="41">
        <v>15</v>
      </c>
      <c r="I8" s="41"/>
      <c r="J8" s="41"/>
      <c r="K8" s="41"/>
      <c r="L8" s="41"/>
      <c r="P8" s="41">
        <f>C8*E8+INDEX(价值概述!$C$52:$C$54,MATCH(世界BOSS设计!G8,价值概述!$A$52:$A$54,0))*H8+IF(I8="",0,INDEX(价值概述!$C$52:$C$54,MATCH(世界BOSS设计!I8,价值概述!$A$52:$A$54,0))*J8)</f>
        <v>155</v>
      </c>
      <c r="Q8" s="41">
        <v>1</v>
      </c>
      <c r="R8" s="41">
        <f t="shared" si="0"/>
        <v>155</v>
      </c>
    </row>
    <row r="9" spans="1:18" ht="16.5" x14ac:dyDescent="0.2">
      <c r="A9" s="41">
        <v>11</v>
      </c>
      <c r="B9" s="41" t="s">
        <v>402</v>
      </c>
      <c r="C9" s="41">
        <f>价值概述!$C$18</f>
        <v>35</v>
      </c>
      <c r="D9" s="41" t="str">
        <f>B9&amp;"-"&amp;E9&amp;"个"</f>
        <v>神器3-1个</v>
      </c>
      <c r="E9" s="41">
        <v>1</v>
      </c>
      <c r="F9" s="41">
        <v>172.5</v>
      </c>
      <c r="G9" s="41" t="s">
        <v>117</v>
      </c>
      <c r="H9" s="41">
        <v>10</v>
      </c>
      <c r="I9" s="41" t="s">
        <v>118</v>
      </c>
      <c r="J9" s="41">
        <v>3</v>
      </c>
      <c r="K9" s="41"/>
      <c r="L9" s="41"/>
      <c r="P9" s="41">
        <f>C9*E9+INDEX(价值概述!$C$52:$C$54,MATCH(世界BOSS设计!G9,价值概述!$A$52:$A$54,0))*H9+IF(I9="",0,INDEX(价值概述!$C$52:$C$54,MATCH(世界BOSS设计!I9,价值概述!$A$52:$A$54,0))*J9)</f>
        <v>115</v>
      </c>
      <c r="Q9" s="41">
        <v>1</v>
      </c>
      <c r="R9" s="41">
        <f t="shared" si="0"/>
        <v>115</v>
      </c>
    </row>
    <row r="10" spans="1:18" ht="16.5" x14ac:dyDescent="0.2">
      <c r="A10" s="41">
        <v>16</v>
      </c>
      <c r="B10" s="41" t="s">
        <v>401</v>
      </c>
      <c r="C10" s="41">
        <f>价值概述!$C$22</f>
        <v>50</v>
      </c>
      <c r="D10" s="41" t="str">
        <f>B10&amp;"-"&amp;E10&amp;"个"</f>
        <v>神器4-1个</v>
      </c>
      <c r="E10" s="41">
        <v>1</v>
      </c>
      <c r="F10" s="41">
        <v>195</v>
      </c>
      <c r="G10" s="41" t="s">
        <v>117</v>
      </c>
      <c r="H10" s="41">
        <v>10</v>
      </c>
      <c r="I10" s="41" t="s">
        <v>118</v>
      </c>
      <c r="J10" s="41">
        <v>3</v>
      </c>
      <c r="K10" s="41"/>
      <c r="L10" s="41"/>
      <c r="P10" s="41">
        <f>C10*E10+INDEX(价值概述!$C$52:$C$54,MATCH(世界BOSS设计!G10,价值概述!$A$52:$A$54,0))*H10+IF(I10="",0,INDEX(价值概述!$C$52:$C$54,MATCH(世界BOSS设计!I10,价值概述!$A$52:$A$54,0))*J10)</f>
        <v>130</v>
      </c>
      <c r="Q10" s="41">
        <v>1</v>
      </c>
      <c r="R10" s="41">
        <f t="shared" si="0"/>
        <v>130</v>
      </c>
    </row>
    <row r="11" spans="1:18" ht="16.5" x14ac:dyDescent="0.2">
      <c r="A11" s="41">
        <v>4</v>
      </c>
      <c r="B11" s="41" t="s">
        <v>404</v>
      </c>
      <c r="C11" s="41">
        <f>价值概述!$C$14</f>
        <v>15</v>
      </c>
      <c r="D11" s="41" t="str">
        <f>B11&amp;"-"&amp;E11&amp;"个"</f>
        <v>神器1-7个</v>
      </c>
      <c r="E11" s="41">
        <v>7</v>
      </c>
      <c r="F11" s="41">
        <v>230</v>
      </c>
      <c r="G11" s="41" t="s">
        <v>117</v>
      </c>
      <c r="H11" s="41">
        <v>25</v>
      </c>
      <c r="I11" s="41"/>
      <c r="J11" s="41"/>
      <c r="K11" s="41"/>
      <c r="L11" s="41"/>
      <c r="P11" s="41">
        <f>C11*E11+INDEX(价值概述!$C$52:$C$54,MATCH(世界BOSS设计!G11,价值概述!$A$52:$A$54,0))*H11+IF(I11="",0,INDEX(价值概述!$C$52:$C$54,MATCH(世界BOSS设计!I11,价值概述!$A$52:$A$54,0))*J11)</f>
        <v>230</v>
      </c>
      <c r="Q11" s="41">
        <v>1</v>
      </c>
      <c r="R11" s="41">
        <f t="shared" si="0"/>
        <v>230</v>
      </c>
    </row>
    <row r="12" spans="1:18" ht="16.5" x14ac:dyDescent="0.2">
      <c r="A12" s="41">
        <v>9</v>
      </c>
      <c r="B12" s="41" t="s">
        <v>403</v>
      </c>
      <c r="C12" s="41">
        <f>价值概述!$C$16</f>
        <v>20</v>
      </c>
      <c r="D12" s="41" t="str">
        <f>B12&amp;"-"&amp;E12&amp;"个"</f>
        <v>神器2-7个</v>
      </c>
      <c r="E12" s="41">
        <v>7</v>
      </c>
      <c r="F12" s="41">
        <v>265</v>
      </c>
      <c r="G12" s="41" t="s">
        <v>117</v>
      </c>
      <c r="H12" s="41">
        <v>25</v>
      </c>
      <c r="I12" s="41"/>
      <c r="J12" s="41"/>
      <c r="K12" s="41"/>
      <c r="L12" s="41"/>
      <c r="P12" s="41">
        <f>C12*E12+INDEX(价值概述!$C$52:$C$54,MATCH(世界BOSS设计!G12,价值概述!$A$52:$A$54,0))*H12+IF(I12="",0,INDEX(价值概述!$C$52:$C$54,MATCH(世界BOSS设计!I12,价值概述!$A$52:$A$54,0))*J12)</f>
        <v>265</v>
      </c>
      <c r="Q12" s="41">
        <v>1</v>
      </c>
      <c r="R12" s="41">
        <f t="shared" si="0"/>
        <v>265</v>
      </c>
    </row>
    <row r="13" spans="1:18" ht="16.5" x14ac:dyDescent="0.2">
      <c r="A13" s="41">
        <v>12</v>
      </c>
      <c r="B13" s="41" t="s">
        <v>402</v>
      </c>
      <c r="C13" s="41">
        <f>价值概述!$C$18</f>
        <v>35</v>
      </c>
      <c r="D13" s="41" t="str">
        <f>B13&amp;"-"&amp;E13&amp;"个"</f>
        <v>神器3-2个</v>
      </c>
      <c r="E13" s="41">
        <v>2</v>
      </c>
      <c r="F13" s="41">
        <v>270</v>
      </c>
      <c r="G13" s="41" t="s">
        <v>117</v>
      </c>
      <c r="H13" s="41">
        <v>10</v>
      </c>
      <c r="I13" s="41" t="s">
        <v>118</v>
      </c>
      <c r="J13" s="41">
        <v>6</v>
      </c>
      <c r="K13" s="41"/>
      <c r="L13" s="41"/>
      <c r="P13" s="41">
        <f>C13*E13+INDEX(价值概述!$C$52:$C$54,MATCH(世界BOSS设计!G13,价值概述!$A$52:$A$54,0))*H13+IF(I13="",0,INDEX(价值概述!$C$52:$C$54,MATCH(世界BOSS设计!I13,价值概述!$A$52:$A$54,0))*J13)</f>
        <v>180</v>
      </c>
      <c r="Q13" s="41">
        <v>1.5</v>
      </c>
      <c r="R13" s="41">
        <f t="shared" si="0"/>
        <v>270</v>
      </c>
    </row>
    <row r="14" spans="1:18" ht="16.5" x14ac:dyDescent="0.2">
      <c r="A14" s="41">
        <v>17</v>
      </c>
      <c r="B14" s="41" t="s">
        <v>401</v>
      </c>
      <c r="C14" s="41">
        <f>价值概述!$C$22</f>
        <v>50</v>
      </c>
      <c r="D14" s="41" t="str">
        <f>B14&amp;"-"&amp;E14&amp;"个"</f>
        <v>神器4-2个</v>
      </c>
      <c r="E14" s="41">
        <v>2</v>
      </c>
      <c r="F14" s="41">
        <v>315</v>
      </c>
      <c r="G14" s="41" t="s">
        <v>117</v>
      </c>
      <c r="H14" s="41">
        <v>10</v>
      </c>
      <c r="I14" s="41" t="s">
        <v>118</v>
      </c>
      <c r="J14" s="41">
        <v>6</v>
      </c>
      <c r="K14" s="41"/>
      <c r="L14" s="41"/>
      <c r="P14" s="41">
        <f>C14*E14+INDEX(价值概述!$C$52:$C$54,MATCH(世界BOSS设计!G14,价值概述!$A$52:$A$54,0))*H14+IF(I14="",0,INDEX(价值概述!$C$52:$C$54,MATCH(世界BOSS设计!I14,价值概述!$A$52:$A$54,0))*J14)</f>
        <v>210</v>
      </c>
      <c r="Q14" s="41">
        <v>1.5</v>
      </c>
      <c r="R14" s="41">
        <f t="shared" si="0"/>
        <v>315</v>
      </c>
    </row>
    <row r="15" spans="1:18" ht="16.5" x14ac:dyDescent="0.2">
      <c r="A15" s="41">
        <v>5</v>
      </c>
      <c r="B15" s="41" t="s">
        <v>404</v>
      </c>
      <c r="C15" s="41">
        <f>价值概述!$C$14</f>
        <v>15</v>
      </c>
      <c r="D15" s="41" t="str">
        <f>B15&amp;"-"&amp;E15&amp;"个"</f>
        <v>神器1-10个</v>
      </c>
      <c r="E15" s="41">
        <v>10</v>
      </c>
      <c r="F15" s="41">
        <v>400</v>
      </c>
      <c r="G15" s="41" t="s">
        <v>117</v>
      </c>
      <c r="H15" s="41">
        <v>50</v>
      </c>
      <c r="I15" s="41"/>
      <c r="J15" s="41"/>
      <c r="K15" s="41"/>
      <c r="L15" s="41"/>
      <c r="P15" s="41">
        <f>C15*E15+INDEX(价值概述!$C$52:$C$54,MATCH(世界BOSS设计!G15,价值概述!$A$52:$A$54,0))*H15+IF(I15="",0,INDEX(价值概述!$C$52:$C$54,MATCH(世界BOSS设计!I15,价值概述!$A$52:$A$54,0))*J15)</f>
        <v>400</v>
      </c>
      <c r="Q15" s="41">
        <v>1.5</v>
      </c>
      <c r="R15" s="41">
        <f t="shared" si="0"/>
        <v>600</v>
      </c>
    </row>
    <row r="16" spans="1:18" ht="16.5" x14ac:dyDescent="0.2">
      <c r="A16" s="41">
        <v>21</v>
      </c>
      <c r="B16" s="41" t="s">
        <v>400</v>
      </c>
      <c r="C16" s="41">
        <f>价值概述!$C$26</f>
        <v>75</v>
      </c>
      <c r="D16" s="41" t="str">
        <f>B16&amp;"-"&amp;E16&amp;"个"</f>
        <v>神器5-1个</v>
      </c>
      <c r="E16" s="41">
        <v>1</v>
      </c>
      <c r="F16" s="41">
        <v>430</v>
      </c>
      <c r="G16" s="41" t="s">
        <v>118</v>
      </c>
      <c r="H16" s="41">
        <v>7</v>
      </c>
      <c r="I16" s="41" t="s">
        <v>119</v>
      </c>
      <c r="J16" s="41">
        <v>2</v>
      </c>
      <c r="K16" s="41"/>
      <c r="L16" s="41"/>
      <c r="P16" s="41">
        <f>C16*E16+INDEX(价值概述!$C$52:$C$54,MATCH(世界BOSS设计!G16,价值概述!$A$52:$A$54,0))*H16+IF(I16="",0,INDEX(价值概述!$C$52:$C$54,MATCH(世界BOSS设计!I16,价值概述!$A$52:$A$54,0))*J16)</f>
        <v>215</v>
      </c>
      <c r="Q16" s="41">
        <v>1.5</v>
      </c>
      <c r="R16" s="41">
        <f t="shared" si="0"/>
        <v>322.5</v>
      </c>
    </row>
    <row r="17" spans="1:18" ht="16.5" x14ac:dyDescent="0.2">
      <c r="A17" s="41">
        <v>26</v>
      </c>
      <c r="B17" s="41" t="s">
        <v>398</v>
      </c>
      <c r="C17" s="41">
        <f>价值概述!$C$32</f>
        <v>75</v>
      </c>
      <c r="D17" s="41" t="str">
        <f>B17&amp;"-"&amp;E17&amp;"个"</f>
        <v>神器6-1个</v>
      </c>
      <c r="E17" s="41">
        <v>1</v>
      </c>
      <c r="F17" s="41">
        <v>430</v>
      </c>
      <c r="G17" s="41" t="s">
        <v>118</v>
      </c>
      <c r="H17" s="41">
        <v>7</v>
      </c>
      <c r="I17" s="41" t="s">
        <v>119</v>
      </c>
      <c r="J17" s="41">
        <v>2</v>
      </c>
      <c r="K17" s="41"/>
      <c r="L17" s="41"/>
      <c r="P17" s="41">
        <f>C17*E17+INDEX(价值概述!$C$52:$C$54,MATCH(世界BOSS设计!G17,价值概述!$A$52:$A$54,0))*H17+IF(I17="",0,INDEX(价值概述!$C$52:$C$54,MATCH(世界BOSS设计!I17,价值概述!$A$52:$A$54,0))*J17)</f>
        <v>215</v>
      </c>
      <c r="Q17" s="41">
        <v>1.5</v>
      </c>
      <c r="R17" s="41">
        <f t="shared" si="0"/>
        <v>322.5</v>
      </c>
    </row>
    <row r="18" spans="1:18" ht="16.5" x14ac:dyDescent="0.2">
      <c r="A18" s="41">
        <v>31</v>
      </c>
      <c r="B18" s="41" t="s">
        <v>397</v>
      </c>
      <c r="C18" s="41">
        <f>价值概述!$C$38</f>
        <v>75</v>
      </c>
      <c r="D18" s="41" t="str">
        <f>B18&amp;"-"&amp;E18&amp;"个"</f>
        <v>神器7-1个</v>
      </c>
      <c r="E18" s="41">
        <v>1</v>
      </c>
      <c r="F18" s="41">
        <v>430</v>
      </c>
      <c r="G18" s="41" t="s">
        <v>118</v>
      </c>
      <c r="H18" s="41">
        <v>7</v>
      </c>
      <c r="I18" s="41" t="s">
        <v>119</v>
      </c>
      <c r="J18" s="41">
        <v>2</v>
      </c>
      <c r="K18" s="41"/>
      <c r="L18" s="41"/>
      <c r="P18" s="41">
        <f>C18*E18+INDEX(价值概述!$C$52:$C$54,MATCH(世界BOSS设计!G18,价值概述!$A$52:$A$54,0))*H18+IF(I18="",0,INDEX(价值概述!$C$52:$C$54,MATCH(世界BOSS设计!I18,价值概述!$A$52:$A$54,0))*J18)</f>
        <v>215</v>
      </c>
      <c r="Q18" s="41">
        <v>1.5</v>
      </c>
      <c r="R18" s="41">
        <f t="shared" si="0"/>
        <v>322.5</v>
      </c>
    </row>
    <row r="19" spans="1:18" ht="16.5" x14ac:dyDescent="0.2">
      <c r="A19" s="41">
        <v>13</v>
      </c>
      <c r="B19" s="41" t="s">
        <v>402</v>
      </c>
      <c r="C19" s="41">
        <f>价值概述!$C$18</f>
        <v>35</v>
      </c>
      <c r="D19" s="41" t="str">
        <f>B19&amp;"-"&amp;E19&amp;"个"</f>
        <v>神器3-4个</v>
      </c>
      <c r="E19" s="41">
        <v>4</v>
      </c>
      <c r="F19" s="41">
        <v>435</v>
      </c>
      <c r="G19" s="41" t="s">
        <v>117</v>
      </c>
      <c r="H19" s="41">
        <v>10</v>
      </c>
      <c r="I19" s="41" t="s">
        <v>118</v>
      </c>
      <c r="J19" s="41">
        <v>10</v>
      </c>
      <c r="K19" s="41"/>
      <c r="L19" s="41"/>
      <c r="P19" s="41">
        <f>C19*E19+INDEX(价值概述!$C$52:$C$54,MATCH(世界BOSS设计!G19,价值概述!$A$52:$A$54,0))*H19+IF(I19="",0,INDEX(价值概述!$C$52:$C$54,MATCH(世界BOSS设计!I19,价值概述!$A$52:$A$54,0))*J19)</f>
        <v>290</v>
      </c>
      <c r="Q19" s="41">
        <v>1.5</v>
      </c>
      <c r="R19" s="41">
        <f t="shared" si="0"/>
        <v>435</v>
      </c>
    </row>
    <row r="20" spans="1:18" ht="16.5" x14ac:dyDescent="0.2">
      <c r="A20" s="41">
        <v>10</v>
      </c>
      <c r="B20" s="41" t="s">
        <v>403</v>
      </c>
      <c r="C20" s="41">
        <f>价值概述!$C$16</f>
        <v>20</v>
      </c>
      <c r="D20" s="41" t="str">
        <f>B20&amp;"-"&amp;E20&amp;"个"</f>
        <v>神器2-10个</v>
      </c>
      <c r="E20" s="41">
        <v>10</v>
      </c>
      <c r="F20" s="41">
        <v>450</v>
      </c>
      <c r="G20" s="41" t="s">
        <v>117</v>
      </c>
      <c r="H20" s="41">
        <v>50</v>
      </c>
      <c r="I20" s="41"/>
      <c r="J20" s="41"/>
      <c r="K20" s="41"/>
      <c r="L20" s="41"/>
      <c r="P20" s="41">
        <f>C20*E20+INDEX(价值概述!$C$52:$C$54,MATCH(世界BOSS设计!G20,价值概述!$A$52:$A$54,0))*H20+IF(I20="",0,INDEX(价值概述!$C$52:$C$54,MATCH(世界BOSS设计!I20,价值概述!$A$52:$A$54,0))*J20)</f>
        <v>450</v>
      </c>
      <c r="Q20" s="41">
        <v>1.5</v>
      </c>
      <c r="R20" s="41">
        <f t="shared" si="0"/>
        <v>675</v>
      </c>
    </row>
    <row r="21" spans="1:18" ht="16.5" x14ac:dyDescent="0.2">
      <c r="A21" s="41">
        <v>18</v>
      </c>
      <c r="B21" s="41" t="s">
        <v>401</v>
      </c>
      <c r="C21" s="41">
        <f>价值概述!$C$22</f>
        <v>50</v>
      </c>
      <c r="D21" s="41" t="str">
        <f>B21&amp;"-"&amp;E21&amp;"个"</f>
        <v>神器4-4个</v>
      </c>
      <c r="E21" s="41">
        <v>4</v>
      </c>
      <c r="F21" s="41">
        <v>525</v>
      </c>
      <c r="G21" s="41" t="s">
        <v>117</v>
      </c>
      <c r="H21" s="41">
        <v>10</v>
      </c>
      <c r="I21" s="41" t="s">
        <v>118</v>
      </c>
      <c r="J21" s="41">
        <v>10</v>
      </c>
      <c r="K21" s="41"/>
      <c r="L21" s="41"/>
      <c r="P21" s="41">
        <f>C21*E21+INDEX(价值概述!$C$52:$C$54,MATCH(世界BOSS设计!G21,价值概述!$A$52:$A$54,0))*H21+IF(I21="",0,INDEX(价值概述!$C$52:$C$54,MATCH(世界BOSS设计!I21,价值概述!$A$52:$A$54,0))*J21)</f>
        <v>350</v>
      </c>
      <c r="Q21" s="41">
        <v>1.5</v>
      </c>
      <c r="R21" s="41">
        <f t="shared" si="0"/>
        <v>525</v>
      </c>
    </row>
    <row r="22" spans="1:18" ht="16.5" x14ac:dyDescent="0.2">
      <c r="A22" s="41">
        <v>14</v>
      </c>
      <c r="B22" s="41" t="s">
        <v>402</v>
      </c>
      <c r="C22" s="41">
        <f>价值概述!$C$18</f>
        <v>35</v>
      </c>
      <c r="D22" s="41" t="str">
        <f>B22&amp;"-"&amp;E22&amp;"个"</f>
        <v>神器3-7个</v>
      </c>
      <c r="E22" s="41">
        <v>7</v>
      </c>
      <c r="F22" s="41">
        <v>667.5</v>
      </c>
      <c r="G22" s="41" t="s">
        <v>117</v>
      </c>
      <c r="H22" s="41">
        <v>10</v>
      </c>
      <c r="I22" s="41" t="s">
        <v>118</v>
      </c>
      <c r="J22" s="41">
        <v>15</v>
      </c>
      <c r="K22" s="41"/>
      <c r="L22" s="41"/>
      <c r="P22" s="41">
        <f>C22*E22+INDEX(价值概述!$C$52:$C$54,MATCH(世界BOSS设计!G22,价值概述!$A$52:$A$54,0))*H22+IF(I22="",0,INDEX(价值概述!$C$52:$C$54,MATCH(世界BOSS设计!I22,价值概述!$A$52:$A$54,0))*J22)</f>
        <v>445</v>
      </c>
      <c r="Q22" s="41">
        <v>1.5</v>
      </c>
      <c r="R22" s="41">
        <f t="shared" si="0"/>
        <v>667.5</v>
      </c>
    </row>
    <row r="23" spans="1:18" ht="16.5" x14ac:dyDescent="0.2">
      <c r="A23" s="41">
        <v>22</v>
      </c>
      <c r="B23" s="41" t="s">
        <v>400</v>
      </c>
      <c r="C23" s="41">
        <f>价值概述!$C$26</f>
        <v>75</v>
      </c>
      <c r="D23" s="41" t="str">
        <f>B23&amp;"-"&amp;E23&amp;"个"</f>
        <v>神器5-2个</v>
      </c>
      <c r="E23" s="41">
        <v>2</v>
      </c>
      <c r="F23" s="41">
        <v>720</v>
      </c>
      <c r="G23" s="41" t="s">
        <v>118</v>
      </c>
      <c r="H23" s="41">
        <v>7</v>
      </c>
      <c r="I23" s="41" t="s">
        <v>119</v>
      </c>
      <c r="J23" s="41">
        <v>4</v>
      </c>
      <c r="K23" s="41"/>
      <c r="L23" s="41"/>
      <c r="P23" s="41">
        <f>C23*E23+INDEX(价值概述!$C$52:$C$54,MATCH(世界BOSS设计!G23,价值概述!$A$52:$A$54,0))*H23+IF(I23="",0,INDEX(价值概述!$C$52:$C$54,MATCH(世界BOSS设计!I23,价值概述!$A$52:$A$54,0))*J23)</f>
        <v>360</v>
      </c>
      <c r="Q23" s="41">
        <v>2</v>
      </c>
      <c r="R23" s="41">
        <f t="shared" si="0"/>
        <v>720</v>
      </c>
    </row>
    <row r="24" spans="1:18" ht="16.5" x14ac:dyDescent="0.2">
      <c r="A24" s="41">
        <v>27</v>
      </c>
      <c r="B24" s="41" t="s">
        <v>398</v>
      </c>
      <c r="C24" s="41">
        <f>价值概述!$C$32</f>
        <v>75</v>
      </c>
      <c r="D24" s="41" t="str">
        <f>B24&amp;"-"&amp;E24&amp;"个"</f>
        <v>神器6-2个</v>
      </c>
      <c r="E24" s="41">
        <v>2</v>
      </c>
      <c r="F24" s="41">
        <v>720</v>
      </c>
      <c r="G24" s="41" t="s">
        <v>118</v>
      </c>
      <c r="H24" s="41">
        <v>7</v>
      </c>
      <c r="I24" s="41" t="s">
        <v>119</v>
      </c>
      <c r="J24" s="41">
        <v>4</v>
      </c>
      <c r="K24" s="41"/>
      <c r="L24" s="41"/>
      <c r="P24" s="41">
        <f>C24*E24+INDEX(价值概述!$C$52:$C$54,MATCH(世界BOSS设计!G24,价值概述!$A$52:$A$54,0))*H24+IF(I24="",0,INDEX(价值概述!$C$52:$C$54,MATCH(世界BOSS设计!I24,价值概述!$A$52:$A$54,0))*J24)</f>
        <v>360</v>
      </c>
      <c r="Q24" s="41">
        <v>2</v>
      </c>
      <c r="R24" s="41">
        <f t="shared" si="0"/>
        <v>720</v>
      </c>
    </row>
    <row r="25" spans="1:18" ht="16.5" x14ac:dyDescent="0.2">
      <c r="A25" s="41">
        <v>32</v>
      </c>
      <c r="B25" s="41" t="s">
        <v>397</v>
      </c>
      <c r="C25" s="41">
        <f>价值概述!$C$38</f>
        <v>75</v>
      </c>
      <c r="D25" s="41" t="str">
        <f>B25&amp;"-"&amp;E25&amp;"个"</f>
        <v>神器7-2个</v>
      </c>
      <c r="E25" s="41">
        <v>2</v>
      </c>
      <c r="F25" s="41">
        <v>720</v>
      </c>
      <c r="G25" s="41" t="s">
        <v>118</v>
      </c>
      <c r="H25" s="41">
        <v>7</v>
      </c>
      <c r="I25" s="41" t="s">
        <v>119</v>
      </c>
      <c r="J25" s="41">
        <v>4</v>
      </c>
      <c r="K25" s="41"/>
      <c r="L25" s="41"/>
      <c r="P25" s="41">
        <f>C25*E25+INDEX(价值概述!$C$52:$C$54,MATCH(世界BOSS设计!G25,价值概述!$A$52:$A$54,0))*H25+IF(I25="",0,INDEX(价值概述!$C$52:$C$54,MATCH(世界BOSS设计!I25,价值概述!$A$52:$A$54,0))*J25)</f>
        <v>360</v>
      </c>
      <c r="Q25" s="41">
        <v>2</v>
      </c>
      <c r="R25" s="41">
        <f t="shared" si="0"/>
        <v>720</v>
      </c>
    </row>
    <row r="26" spans="1:18" ht="16.5" x14ac:dyDescent="0.2">
      <c r="A26" s="41">
        <v>19</v>
      </c>
      <c r="B26" s="41" t="s">
        <v>401</v>
      </c>
      <c r="C26" s="41">
        <f>价值概述!$C$22</f>
        <v>50</v>
      </c>
      <c r="D26" s="41" t="str">
        <f>B26&amp;"-"&amp;E26&amp;"个"</f>
        <v>神器4-7个</v>
      </c>
      <c r="E26" s="41">
        <v>7</v>
      </c>
      <c r="F26" s="41">
        <v>825</v>
      </c>
      <c r="G26" s="41" t="s">
        <v>117</v>
      </c>
      <c r="H26" s="41">
        <v>10</v>
      </c>
      <c r="I26" s="41" t="s">
        <v>118</v>
      </c>
      <c r="J26" s="41">
        <v>15</v>
      </c>
      <c r="K26" s="41"/>
      <c r="L26" s="41"/>
      <c r="P26" s="41">
        <f>C26*E26+INDEX(价值概述!$C$52:$C$54,MATCH(世界BOSS设计!G26,价值概述!$A$52:$A$54,0))*H26+IF(I26="",0,INDEX(价值概述!$C$52:$C$54,MATCH(世界BOSS设计!I26,价值概述!$A$52:$A$54,0))*J26)</f>
        <v>550</v>
      </c>
      <c r="Q26" s="41">
        <v>2</v>
      </c>
      <c r="R26" s="41">
        <f t="shared" si="0"/>
        <v>1100</v>
      </c>
    </row>
    <row r="27" spans="1:18" ht="16.5" x14ac:dyDescent="0.2">
      <c r="A27" s="41">
        <v>15</v>
      </c>
      <c r="B27" s="41" t="s">
        <v>402</v>
      </c>
      <c r="C27" s="41">
        <f>价值概述!$C$18</f>
        <v>35</v>
      </c>
      <c r="D27" s="41" t="str">
        <f>B27&amp;"-"&amp;E27&amp;"个"</f>
        <v>神器3-10个</v>
      </c>
      <c r="E27" s="41">
        <v>10</v>
      </c>
      <c r="F27" s="41">
        <v>1125</v>
      </c>
      <c r="G27" s="41" t="s">
        <v>117</v>
      </c>
      <c r="H27" s="41">
        <v>10</v>
      </c>
      <c r="I27" s="41" t="s">
        <v>118</v>
      </c>
      <c r="J27" s="41">
        <v>35</v>
      </c>
      <c r="K27" s="41"/>
      <c r="L27" s="41"/>
      <c r="P27" s="41">
        <f>C27*E27+INDEX(价值概述!$C$52:$C$54,MATCH(世界BOSS设计!G27,价值概述!$A$52:$A$54,0))*H27+IF(I27="",0,INDEX(价值概述!$C$52:$C$54,MATCH(世界BOSS设计!I27,价值概述!$A$52:$A$54,0))*J27)</f>
        <v>750</v>
      </c>
      <c r="Q27" s="41">
        <v>2</v>
      </c>
      <c r="R27" s="41">
        <f t="shared" si="0"/>
        <v>1500</v>
      </c>
    </row>
    <row r="28" spans="1:18" ht="16.5" x14ac:dyDescent="0.2">
      <c r="A28" s="41">
        <v>23</v>
      </c>
      <c r="B28" s="41" t="s">
        <v>400</v>
      </c>
      <c r="C28" s="41">
        <f>价值概述!$C$26</f>
        <v>75</v>
      </c>
      <c r="D28" s="41" t="str">
        <f>B28&amp;"-"&amp;E28&amp;"个"</f>
        <v>神器5-4个</v>
      </c>
      <c r="E28" s="41">
        <v>4</v>
      </c>
      <c r="F28" s="41">
        <v>1230</v>
      </c>
      <c r="G28" s="41" t="s">
        <v>118</v>
      </c>
      <c r="H28" s="41">
        <v>7</v>
      </c>
      <c r="I28" s="41" t="s">
        <v>119</v>
      </c>
      <c r="J28" s="41">
        <v>7</v>
      </c>
      <c r="K28" s="41"/>
      <c r="L28" s="41"/>
      <c r="P28" s="41">
        <f>C28*E28+INDEX(价值概述!$C$52:$C$54,MATCH(世界BOSS设计!G28,价值概述!$A$52:$A$54,0))*H28+IF(I28="",0,INDEX(价值概述!$C$52:$C$54,MATCH(世界BOSS设计!I28,价值概述!$A$52:$A$54,0))*J28)</f>
        <v>615</v>
      </c>
      <c r="Q28" s="41">
        <v>2</v>
      </c>
      <c r="R28" s="41">
        <f t="shared" si="0"/>
        <v>1230</v>
      </c>
    </row>
    <row r="29" spans="1:18" ht="16.5" x14ac:dyDescent="0.2">
      <c r="A29" s="41">
        <v>28</v>
      </c>
      <c r="B29" s="41" t="s">
        <v>398</v>
      </c>
      <c r="C29" s="41">
        <f>价值概述!$C$32</f>
        <v>75</v>
      </c>
      <c r="D29" s="41" t="str">
        <f>B29&amp;"-"&amp;E29&amp;"个"</f>
        <v>神器6-4个</v>
      </c>
      <c r="E29" s="41">
        <v>4</v>
      </c>
      <c r="F29" s="41">
        <v>1230</v>
      </c>
      <c r="G29" s="41" t="s">
        <v>118</v>
      </c>
      <c r="H29" s="41">
        <v>7</v>
      </c>
      <c r="I29" s="41" t="s">
        <v>119</v>
      </c>
      <c r="J29" s="41">
        <v>7</v>
      </c>
      <c r="K29" s="41"/>
      <c r="L29" s="41"/>
      <c r="P29" s="41">
        <f>C29*E29+INDEX(价值概述!$C$52:$C$54,MATCH(世界BOSS设计!G29,价值概述!$A$52:$A$54,0))*H29+IF(I29="",0,INDEX(价值概述!$C$52:$C$54,MATCH(世界BOSS设计!I29,价值概述!$A$52:$A$54,0))*J29)</f>
        <v>615</v>
      </c>
      <c r="Q29" s="41">
        <v>2</v>
      </c>
      <c r="R29" s="41">
        <f t="shared" si="0"/>
        <v>1230</v>
      </c>
    </row>
    <row r="30" spans="1:18" ht="16.5" x14ac:dyDescent="0.2">
      <c r="A30" s="41">
        <v>33</v>
      </c>
      <c r="B30" s="41" t="s">
        <v>397</v>
      </c>
      <c r="C30" s="41">
        <f>价值概述!$C$38</f>
        <v>75</v>
      </c>
      <c r="D30" s="41" t="str">
        <f>B30&amp;"-"&amp;E30&amp;"个"</f>
        <v>神器7-4个</v>
      </c>
      <c r="E30" s="41">
        <v>4</v>
      </c>
      <c r="F30" s="41">
        <v>1230</v>
      </c>
      <c r="G30" s="41" t="s">
        <v>118</v>
      </c>
      <c r="H30" s="41">
        <v>7</v>
      </c>
      <c r="I30" s="41" t="s">
        <v>119</v>
      </c>
      <c r="J30" s="41">
        <v>7</v>
      </c>
      <c r="K30" s="41"/>
      <c r="L30" s="41"/>
      <c r="P30" s="41">
        <f>C30*E30+INDEX(价值概述!$C$52:$C$54,MATCH(世界BOSS设计!G30,价值概述!$A$52:$A$54,0))*H30+IF(I30="",0,INDEX(价值概述!$C$52:$C$54,MATCH(世界BOSS设计!I30,价值概述!$A$52:$A$54,0))*J30)</f>
        <v>615</v>
      </c>
      <c r="Q30" s="41">
        <v>2</v>
      </c>
      <c r="R30" s="41">
        <f t="shared" si="0"/>
        <v>1230</v>
      </c>
    </row>
    <row r="31" spans="1:18" ht="16.5" x14ac:dyDescent="0.2">
      <c r="A31" s="41">
        <v>20</v>
      </c>
      <c r="B31" s="41" t="s">
        <v>401</v>
      </c>
      <c r="C31" s="41">
        <f>价值概述!$C$22</f>
        <v>50</v>
      </c>
      <c r="D31" s="41" t="str">
        <f>B31&amp;"-"&amp;E31&amp;"个"</f>
        <v>神器4-10个</v>
      </c>
      <c r="E31" s="41">
        <v>10</v>
      </c>
      <c r="F31" s="41">
        <v>1350</v>
      </c>
      <c r="G31" s="41" t="s">
        <v>117</v>
      </c>
      <c r="H31" s="41">
        <v>10</v>
      </c>
      <c r="I31" s="41" t="s">
        <v>118</v>
      </c>
      <c r="J31" s="41">
        <v>35</v>
      </c>
      <c r="K31" s="41"/>
      <c r="L31" s="41"/>
      <c r="P31" s="41">
        <f>C31*E31+INDEX(价值概述!$C$52:$C$54,MATCH(世界BOSS设计!G31,价值概述!$A$52:$A$54,0))*H31+IF(I31="",0,INDEX(价值概述!$C$52:$C$54,MATCH(世界BOSS设计!I31,价值概述!$A$52:$A$54,0))*J31)</f>
        <v>900</v>
      </c>
      <c r="Q31" s="41">
        <v>2</v>
      </c>
      <c r="R31" s="41">
        <f t="shared" si="0"/>
        <v>1800</v>
      </c>
    </row>
    <row r="32" spans="1:18" ht="16.5" x14ac:dyDescent="0.2">
      <c r="A32" s="41">
        <v>24</v>
      </c>
      <c r="B32" s="41" t="s">
        <v>400</v>
      </c>
      <c r="C32" s="41">
        <f>价值概述!$C$26</f>
        <v>75</v>
      </c>
      <c r="D32" s="41" t="str">
        <f>B32&amp;"-"&amp;E32&amp;"个"</f>
        <v>神器5-7个</v>
      </c>
      <c r="E32" s="41">
        <v>7</v>
      </c>
      <c r="F32" s="41">
        <v>1890</v>
      </c>
      <c r="G32" s="41" t="s">
        <v>118</v>
      </c>
      <c r="H32" s="41">
        <v>7</v>
      </c>
      <c r="I32" s="41" t="s">
        <v>119</v>
      </c>
      <c r="J32" s="41">
        <v>10</v>
      </c>
      <c r="K32" s="41"/>
      <c r="L32" s="41"/>
      <c r="P32" s="41">
        <f>C32*E32+INDEX(价值概述!$C$52:$C$54,MATCH(世界BOSS设计!G32,价值概述!$A$52:$A$54,0))*H32+IF(I32="",0,INDEX(价值概述!$C$52:$C$54,MATCH(世界BOSS设计!I32,价值概述!$A$52:$A$54,0))*J32)</f>
        <v>945</v>
      </c>
      <c r="Q32" s="41">
        <v>2</v>
      </c>
      <c r="R32" s="41">
        <f t="shared" si="0"/>
        <v>1890</v>
      </c>
    </row>
    <row r="33" spans="1:18" ht="16.5" x14ac:dyDescent="0.2">
      <c r="A33" s="41">
        <v>29</v>
      </c>
      <c r="B33" s="41" t="s">
        <v>399</v>
      </c>
      <c r="C33" s="41">
        <f>价值概述!$C$32</f>
        <v>75</v>
      </c>
      <c r="D33" s="41" t="str">
        <f>B33&amp;"-"&amp;E33&amp;"个"</f>
        <v>神器6-7个</v>
      </c>
      <c r="E33" s="41">
        <v>7</v>
      </c>
      <c r="F33" s="41">
        <v>1890</v>
      </c>
      <c r="G33" s="41" t="s">
        <v>118</v>
      </c>
      <c r="H33" s="41">
        <v>7</v>
      </c>
      <c r="I33" s="41" t="s">
        <v>119</v>
      </c>
      <c r="J33" s="41">
        <v>10</v>
      </c>
      <c r="K33" s="41"/>
      <c r="L33" s="41"/>
      <c r="P33" s="41">
        <f>C33*E33+INDEX(价值概述!$C$52:$C$54,MATCH(世界BOSS设计!G33,价值概述!$A$52:$A$54,0))*H33+IF(I33="",0,INDEX(价值概述!$C$52:$C$54,MATCH(世界BOSS设计!I33,价值概述!$A$52:$A$54,0))*J33)</f>
        <v>945</v>
      </c>
      <c r="Q33" s="41">
        <v>2</v>
      </c>
      <c r="R33" s="41">
        <f t="shared" si="0"/>
        <v>1890</v>
      </c>
    </row>
    <row r="34" spans="1:18" ht="16.5" x14ac:dyDescent="0.2">
      <c r="A34" s="41">
        <v>34</v>
      </c>
      <c r="B34" s="41" t="s">
        <v>397</v>
      </c>
      <c r="C34" s="41">
        <f>价值概述!$C$38</f>
        <v>75</v>
      </c>
      <c r="D34" s="41" t="str">
        <f>B34&amp;"-"&amp;E34&amp;"个"</f>
        <v>神器7-7个</v>
      </c>
      <c r="E34" s="41">
        <v>7</v>
      </c>
      <c r="F34" s="41">
        <v>1890</v>
      </c>
      <c r="G34" s="41" t="s">
        <v>118</v>
      </c>
      <c r="H34" s="41">
        <v>7</v>
      </c>
      <c r="I34" s="41" t="s">
        <v>119</v>
      </c>
      <c r="J34" s="41">
        <v>10</v>
      </c>
      <c r="K34" s="41"/>
      <c r="L34" s="41"/>
      <c r="P34" s="41">
        <f>C34*E34+INDEX(价值概述!$C$52:$C$54,MATCH(世界BOSS设计!G34,价值概述!$A$52:$A$54,0))*H34+IF(I34="",0,INDEX(价值概述!$C$52:$C$54,MATCH(世界BOSS设计!I34,价值概述!$A$52:$A$54,0))*J34)</f>
        <v>945</v>
      </c>
      <c r="Q34" s="41">
        <v>2</v>
      </c>
      <c r="R34" s="41">
        <f t="shared" si="0"/>
        <v>1890</v>
      </c>
    </row>
    <row r="35" spans="1:18" ht="16.5" x14ac:dyDescent="0.2">
      <c r="A35" s="41">
        <v>25</v>
      </c>
      <c r="B35" s="41" t="s">
        <v>400</v>
      </c>
      <c r="C35" s="41">
        <f>价值概述!$C$26</f>
        <v>75</v>
      </c>
      <c r="D35" s="41" t="str">
        <f>B35&amp;"-"&amp;E35&amp;"个"</f>
        <v>神器5-10个</v>
      </c>
      <c r="E35" s="41">
        <v>10</v>
      </c>
      <c r="F35" s="41">
        <v>3040</v>
      </c>
      <c r="G35" s="41" t="s">
        <v>118</v>
      </c>
      <c r="H35" s="41">
        <v>7</v>
      </c>
      <c r="I35" s="41" t="s">
        <v>119</v>
      </c>
      <c r="J35" s="41">
        <v>20</v>
      </c>
      <c r="K35" s="41"/>
      <c r="L35" s="41"/>
      <c r="P35" s="41">
        <f>C35*E35+INDEX(价值概述!$C$52:$C$54,MATCH(世界BOSS设计!G35,价值概述!$A$52:$A$54,0))*H35+IF(I35="",0,INDEX(价值概述!$C$52:$C$54,MATCH(世界BOSS设计!I35,价值概述!$A$52:$A$54,0))*J35)</f>
        <v>1520</v>
      </c>
      <c r="Q35" s="41">
        <v>2</v>
      </c>
      <c r="R35" s="41">
        <f t="shared" si="0"/>
        <v>3040</v>
      </c>
    </row>
    <row r="36" spans="1:18" ht="16.5" x14ac:dyDescent="0.2">
      <c r="A36" s="41">
        <v>30</v>
      </c>
      <c r="B36" s="41" t="s">
        <v>398</v>
      </c>
      <c r="C36" s="41">
        <f>价值概述!$C$32</f>
        <v>75</v>
      </c>
      <c r="D36" s="41" t="str">
        <f>B36&amp;"-"&amp;E36&amp;"个"</f>
        <v>神器6-10个</v>
      </c>
      <c r="E36" s="41">
        <v>10</v>
      </c>
      <c r="F36" s="41">
        <v>3040</v>
      </c>
      <c r="G36" s="41" t="s">
        <v>118</v>
      </c>
      <c r="H36" s="41">
        <v>7</v>
      </c>
      <c r="I36" s="41" t="s">
        <v>119</v>
      </c>
      <c r="J36" s="41">
        <v>20</v>
      </c>
      <c r="K36" s="41"/>
      <c r="L36" s="41"/>
      <c r="P36" s="41">
        <f>C36*E36+INDEX(价值概述!$C$52:$C$54,MATCH(世界BOSS设计!G36,价值概述!$A$52:$A$54,0))*H36+IF(I36="",0,INDEX(价值概述!$C$52:$C$54,MATCH(世界BOSS设计!I36,价值概述!$A$52:$A$54,0))*J36)</f>
        <v>1520</v>
      </c>
      <c r="Q36" s="41">
        <v>2</v>
      </c>
      <c r="R36" s="41">
        <f t="shared" si="0"/>
        <v>3040</v>
      </c>
    </row>
    <row r="37" spans="1:18" ht="16.5" x14ac:dyDescent="0.2">
      <c r="A37" s="41">
        <v>35</v>
      </c>
      <c r="B37" s="41" t="s">
        <v>397</v>
      </c>
      <c r="C37" s="41">
        <f>价值概述!$C$38</f>
        <v>75</v>
      </c>
      <c r="D37" s="41" t="str">
        <f>B37&amp;"-"&amp;E37&amp;"个"</f>
        <v>神器7-10个</v>
      </c>
      <c r="E37" s="41">
        <v>10</v>
      </c>
      <c r="F37" s="41">
        <v>3040</v>
      </c>
      <c r="G37" s="41" t="s">
        <v>118</v>
      </c>
      <c r="H37" s="41">
        <v>7</v>
      </c>
      <c r="I37" s="41" t="s">
        <v>119</v>
      </c>
      <c r="J37" s="41">
        <v>20</v>
      </c>
      <c r="K37" s="41"/>
      <c r="L37" s="41"/>
      <c r="P37" s="41">
        <f>C37*E37+INDEX(价值概述!$C$52:$C$54,MATCH(世界BOSS设计!G37,价值概述!$A$52:$A$54,0))*H37+IF(I37="",0,INDEX(价值概述!$C$52:$C$54,MATCH(世界BOSS设计!I37,价值概述!$A$52:$A$54,0))*J37)</f>
        <v>1520</v>
      </c>
      <c r="Q37" s="41">
        <v>2</v>
      </c>
      <c r="R37" s="41">
        <f t="shared" si="0"/>
        <v>3040</v>
      </c>
    </row>
  </sheetData>
  <autoFilter ref="A2:L2">
    <sortState ref="A3:L37">
      <sortCondition ref="F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E31" sqref="E31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1.375" customWidth="1"/>
    <col min="5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63" t="s">
        <v>222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17"/>
      <c r="Q2" s="17"/>
    </row>
    <row r="3" spans="1:17" ht="17.25" x14ac:dyDescent="0.2">
      <c r="A3" s="12" t="s">
        <v>214</v>
      </c>
      <c r="B3" s="12" t="s">
        <v>221</v>
      </c>
      <c r="C3" s="12" t="s">
        <v>224</v>
      </c>
      <c r="D3" s="12" t="s">
        <v>215</v>
      </c>
      <c r="E3" s="12" t="s">
        <v>216</v>
      </c>
      <c r="F3" s="12" t="s">
        <v>452</v>
      </c>
      <c r="G3" s="12" t="s">
        <v>220</v>
      </c>
      <c r="H3" s="12" t="s">
        <v>453</v>
      </c>
      <c r="I3" s="12" t="s">
        <v>226</v>
      </c>
      <c r="J3" s="12" t="s">
        <v>217</v>
      </c>
      <c r="K3" s="12" t="s">
        <v>218</v>
      </c>
      <c r="L3" s="12" t="s">
        <v>219</v>
      </c>
      <c r="M3" s="12" t="s">
        <v>223</v>
      </c>
      <c r="N3" s="12" t="s">
        <v>234</v>
      </c>
      <c r="O3" s="12" t="s">
        <v>227</v>
      </c>
      <c r="P3" s="17"/>
      <c r="Q3" s="17"/>
    </row>
    <row r="4" spans="1:17" ht="16.5" x14ac:dyDescent="0.2">
      <c r="A4" s="27">
        <v>1</v>
      </c>
      <c r="B4" s="16">
        <f>节奏总表!Q4</f>
        <v>0.03</v>
      </c>
      <c r="C4" s="16">
        <f>节奏总表!K4*60</f>
        <v>120</v>
      </c>
      <c r="D4" s="16">
        <f>INDEX(章节关卡!$E$6:$E$20,金币总产!A4)*C4</f>
        <v>1200</v>
      </c>
      <c r="E4" s="16">
        <f>SUMIFS(章节关卡!$AS$5:$AS$200,章节关卡!$AP$5:$AP$200,"="&amp;金币总产!A4)</f>
        <v>2100</v>
      </c>
      <c r="F4" s="16">
        <f>章节关卡!T6</f>
        <v>1500</v>
      </c>
      <c r="G4" s="27">
        <v>0</v>
      </c>
      <c r="H4" s="41">
        <v>0</v>
      </c>
      <c r="I4" s="16">
        <f>SUMIFS(芦花古楼!$G$5:$G$104,芦花古楼!$B$5:$B$104,"="&amp;金币总产!A4)</f>
        <v>0</v>
      </c>
      <c r="J4" s="16">
        <f>SUMIFS(芦花古楼!$P$5:$P$104,芦花古楼!$K$5:$K$104,"="&amp;金币总产!A4)</f>
        <v>0</v>
      </c>
      <c r="K4" s="16">
        <f>SUMIFS(芦花古楼!$Y$5:$Y$104,芦花古楼!$AC$5:$AC$104,"="&amp;金币总产!A4)</f>
        <v>0</v>
      </c>
      <c r="L4" s="16">
        <f>SUMIFS(芦花古楼!$AH$5:$AH$104,芦花古楼!$AC$5:$AC$104,"="&amp;金币总产!A4)</f>
        <v>0</v>
      </c>
      <c r="M4" s="16">
        <f>个人BOSS!V4*B4</f>
        <v>0</v>
      </c>
      <c r="N4" s="16"/>
      <c r="O4" s="16">
        <f t="shared" ref="O4:O18" si="0">SUM(D4:N4)</f>
        <v>4800</v>
      </c>
      <c r="P4" s="17"/>
      <c r="Q4" s="17">
        <f>O4/B4/价值概述!$B$3</f>
        <v>160</v>
      </c>
    </row>
    <row r="5" spans="1:17" ht="16.5" x14ac:dyDescent="0.2">
      <c r="A5" s="27">
        <v>2</v>
      </c>
      <c r="B5" s="16">
        <f>节奏总表!Q5</f>
        <v>7.0000000000000007E-2</v>
      </c>
      <c r="C5" s="16">
        <f>节奏总表!K5*60</f>
        <v>240</v>
      </c>
      <c r="D5" s="16">
        <f>INDEX(章节关卡!$E$6:$E$20,金币总产!A5)*C5</f>
        <v>3600</v>
      </c>
      <c r="E5" s="16">
        <f>SUMIFS(章节关卡!$AS$5:$AS$200,章节关卡!$AP$5:$AP$200,"="&amp;金币总产!A5)</f>
        <v>4050</v>
      </c>
      <c r="F5" s="16">
        <f>章节关卡!T7</f>
        <v>3780</v>
      </c>
      <c r="G5" s="16">
        <f>SUMIFS(章节关卡!$BA$5:$BA$199,章节关卡!$AX$5:$AX$199,"="&amp;金币总产!A4)</f>
        <v>3600</v>
      </c>
      <c r="H5" s="16">
        <f>章节关卡!AE6</f>
        <v>3000</v>
      </c>
      <c r="I5" s="16">
        <f>SUMIFS(芦花古楼!$G$5:$G$104,芦花古楼!$B$5:$B$104,"="&amp;金币总产!A5)</f>
        <v>3600</v>
      </c>
      <c r="J5" s="16">
        <f>SUMIFS(芦花古楼!$P$5:$P$104,芦花古楼!$K$5:$K$104,"="&amp;金币总产!A5)</f>
        <v>0</v>
      </c>
      <c r="K5" s="16">
        <f>SUMIFS(芦花古楼!$Y$5:$Y$104,芦花古楼!$AC$5:$AC$104,"="&amp;金币总产!A5)</f>
        <v>0</v>
      </c>
      <c r="L5" s="16">
        <f>SUMIFS(芦花古楼!$AH$5:$AH$104,芦花古楼!$AC$5:$AC$104,"="&amp;金币总产!A5)</f>
        <v>0</v>
      </c>
      <c r="M5" s="16">
        <f>个人BOSS!V5*B5</f>
        <v>0</v>
      </c>
      <c r="N5" s="16"/>
      <c r="O5" s="16">
        <f t="shared" si="0"/>
        <v>21630</v>
      </c>
      <c r="P5" s="17"/>
      <c r="Q5" s="17">
        <f>O5/B5/价值概述!$B$3</f>
        <v>308.99999999999994</v>
      </c>
    </row>
    <row r="6" spans="1:17" ht="16.5" x14ac:dyDescent="0.2">
      <c r="A6" s="27">
        <v>3</v>
      </c>
      <c r="B6" s="16">
        <f>节奏总表!Q6</f>
        <v>0.30000000000000004</v>
      </c>
      <c r="C6" s="16">
        <f>节奏总表!K6*60</f>
        <v>720</v>
      </c>
      <c r="D6" s="16">
        <f>INDEX(章节关卡!$E$6:$E$20,金币总产!A6)*C6</f>
        <v>14400</v>
      </c>
      <c r="E6" s="16">
        <f>SUMIFS(章节关卡!$AS$5:$AS$200,章节关卡!$AP$5:$AP$200,"="&amp;金币总产!A6)</f>
        <v>4200</v>
      </c>
      <c r="F6" s="16">
        <f>章节关卡!T8</f>
        <v>8400</v>
      </c>
      <c r="G6" s="16">
        <f>SUMIFS(章节关卡!$BA$5:$BA$199,章节关卡!$AX$5:$AX$199,"="&amp;金币总产!A5)</f>
        <v>8100</v>
      </c>
      <c r="H6" s="16">
        <f>章节关卡!AE7</f>
        <v>7560</v>
      </c>
      <c r="I6" s="16">
        <f>SUMIFS(芦花古楼!$G$5:$G$104,芦花古楼!$B$5:$B$104,"="&amp;金币总产!A6)</f>
        <v>3600</v>
      </c>
      <c r="J6" s="16">
        <f>SUMIFS(芦花古楼!$P$5:$P$104,芦花古楼!$K$5:$K$104,"="&amp;金币总产!A6)</f>
        <v>0</v>
      </c>
      <c r="K6" s="16">
        <f>SUMIFS(芦花古楼!$Y$5:$Y$104,芦花古楼!$AC$5:$AC$104,"="&amp;金币总产!A6)</f>
        <v>0</v>
      </c>
      <c r="L6" s="16">
        <f>SUMIFS(芦花古楼!$AH$5:$AH$104,芦花古楼!$AC$5:$AC$104,"="&amp;金币总产!A6)</f>
        <v>0</v>
      </c>
      <c r="M6" s="16">
        <f>个人BOSS!V6*B6</f>
        <v>0</v>
      </c>
      <c r="N6" s="16"/>
      <c r="O6" s="16">
        <f t="shared" si="0"/>
        <v>46260</v>
      </c>
      <c r="P6" s="17"/>
      <c r="Q6" s="17">
        <f>O6/B6/价值概述!$B$3</f>
        <v>154.19999999999996</v>
      </c>
    </row>
    <row r="7" spans="1:17" ht="16.5" x14ac:dyDescent="0.2">
      <c r="A7" s="27">
        <v>4</v>
      </c>
      <c r="B7" s="16">
        <f>节奏总表!Q7</f>
        <v>0.6</v>
      </c>
      <c r="C7" s="16">
        <f>节奏总表!K7*60</f>
        <v>1440</v>
      </c>
      <c r="D7" s="16">
        <f>INDEX(章节关卡!$E$6:$E$20,金币总产!A7)*C7</f>
        <v>36000</v>
      </c>
      <c r="E7" s="16">
        <f>SUMIFS(章节关卡!$AS$5:$AS$200,章节关卡!$AP$5:$AP$200,"="&amp;金币总产!A7)</f>
        <v>6000</v>
      </c>
      <c r="F7" s="16">
        <f>章节关卡!T9</f>
        <v>12480</v>
      </c>
      <c r="G7" s="16">
        <f>SUMIFS(章节关卡!$BA$5:$BA$199,章节关卡!$AX$5:$AX$199,"="&amp;金币总产!A6)</f>
        <v>8400</v>
      </c>
      <c r="H7" s="16">
        <f>章节关卡!AE8</f>
        <v>16800</v>
      </c>
      <c r="I7" s="16">
        <f>SUMIFS(芦花古楼!$G$5:$G$104,芦花古楼!$B$5:$B$104,"="&amp;金币总产!A7)</f>
        <v>4500</v>
      </c>
      <c r="J7" s="16">
        <f>SUMIFS(芦花古楼!$P$5:$P$104,芦花古楼!$K$5:$K$104,"="&amp;金币总产!A7)</f>
        <v>21000</v>
      </c>
      <c r="K7" s="16">
        <f>SUMIFS(芦花古楼!$Y$5:$Y$104,芦花古楼!$AC$5:$AC$104,"="&amp;金币总产!A7)</f>
        <v>0</v>
      </c>
      <c r="L7" s="16">
        <f>SUMIFS(芦花古楼!$AH$5:$AH$104,芦花古楼!$AC$5:$AC$104,"="&amp;金币总产!A7)</f>
        <v>0</v>
      </c>
      <c r="M7" s="16">
        <f>个人BOSS!V7*B7</f>
        <v>0</v>
      </c>
      <c r="N7" s="16">
        <f>日常任务!$E$2*金币总产!B7</f>
        <v>12000</v>
      </c>
      <c r="O7" s="16">
        <f t="shared" si="0"/>
        <v>117180</v>
      </c>
      <c r="P7" s="17"/>
      <c r="Q7" s="17">
        <f>O7/B7/价值概述!$B$3</f>
        <v>195.3</v>
      </c>
    </row>
    <row r="8" spans="1:17" ht="16.5" x14ac:dyDescent="0.2">
      <c r="A8" s="27">
        <v>5</v>
      </c>
      <c r="B8" s="16">
        <f>节奏总表!Q8</f>
        <v>1</v>
      </c>
      <c r="C8" s="16">
        <f>节奏总表!K8*60</f>
        <v>2400</v>
      </c>
      <c r="D8" s="16">
        <f>INDEX(章节关卡!$E$6:$E$20,金币总产!A8)*C8</f>
        <v>76800</v>
      </c>
      <c r="E8" s="16">
        <f>SUMIFS(章节关卡!$AS$5:$AS$200,章节关卡!$AP$5:$AP$200,"="&amp;金币总产!A8)</f>
        <v>14400</v>
      </c>
      <c r="F8" s="16">
        <f>章节关卡!T10</f>
        <v>21600</v>
      </c>
      <c r="G8" s="16">
        <f>SUMIFS(章节关卡!$BA$5:$BA$199,章节关卡!$AX$5:$AX$199,"="&amp;金币总产!A7)</f>
        <v>12000</v>
      </c>
      <c r="H8" s="16">
        <f>章节关卡!AE9</f>
        <v>24960</v>
      </c>
      <c r="I8" s="16">
        <f>SUMIFS(芦花古楼!$G$5:$G$104,芦花古楼!$B$5:$B$104,"="&amp;金币总产!A8)</f>
        <v>9600</v>
      </c>
      <c r="J8" s="16">
        <f>SUMIFS(芦花古楼!$P$5:$P$104,芦花古楼!$K$5:$K$104,"="&amp;金币总产!A8)</f>
        <v>26880</v>
      </c>
      <c r="K8" s="16">
        <f>SUMIFS(芦花古楼!$Y$5:$Y$104,芦花古楼!$AC$5:$AC$104,"="&amp;金币总产!A8)</f>
        <v>23040</v>
      </c>
      <c r="L8" s="16">
        <f>SUMIFS(芦花古楼!$AH$5:$AH$104,芦花古楼!$AC$5:$AC$104,"="&amp;金币总产!A8)</f>
        <v>23040</v>
      </c>
      <c r="M8" s="16">
        <f>个人BOSS!V8*B8</f>
        <v>6000</v>
      </c>
      <c r="N8" s="16">
        <f>日常任务!$E$2*金币总产!B8</f>
        <v>20000</v>
      </c>
      <c r="O8" s="16">
        <f t="shared" si="0"/>
        <v>258320</v>
      </c>
      <c r="P8" s="17"/>
      <c r="Q8" s="17">
        <f>O8/B8/价值概述!$B$3</f>
        <v>258.32</v>
      </c>
    </row>
    <row r="9" spans="1:17" ht="16.5" x14ac:dyDescent="0.2">
      <c r="A9" s="27">
        <v>6</v>
      </c>
      <c r="B9" s="16">
        <f>节奏总表!Q9</f>
        <v>1.5</v>
      </c>
      <c r="C9" s="16">
        <f>节奏总表!K9*60</f>
        <v>3600</v>
      </c>
      <c r="D9" s="16">
        <f>INDEX(章节关卡!$E$6:$E$20,金币总产!A9)*C9</f>
        <v>144000</v>
      </c>
      <c r="E9" s="16">
        <f>SUMIFS(章节关卡!$AS$5:$AS$200,章节关卡!$AP$5:$AP$200,"="&amp;金币总产!A9)</f>
        <v>18000</v>
      </c>
      <c r="F9" s="16">
        <f>章节关卡!T11</f>
        <v>30000</v>
      </c>
      <c r="G9" s="16">
        <f>SUMIFS(章节关卡!$BA$5:$BA$199,章节关卡!$AX$5:$AX$199,"="&amp;金币总产!A8)</f>
        <v>28800</v>
      </c>
      <c r="H9" s="16">
        <f>章节关卡!AE10</f>
        <v>43200</v>
      </c>
      <c r="I9" s="16">
        <f>SUMIFS(芦花古楼!$G$5:$G$104,芦花古楼!$B$5:$B$104,"="&amp;金币总产!A9)</f>
        <v>12000</v>
      </c>
      <c r="J9" s="16">
        <f>SUMIFS(芦花古楼!$P$5:$P$104,芦花古楼!$K$5:$K$104,"="&amp;金币总产!A9)</f>
        <v>48000</v>
      </c>
      <c r="K9" s="16">
        <f>SUMIFS(芦花古楼!$Y$5:$Y$104,芦花古楼!$AC$5:$AC$104,"="&amp;金币总产!A9)</f>
        <v>36000</v>
      </c>
      <c r="L9" s="16">
        <f>SUMIFS(芦花古楼!$AH$5:$AH$104,芦花古楼!$AC$5:$AC$104,"="&amp;金币总产!A9)</f>
        <v>36000</v>
      </c>
      <c r="M9" s="16">
        <f>个人BOSS!V9*B9</f>
        <v>11520</v>
      </c>
      <c r="N9" s="16">
        <f>日常任务!$E$2*金币总产!B9</f>
        <v>30000</v>
      </c>
      <c r="O9" s="16">
        <f t="shared" si="0"/>
        <v>437520</v>
      </c>
      <c r="P9" s="17"/>
      <c r="Q9" s="17">
        <f>O9/B9/价值概述!$B$3</f>
        <v>291.68</v>
      </c>
    </row>
    <row r="10" spans="1:17" ht="16.5" x14ac:dyDescent="0.2">
      <c r="A10" s="27">
        <v>7</v>
      </c>
      <c r="B10" s="16">
        <f>节奏总表!Q10</f>
        <v>2</v>
      </c>
      <c r="C10" s="16">
        <f>节奏总表!K10*60</f>
        <v>4800</v>
      </c>
      <c r="D10" s="16">
        <f>INDEX(章节关卡!$E$6:$E$20,金币总产!A10)*C10</f>
        <v>240000</v>
      </c>
      <c r="E10" s="16">
        <f>SUMIFS(章节关卡!$AS$5:$AS$200,章节关卡!$AP$5:$AP$200,"="&amp;金币总产!A10)</f>
        <v>22500</v>
      </c>
      <c r="F10" s="16">
        <f>章节关卡!T12</f>
        <v>41250</v>
      </c>
      <c r="G10" s="16">
        <f>SUMIFS(章节关卡!$BA$5:$BA$199,章节关卡!$AX$5:$AX$199,"="&amp;金币总产!A9)</f>
        <v>36000</v>
      </c>
      <c r="H10" s="16">
        <f>章节关卡!AE11</f>
        <v>60000</v>
      </c>
      <c r="I10" s="16">
        <f>SUMIFS(芦花古楼!$G$5:$G$104,芦花古楼!$B$5:$B$104,"="&amp;金币总产!A10)</f>
        <v>27000</v>
      </c>
      <c r="J10" s="16">
        <f>SUMIFS(芦花古楼!$P$5:$P$104,芦花古楼!$K$5:$K$104,"="&amp;金币总产!A10)</f>
        <v>60000</v>
      </c>
      <c r="K10" s="16">
        <f>SUMIFS(芦花古楼!$Y$5:$Y$104,芦花古楼!$AC$5:$AC$104,"="&amp;金币总产!A10)</f>
        <v>90000</v>
      </c>
      <c r="L10" s="16">
        <f>SUMIFS(芦花古楼!$AH$5:$AH$104,芦花古楼!$AC$5:$AC$104,"="&amp;金币总产!A10)</f>
        <v>90000</v>
      </c>
      <c r="M10" s="16">
        <f>个人BOSS!V10*B10</f>
        <v>19200</v>
      </c>
      <c r="N10" s="16">
        <f>日常任务!$E$2*金币总产!B10</f>
        <v>40000</v>
      </c>
      <c r="O10" s="16">
        <f t="shared" si="0"/>
        <v>725950</v>
      </c>
      <c r="P10" s="17"/>
      <c r="Q10" s="17">
        <f>O10/B10/价值概述!$B$3</f>
        <v>362.97500000000002</v>
      </c>
    </row>
    <row r="11" spans="1:17" ht="16.5" x14ac:dyDescent="0.2">
      <c r="A11" s="27">
        <v>8</v>
      </c>
      <c r="B11" s="16">
        <f>节奏总表!Q11</f>
        <v>2.5</v>
      </c>
      <c r="C11" s="16">
        <f>节奏总表!K11*60</f>
        <v>6000</v>
      </c>
      <c r="D11" s="16">
        <f>INDEX(章节关卡!$E$6:$E$20,金币总产!A11)*C11</f>
        <v>360000</v>
      </c>
      <c r="E11" s="16">
        <f>SUMIFS(章节关卡!$AS$5:$AS$200,章节关卡!$AP$5:$AP$200,"="&amp;金币总产!A11)</f>
        <v>27000</v>
      </c>
      <c r="F11" s="16">
        <f>章节关卡!T13</f>
        <v>54000</v>
      </c>
      <c r="G11" s="16">
        <f>SUMIFS(章节关卡!$BA$5:$BA$199,章节关卡!$AX$5:$AX$199,"="&amp;金币总产!A10)</f>
        <v>45000</v>
      </c>
      <c r="H11" s="16">
        <f>章节关卡!AE12</f>
        <v>82500</v>
      </c>
      <c r="I11" s="16">
        <f>SUMIFS(芦花古楼!$G$5:$G$104,芦花古楼!$B$5:$B$104,"="&amp;金币总产!A11)</f>
        <v>54000</v>
      </c>
      <c r="J11" s="16">
        <f>SUMIFS(芦花古楼!$P$5:$P$104,芦花古楼!$K$5:$K$104,"="&amp;金币总产!A11)</f>
        <v>72000</v>
      </c>
      <c r="K11" s="16">
        <f>SUMIFS(芦花古楼!$Y$5:$Y$104,芦花古楼!$AC$5:$AC$104,"="&amp;金币总产!A11)</f>
        <v>108000</v>
      </c>
      <c r="L11" s="16">
        <f>SUMIFS(芦花古楼!$AH$5:$AH$104,芦花古楼!$AC$5:$AC$104,"="&amp;金币总产!A11)</f>
        <v>108000</v>
      </c>
      <c r="M11" s="16">
        <f>个人BOSS!V11*B11</f>
        <v>30000</v>
      </c>
      <c r="N11" s="16">
        <f>日常任务!$E$2*金币总产!B11</f>
        <v>50000</v>
      </c>
      <c r="O11" s="16">
        <f t="shared" si="0"/>
        <v>990500</v>
      </c>
      <c r="P11" s="17"/>
      <c r="Q11" s="17">
        <f>O11/B11/价值概述!$B$3</f>
        <v>396.2</v>
      </c>
    </row>
    <row r="12" spans="1:17" ht="16.5" x14ac:dyDescent="0.2">
      <c r="A12" s="27">
        <v>9</v>
      </c>
      <c r="B12" s="16">
        <f>节奏总表!Q12</f>
        <v>3.75</v>
      </c>
      <c r="C12" s="16">
        <f>节奏总表!K12*60</f>
        <v>9000</v>
      </c>
      <c r="D12" s="16">
        <f>INDEX(章节关卡!$E$6:$E$20,金币总产!A12)*C12</f>
        <v>648000</v>
      </c>
      <c r="E12" s="16">
        <f>SUMIFS(章节关卡!$AS$5:$AS$200,章节关卡!$AP$5:$AP$200,"="&amp;金币总产!A12)</f>
        <v>32400</v>
      </c>
      <c r="F12" s="16">
        <f>章节关卡!T14</f>
        <v>70200</v>
      </c>
      <c r="G12" s="16">
        <f>SUMIFS(章节关卡!$BA$5:$BA$199,章节关卡!$AX$5:$AX$199,"="&amp;金币总产!A11)</f>
        <v>54000</v>
      </c>
      <c r="H12" s="16">
        <f>章节关卡!AE13</f>
        <v>108000</v>
      </c>
      <c r="I12" s="16">
        <f>SUMIFS(芦花古楼!$G$5:$G$104,芦花古楼!$B$5:$B$104,"="&amp;金币总产!A12)</f>
        <v>64800</v>
      </c>
      <c r="J12" s="16">
        <f>SUMIFS(芦花古楼!$P$5:$P$104,芦花古楼!$K$5:$K$104,"="&amp;金币总产!A12)</f>
        <v>129600</v>
      </c>
      <c r="K12" s="16">
        <f>SUMIFS(芦花古楼!$Y$5:$Y$104,芦花古楼!$AC$5:$AC$104,"="&amp;金币总产!A12)</f>
        <v>129600</v>
      </c>
      <c r="L12" s="16">
        <f>SUMIFS(芦花古楼!$AH$5:$AH$104,芦花古楼!$AC$5:$AC$104,"="&amp;金币总产!A12)</f>
        <v>129600</v>
      </c>
      <c r="M12" s="16">
        <f>个人BOSS!V12*B12</f>
        <v>54000</v>
      </c>
      <c r="N12" s="16">
        <f>日常任务!$E$2*金币总产!B12</f>
        <v>75000</v>
      </c>
      <c r="O12" s="16">
        <f t="shared" si="0"/>
        <v>1495200</v>
      </c>
      <c r="P12" s="17"/>
      <c r="Q12" s="17">
        <f>O12/B12/价值概述!$B$3</f>
        <v>398.72</v>
      </c>
    </row>
    <row r="13" spans="1:17" ht="16.5" x14ac:dyDescent="0.2">
      <c r="A13" s="27">
        <v>10</v>
      </c>
      <c r="B13" s="16">
        <f>节奏总表!Q13</f>
        <v>6.25</v>
      </c>
      <c r="C13" s="16">
        <f>节奏总表!K13*60</f>
        <v>15000</v>
      </c>
      <c r="D13" s="16">
        <f>INDEX(章节关卡!$E$6:$E$20,金币总产!A13)*C13</f>
        <v>1350000</v>
      </c>
      <c r="E13" s="16">
        <f>SUMIFS(章节关卡!$AS$5:$AS$200,章节关卡!$AP$5:$AP$200,"="&amp;金币总产!A13)</f>
        <v>40500</v>
      </c>
      <c r="F13" s="16">
        <f>章节关卡!T15</f>
        <v>92400</v>
      </c>
      <c r="G13" s="16">
        <f>SUMIFS(章节关卡!$BA$5:$BA$199,章节关卡!$AX$5:$AX$199,"="&amp;金币总产!A12)</f>
        <v>64800</v>
      </c>
      <c r="H13" s="16">
        <f>章节关卡!AE14</f>
        <v>140400</v>
      </c>
      <c r="I13" s="16">
        <f>SUMIFS(芦花古楼!$G$5:$G$104,芦花古楼!$B$5:$B$104,"="&amp;金币总产!A13)</f>
        <v>81000</v>
      </c>
      <c r="J13" s="16">
        <f>SUMIFS(芦花古楼!$P$5:$P$104,芦花古楼!$K$5:$K$104,"="&amp;金币总产!A13)</f>
        <v>162000</v>
      </c>
      <c r="K13" s="16">
        <f>SUMIFS(芦花古楼!$Y$5:$Y$104,芦花古楼!$AC$5:$AC$104,"="&amp;金币总产!A13)</f>
        <v>162000</v>
      </c>
      <c r="L13" s="16">
        <f>SUMIFS(芦花古楼!$AH$5:$AH$104,芦花古楼!$AC$5:$AC$104,"="&amp;金币总产!A13)</f>
        <v>162000</v>
      </c>
      <c r="M13" s="16">
        <f>个人BOSS!V13*B13</f>
        <v>108000</v>
      </c>
      <c r="N13" s="16">
        <f>日常任务!$E$2*金币总产!B13</f>
        <v>125000</v>
      </c>
      <c r="O13" s="16">
        <f t="shared" si="0"/>
        <v>2488100</v>
      </c>
      <c r="P13" s="17"/>
      <c r="Q13" s="17">
        <f>O13/B13/价值概述!$B$3</f>
        <v>398.096</v>
      </c>
    </row>
    <row r="14" spans="1:17" ht="16.5" x14ac:dyDescent="0.2">
      <c r="A14" s="27">
        <v>11</v>
      </c>
      <c r="B14" s="16">
        <f>节奏总表!Q14</f>
        <v>10</v>
      </c>
      <c r="C14" s="16">
        <f>节奏总表!K14*60</f>
        <v>24000</v>
      </c>
      <c r="D14" s="16">
        <f>INDEX(章节关卡!$E$6:$E$20,金币总产!A14)*C14</f>
        <v>2640000</v>
      </c>
      <c r="E14" s="16">
        <f>SUMIFS(章节关卡!$AS$5:$AS$200,章节关卡!$AP$5:$AP$200,"="&amp;金币总产!A14)</f>
        <v>49500</v>
      </c>
      <c r="F14" s="16">
        <f>章节关卡!T16</f>
        <v>119250</v>
      </c>
      <c r="G14" s="16">
        <f>SUMIFS(章节关卡!$BA$5:$BA$199,章节关卡!$AX$5:$AX$199,"="&amp;金币总产!A13)</f>
        <v>81000</v>
      </c>
      <c r="H14" s="16">
        <f>章节关卡!AE15</f>
        <v>184800</v>
      </c>
      <c r="I14" s="16">
        <f>SUMIFS(芦花古楼!$G$5:$G$104,芦花古楼!$B$5:$B$104,"="&amp;金币总产!A14)</f>
        <v>99000</v>
      </c>
      <c r="J14" s="16">
        <f>SUMIFS(芦花古楼!$P$5:$P$104,芦花古楼!$K$5:$K$104,"="&amp;金币总产!A14)</f>
        <v>198000</v>
      </c>
      <c r="K14" s="16">
        <f>SUMIFS(芦花古楼!$Y$5:$Y$104,芦花古楼!$AC$5:$AC$104,"="&amp;金币总产!A14)</f>
        <v>198000</v>
      </c>
      <c r="L14" s="16">
        <f>SUMIFS(芦花古楼!$AH$5:$AH$104,芦花古楼!$AC$5:$AC$104,"="&amp;金币总产!A14)</f>
        <v>198000</v>
      </c>
      <c r="M14" s="16">
        <f>个人BOSS!V14*B14</f>
        <v>216000</v>
      </c>
      <c r="N14" s="16">
        <f>日常任务!$E$2*金币总产!B14</f>
        <v>200000</v>
      </c>
      <c r="O14" s="16">
        <f t="shared" si="0"/>
        <v>4183550</v>
      </c>
      <c r="P14" s="17"/>
      <c r="Q14" s="17"/>
    </row>
    <row r="15" spans="1:17" ht="16.5" x14ac:dyDescent="0.2">
      <c r="A15" s="27">
        <v>12</v>
      </c>
      <c r="B15" s="16">
        <f>节奏总表!Q15</f>
        <v>13.75</v>
      </c>
      <c r="C15" s="16">
        <f>节奏总表!K15*60</f>
        <v>33000</v>
      </c>
      <c r="D15" s="16">
        <f>INDEX(章节关卡!$E$6:$E$20,金币总产!A15)*C15</f>
        <v>4290000</v>
      </c>
      <c r="E15" s="16">
        <f>SUMIFS(章节关卡!$AS$5:$AS$200,章节关卡!$AP$5:$AP$200,"="&amp;金币总产!A15)</f>
        <v>58500</v>
      </c>
      <c r="F15" s="16">
        <f>章节关卡!T17</f>
        <v>156000</v>
      </c>
      <c r="G15" s="16">
        <f>SUMIFS(章节关卡!$BA$5:$BA$199,章节关卡!$AX$5:$AX$199,"="&amp;金币总产!A14)</f>
        <v>99000</v>
      </c>
      <c r="H15" s="16">
        <f>章节关卡!AE16</f>
        <v>238500</v>
      </c>
      <c r="I15" s="16">
        <f>SUMIFS(芦花古楼!$G$5:$G$104,芦花古楼!$B$5:$B$104,"="&amp;金币总产!A15)</f>
        <v>78000</v>
      </c>
      <c r="J15" s="16">
        <f>SUMIFS(芦花古楼!$P$5:$P$104,芦花古楼!$K$5:$K$104,"="&amp;金币总产!A15)</f>
        <v>156000</v>
      </c>
      <c r="K15" s="16">
        <f>SUMIFS(芦花古楼!$Y$5:$Y$104,芦花古楼!$AC$5:$AC$104,"="&amp;金币总产!A15)</f>
        <v>234000</v>
      </c>
      <c r="L15" s="16">
        <f>SUMIFS(芦花古楼!$AH$5:$AH$104,芦花古楼!$AC$5:$AC$104,"="&amp;金币总产!A15)</f>
        <v>234000</v>
      </c>
      <c r="M15" s="16">
        <f>个人BOSS!V15*B15</f>
        <v>297000</v>
      </c>
      <c r="N15" s="16">
        <f>日常任务!$E$2*金币总产!B15</f>
        <v>275000</v>
      </c>
      <c r="O15" s="16">
        <f t="shared" si="0"/>
        <v>6116000</v>
      </c>
      <c r="P15" s="17"/>
      <c r="Q15" s="17"/>
    </row>
    <row r="16" spans="1:17" ht="16.5" x14ac:dyDescent="0.2">
      <c r="A16" s="27">
        <v>13</v>
      </c>
      <c r="B16" s="16">
        <f>节奏总表!Q16</f>
        <v>17.5</v>
      </c>
      <c r="C16" s="16">
        <f>节奏总表!K16*60</f>
        <v>42000</v>
      </c>
      <c r="D16" s="16">
        <f>INDEX(章节关卡!$E$6:$E$20,金币总产!A16)*C16</f>
        <v>6300000</v>
      </c>
      <c r="E16" s="16">
        <f>SUMIFS(章节关卡!$AS$5:$AS$200,章节关卡!$AP$5:$AP$200,"="&amp;金币总产!A16)</f>
        <v>67500</v>
      </c>
      <c r="F16" s="16">
        <f>章节关卡!T18</f>
        <v>204000</v>
      </c>
      <c r="G16" s="16">
        <f>SUMIFS(章节关卡!$BA$5:$BA$199,章节关卡!$AX$5:$AX$199,"="&amp;金币总产!A15)</f>
        <v>117000</v>
      </c>
      <c r="H16" s="16">
        <f>章节关卡!AE17</f>
        <v>312000</v>
      </c>
      <c r="I16" s="16">
        <f>SUMIFS(芦花古楼!$G$5:$G$104,芦花古楼!$B$5:$B$104,"="&amp;金币总产!A16)</f>
        <v>9000</v>
      </c>
      <c r="J16" s="16">
        <f>SUMIFS(芦花古楼!$P$5:$P$104,芦花古楼!$K$5:$K$104,"="&amp;金币总产!A16)</f>
        <v>18000</v>
      </c>
      <c r="K16" s="16">
        <f>SUMIFS(芦花古楼!$Y$5:$Y$104,芦花古楼!$AC$5:$AC$104,"="&amp;金币总产!A16)</f>
        <v>270000</v>
      </c>
      <c r="L16" s="16">
        <f>SUMIFS(芦花古楼!$AH$5:$AH$104,芦花古楼!$AC$5:$AC$104,"="&amp;金币总产!A16)</f>
        <v>270000</v>
      </c>
      <c r="M16" s="16">
        <f>个人BOSS!V16*B16</f>
        <v>378000</v>
      </c>
      <c r="N16" s="16">
        <f>日常任务!$E$2*金币总产!B16</f>
        <v>350000</v>
      </c>
      <c r="O16" s="16">
        <f t="shared" si="0"/>
        <v>8295500</v>
      </c>
      <c r="P16" s="17"/>
      <c r="Q16" s="17"/>
    </row>
    <row r="17" spans="1:22" ht="16.5" x14ac:dyDescent="0.2">
      <c r="A17" s="27">
        <v>14</v>
      </c>
      <c r="B17" s="16">
        <f>节奏总表!Q17</f>
        <v>25</v>
      </c>
      <c r="C17" s="16">
        <f>节奏总表!K17*60</f>
        <v>60000</v>
      </c>
      <c r="D17" s="16">
        <f>INDEX(章节关卡!$E$6:$E$20,金币总产!A17)*C17</f>
        <v>10500000</v>
      </c>
      <c r="E17" s="16">
        <f>SUMIFS(章节关卡!$AS$5:$AS$200,章节关卡!$AP$5:$AP$200,"="&amp;金币总产!A17)</f>
        <v>78750</v>
      </c>
      <c r="F17" s="16">
        <f>章节关卡!T19</f>
        <v>270000</v>
      </c>
      <c r="G17" s="16">
        <f>SUMIFS(章节关卡!$BA$5:$BA$199,章节关卡!$AX$5:$AX$199,"="&amp;金币总产!A16)</f>
        <v>135000</v>
      </c>
      <c r="H17" s="16">
        <f>章节关卡!AE18</f>
        <v>408000</v>
      </c>
      <c r="I17" s="16">
        <f>SUMIFS(芦花古楼!$G$5:$G$104,芦花古楼!$B$5:$B$104,"="&amp;金币总产!A17)</f>
        <v>0</v>
      </c>
      <c r="J17" s="16">
        <f>SUMIFS(芦花古楼!$P$5:$P$104,芦花古楼!$K$5:$K$104,"="&amp;金币总产!A17)</f>
        <v>0</v>
      </c>
      <c r="K17" s="16">
        <f>SUMIFS(芦花古楼!$Y$5:$Y$104,芦花古楼!$AC$5:$AC$104,"="&amp;金币总产!A17)</f>
        <v>315000</v>
      </c>
      <c r="L17" s="16">
        <f>SUMIFS(芦花古楼!$AH$5:$AH$104,芦花古楼!$AC$5:$AC$104,"="&amp;金币总产!A17)</f>
        <v>315000</v>
      </c>
      <c r="M17" s="16">
        <f>个人BOSS!V17*B17</f>
        <v>540000</v>
      </c>
      <c r="N17" s="16">
        <f>日常任务!$E$2*金币总产!B17</f>
        <v>500000</v>
      </c>
      <c r="O17" s="16">
        <f t="shared" si="0"/>
        <v>13061750</v>
      </c>
      <c r="P17" s="17"/>
      <c r="Q17" s="17"/>
    </row>
    <row r="18" spans="1:22" ht="16.5" x14ac:dyDescent="0.2">
      <c r="A18" s="27">
        <v>15</v>
      </c>
      <c r="B18" s="16">
        <f>节奏总表!Q18</f>
        <v>37.5</v>
      </c>
      <c r="C18" s="16">
        <f>节奏总表!K18*60</f>
        <v>90000</v>
      </c>
      <c r="D18" s="16">
        <f>INDEX(章节关卡!$E$6:$E$20,金币总产!A18)*C18</f>
        <v>18000000</v>
      </c>
      <c r="E18" s="16">
        <f>SUMIFS(章节关卡!$AS$5:$AS$200,章节关卡!$AP$5:$AP$200,"="&amp;金币总产!A18)</f>
        <v>90000</v>
      </c>
      <c r="F18" s="16">
        <f>章节关卡!T20</f>
        <v>375000</v>
      </c>
      <c r="G18" s="16">
        <f>SUMIFS(章节关卡!$BA$5:$BA$199,章节关卡!$AX$5:$AX$199,"="&amp;金币总产!A17)</f>
        <v>157500</v>
      </c>
      <c r="H18" s="16">
        <f>章节关卡!AE19</f>
        <v>540000</v>
      </c>
      <c r="I18" s="16">
        <f>SUMIFS(芦花古楼!$G$5:$G$104,芦花古楼!$B$5:$B$104,"="&amp;金币总产!A18)</f>
        <v>0</v>
      </c>
      <c r="J18" s="16">
        <f>SUMIFS(芦花古楼!$P$5:$P$104,芦花古楼!$K$5:$K$104,"="&amp;金币总产!A18)</f>
        <v>0</v>
      </c>
      <c r="K18" s="16">
        <f>SUMIFS(芦花古楼!$Y$5:$Y$104,芦花古楼!$AC$5:$AC$104,"="&amp;金币总产!A18)</f>
        <v>396000</v>
      </c>
      <c r="L18" s="16">
        <f>SUMIFS(芦花古楼!$AH$5:$AH$104,芦花古楼!$AC$5:$AC$104,"="&amp;金币总产!A18)</f>
        <v>396000</v>
      </c>
      <c r="M18" s="16">
        <f>个人BOSS!V18*B18</f>
        <v>810000</v>
      </c>
      <c r="N18" s="16">
        <f>日常任务!$E$2*金币总产!B18</f>
        <v>750000</v>
      </c>
      <c r="O18" s="16">
        <f t="shared" si="0"/>
        <v>21514500</v>
      </c>
      <c r="P18" s="17"/>
      <c r="Q18" s="17"/>
    </row>
    <row r="19" spans="1:22" ht="16.5" x14ac:dyDescent="0.2">
      <c r="D19" s="23">
        <f>D13/$O13</f>
        <v>0.54258269362163902</v>
      </c>
      <c r="E19" s="23">
        <f t="shared" ref="E19:N19" si="1">E13/$O13</f>
        <v>1.6277480808649169E-2</v>
      </c>
      <c r="F19" s="23">
        <f t="shared" si="1"/>
        <v>3.7136771030103294E-2</v>
      </c>
      <c r="G19" s="23">
        <f t="shared" si="1"/>
        <v>2.6043969293838672E-2</v>
      </c>
      <c r="H19" s="23">
        <f t="shared" si="1"/>
        <v>5.6428600136650457E-2</v>
      </c>
      <c r="I19" s="23">
        <f t="shared" si="1"/>
        <v>3.2554961617298338E-2</v>
      </c>
      <c r="J19" s="23">
        <f t="shared" si="1"/>
        <v>6.5109923234596676E-2</v>
      </c>
      <c r="K19" s="23">
        <f t="shared" si="1"/>
        <v>6.5109923234596676E-2</v>
      </c>
      <c r="L19" s="23">
        <f t="shared" si="1"/>
        <v>6.5109923234596676E-2</v>
      </c>
      <c r="M19" s="23">
        <f t="shared" si="1"/>
        <v>4.3406615489731119E-2</v>
      </c>
      <c r="N19" s="23">
        <f t="shared" si="1"/>
        <v>5.0239138298299908E-2</v>
      </c>
      <c r="P19" s="17"/>
      <c r="Q19" s="17"/>
    </row>
    <row r="21" spans="1:22" ht="20.25" x14ac:dyDescent="0.2">
      <c r="A21" s="63" t="s">
        <v>289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37"/>
    </row>
    <row r="22" spans="1:22" ht="20.25" x14ac:dyDescent="0.2">
      <c r="A22" s="34"/>
      <c r="D22" s="63" t="s">
        <v>295</v>
      </c>
      <c r="E22" s="63"/>
      <c r="F22" s="63"/>
      <c r="G22" s="63"/>
      <c r="H22" s="63"/>
      <c r="I22" s="63"/>
      <c r="J22" s="64" t="s">
        <v>296</v>
      </c>
      <c r="K22" s="64"/>
      <c r="L22" s="64"/>
      <c r="M22" s="64"/>
      <c r="N22" s="64"/>
      <c r="O22" s="64"/>
    </row>
    <row r="23" spans="1:22" ht="17.25" x14ac:dyDescent="0.2">
      <c r="A23" s="12" t="s">
        <v>299</v>
      </c>
      <c r="B23" s="12" t="s">
        <v>305</v>
      </c>
      <c r="C23" s="12" t="s">
        <v>298</v>
      </c>
      <c r="D23" s="12" t="s">
        <v>294</v>
      </c>
      <c r="E23" s="12" t="s">
        <v>291</v>
      </c>
      <c r="F23" s="38" t="s">
        <v>297</v>
      </c>
      <c r="G23" s="12" t="s">
        <v>293</v>
      </c>
      <c r="H23" s="12" t="s">
        <v>388</v>
      </c>
      <c r="I23" s="12" t="s">
        <v>389</v>
      </c>
      <c r="J23" s="12" t="s">
        <v>290</v>
      </c>
      <c r="K23" s="12" t="s">
        <v>291</v>
      </c>
      <c r="L23" s="38" t="s">
        <v>297</v>
      </c>
      <c r="M23" s="12" t="s">
        <v>293</v>
      </c>
      <c r="N23" s="12" t="s">
        <v>292</v>
      </c>
      <c r="O23" s="12" t="s">
        <v>389</v>
      </c>
      <c r="U23">
        <f>SUM(L24:L27)/30</f>
        <v>36778.333333333336</v>
      </c>
    </row>
    <row r="24" spans="1:22" ht="16.5" x14ac:dyDescent="0.2">
      <c r="A24" s="36" t="s">
        <v>300</v>
      </c>
      <c r="B24" s="36">
        <v>4</v>
      </c>
      <c r="C24" s="16">
        <f>SUMIFS($O$4:$O$18,$A$4:$A$18,"&lt;="&amp;B24)</f>
        <v>189870</v>
      </c>
      <c r="D24" s="21">
        <v>0</v>
      </c>
      <c r="E24" s="21">
        <v>0.45</v>
      </c>
      <c r="F24" s="21">
        <v>0.15</v>
      </c>
      <c r="G24" s="21">
        <v>0.4</v>
      </c>
      <c r="H24" s="21">
        <v>0</v>
      </c>
      <c r="I24" s="21">
        <v>0</v>
      </c>
      <c r="J24" s="16">
        <f>INT($O4*D24)</f>
        <v>0</v>
      </c>
      <c r="K24" s="16">
        <f>INT($C24*E24)</f>
        <v>85441</v>
      </c>
      <c r="L24" s="16">
        <f>INT($C24*F24)</f>
        <v>28480</v>
      </c>
      <c r="M24" s="16">
        <f>INT($C24*G24)</f>
        <v>75948</v>
      </c>
      <c r="N24" s="16">
        <f>INT($C24*H24)</f>
        <v>0</v>
      </c>
      <c r="O24" s="16">
        <f>INT($C24*I24)</f>
        <v>0</v>
      </c>
      <c r="T24">
        <f>INT(L24/30/1000)*1000</f>
        <v>0</v>
      </c>
      <c r="U24">
        <f>INT(U$23*V24/1000)*1000</f>
        <v>3000</v>
      </c>
      <c r="V24" s="42">
        <v>0.1</v>
      </c>
    </row>
    <row r="25" spans="1:22" ht="16.5" x14ac:dyDescent="0.2">
      <c r="A25" s="36" t="s">
        <v>301</v>
      </c>
      <c r="B25" s="36">
        <v>8</v>
      </c>
      <c r="C25" s="16">
        <f>SUMIFS($O$4:$O$18,$A$4:$A$18,"&lt;="&amp;B25,$A$4:$A$18,"&gt;"&amp;B24)</f>
        <v>2412290</v>
      </c>
      <c r="D25" s="21">
        <v>0</v>
      </c>
      <c r="E25" s="21">
        <v>0.2</v>
      </c>
      <c r="F25" s="21">
        <v>0.1</v>
      </c>
      <c r="G25" s="21">
        <v>0.2</v>
      </c>
      <c r="H25" s="21">
        <v>0.35</v>
      </c>
      <c r="I25" s="21">
        <v>0.15</v>
      </c>
      <c r="J25" s="16">
        <f>INT($O5*D25)</f>
        <v>0</v>
      </c>
      <c r="K25" s="16">
        <f>INT($C25*E25)</f>
        <v>482458</v>
      </c>
      <c r="L25" s="16">
        <f>INT($C25*F25)</f>
        <v>241229</v>
      </c>
      <c r="M25" s="16">
        <f>INT($C25*G25)</f>
        <v>482458</v>
      </c>
      <c r="N25" s="16">
        <f>INT($C25*H25)</f>
        <v>844301</v>
      </c>
      <c r="O25" s="16">
        <f>INT($C25*I25)</f>
        <v>361843</v>
      </c>
      <c r="T25">
        <f>INT(L25/30/1000)*1000</f>
        <v>8000</v>
      </c>
      <c r="U25">
        <f t="shared" ref="U25:U27" si="2">INT(U$23*V25/1000)*1000</f>
        <v>7000</v>
      </c>
      <c r="V25" s="42">
        <v>0.2</v>
      </c>
    </row>
    <row r="26" spans="1:22" ht="16.5" x14ac:dyDescent="0.2">
      <c r="A26" s="36" t="s">
        <v>302</v>
      </c>
      <c r="B26" s="36">
        <v>10</v>
      </c>
      <c r="C26" s="16">
        <f>SUMIFS($O$4:$O$18,$A$4:$A$18,"&lt;="&amp;B26,$A$4:$A$18,"&gt;"&amp;B25)</f>
        <v>3983300</v>
      </c>
      <c r="D26" s="21">
        <v>0</v>
      </c>
      <c r="E26" s="21">
        <v>0.15</v>
      </c>
      <c r="F26" s="21">
        <v>0.08</v>
      </c>
      <c r="G26" s="21">
        <v>0.17</v>
      </c>
      <c r="H26" s="21">
        <v>0.45</v>
      </c>
      <c r="I26" s="21">
        <v>0.15</v>
      </c>
      <c r="J26" s="16">
        <f>INT($O6*D26)</f>
        <v>0</v>
      </c>
      <c r="K26" s="16">
        <f>INT($C26*E26)</f>
        <v>597495</v>
      </c>
      <c r="L26" s="16">
        <f>INT($C26*F26)</f>
        <v>318664</v>
      </c>
      <c r="M26" s="16">
        <f>INT($C26*G26)</f>
        <v>677161</v>
      </c>
      <c r="N26" s="16">
        <f>INT($C26*H26)</f>
        <v>1792485</v>
      </c>
      <c r="O26" s="16">
        <f>INT($C26*I26)</f>
        <v>597495</v>
      </c>
      <c r="T26">
        <f>INT(L26/30/1000)*1000</f>
        <v>10000</v>
      </c>
      <c r="U26">
        <f t="shared" si="2"/>
        <v>11000</v>
      </c>
      <c r="V26" s="42">
        <v>0.3</v>
      </c>
    </row>
    <row r="27" spans="1:22" ht="16.5" x14ac:dyDescent="0.2">
      <c r="A27" s="36" t="s">
        <v>303</v>
      </c>
      <c r="B27" s="36">
        <v>12</v>
      </c>
      <c r="C27" s="16">
        <f>SUMIFS($O$4:$O$18,$A$4:$A$18,"&lt;="&amp;B27,$A$4:$A$18,"&gt;"&amp;B26)</f>
        <v>10299550</v>
      </c>
      <c r="D27" s="21">
        <v>0</v>
      </c>
      <c r="E27" s="21">
        <v>0.15</v>
      </c>
      <c r="F27" s="21">
        <v>0.05</v>
      </c>
      <c r="G27" s="21">
        <v>0.15</v>
      </c>
      <c r="H27" s="21">
        <v>0.5</v>
      </c>
      <c r="I27" s="21">
        <v>0.15</v>
      </c>
      <c r="J27" s="16">
        <f>INT($O7*D27)</f>
        <v>0</v>
      </c>
      <c r="K27" s="16">
        <f>INT($C27*E27)</f>
        <v>1544932</v>
      </c>
      <c r="L27" s="16">
        <f>INT($C27*F27)</f>
        <v>514977</v>
      </c>
      <c r="M27" s="16">
        <f>INT($C27*G27)</f>
        <v>1544932</v>
      </c>
      <c r="N27" s="16">
        <f>INT($C27*H27)</f>
        <v>5149775</v>
      </c>
      <c r="O27" s="16">
        <f>INT($C27*I27)</f>
        <v>1544932</v>
      </c>
      <c r="T27">
        <f>INT(L27/30/1000)*1000</f>
        <v>17000</v>
      </c>
      <c r="U27">
        <f t="shared" si="2"/>
        <v>14000</v>
      </c>
      <c r="V27" s="42">
        <v>0.4</v>
      </c>
    </row>
    <row r="28" spans="1:22" ht="16.5" x14ac:dyDescent="0.2">
      <c r="A28" s="36" t="s">
        <v>304</v>
      </c>
      <c r="B28" s="36">
        <v>15</v>
      </c>
      <c r="C28" s="16">
        <f>SUMIFS($O$4:$O$18,$A$4:$A$18,"&lt;="&amp;B28,$A$4:$A$18,"&gt;"&amp;B27)</f>
        <v>42871750</v>
      </c>
      <c r="D28" s="21">
        <v>0</v>
      </c>
      <c r="E28" s="21">
        <v>0.15</v>
      </c>
      <c r="F28" s="21">
        <v>0.05</v>
      </c>
      <c r="G28" s="21">
        <v>0.15</v>
      </c>
      <c r="H28" s="21">
        <v>0.5</v>
      </c>
      <c r="I28" s="21">
        <v>0.15</v>
      </c>
      <c r="J28" s="16">
        <f>INT($O8*D28)</f>
        <v>0</v>
      </c>
      <c r="K28" s="16">
        <f>INT($C28*E28)</f>
        <v>6430762</v>
      </c>
      <c r="L28" s="16">
        <f>INT($C28*F28)</f>
        <v>2143587</v>
      </c>
      <c r="M28" s="16">
        <f>INT($C28*G28)</f>
        <v>6430762</v>
      </c>
      <c r="N28" s="16">
        <f>INT($C28*H28)</f>
        <v>21435875</v>
      </c>
      <c r="O28" s="16">
        <f>INT($C28*I28)</f>
        <v>6430762</v>
      </c>
    </row>
    <row r="29" spans="1:22" x14ac:dyDescent="0.2">
      <c r="M29" s="17"/>
      <c r="N29" s="17"/>
      <c r="O29" s="17"/>
      <c r="P29" s="17"/>
      <c r="Q29" s="17"/>
    </row>
  </sheetData>
  <mergeCells count="4">
    <mergeCell ref="A21:P21"/>
    <mergeCell ref="A2:O2"/>
    <mergeCell ref="D22:I22"/>
    <mergeCell ref="J22:O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芦花古楼</vt:lpstr>
      <vt:lpstr>分段产出计算</vt:lpstr>
      <vt:lpstr>个人BOSS</vt:lpstr>
      <vt:lpstr>世界BOSS设计</vt:lpstr>
      <vt:lpstr>金币总产</vt:lpstr>
      <vt:lpstr>日常任务</vt:lpstr>
      <vt:lpstr>挂机升级突破</vt:lpstr>
      <vt:lpstr>卡牌消耗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2019-05-07T13:51:23Z</dcterms:modified>
</cp:coreProperties>
</file>