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7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卡牌投放" sheetId="94" r:id="rId12"/>
    <sheet name="专属武器" sheetId="91" r:id="rId13"/>
    <sheet name="神器" sheetId="93" r:id="rId1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8" i="90" l="1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AC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Z52" i="90"/>
  <c r="AC52" i="90"/>
  <c r="X53" i="90"/>
  <c r="Y53" i="90" s="1"/>
  <c r="Z53" i="90"/>
  <c r="AC53" i="90"/>
  <c r="X54" i="90"/>
  <c r="Y54" i="90" s="1"/>
  <c r="Z54" i="90"/>
  <c r="X55" i="90"/>
  <c r="Z55" i="90"/>
  <c r="X56" i="90"/>
  <c r="Z56" i="90"/>
  <c r="X57" i="90"/>
  <c r="Y57" i="90" s="1"/>
  <c r="Z57" i="90"/>
  <c r="AC57" i="90"/>
  <c r="X58" i="90"/>
  <c r="Y58" i="90" s="1"/>
  <c r="Z58" i="90"/>
  <c r="X59" i="90"/>
  <c r="Z59" i="90"/>
  <c r="X60" i="90"/>
  <c r="Z60" i="90"/>
  <c r="AC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AC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AC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AC78" i="90"/>
  <c r="X79" i="90"/>
  <c r="Z79" i="90"/>
  <c r="X80" i="90"/>
  <c r="Y80" i="90"/>
  <c r="Z80" i="90"/>
  <c r="AC80" i="90"/>
  <c r="X81" i="90"/>
  <c r="Y81" i="90" s="1"/>
  <c r="Z81" i="90"/>
  <c r="AC81" i="90"/>
  <c r="X82" i="90"/>
  <c r="Y82" i="90" s="1"/>
  <c r="Z82" i="90"/>
  <c r="AC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AC85" i="90"/>
  <c r="X86" i="90"/>
  <c r="Y86" i="90" s="1"/>
  <c r="Z86" i="90"/>
  <c r="AC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AC89" i="90"/>
  <c r="X90" i="90"/>
  <c r="Y90" i="90" s="1"/>
  <c r="Z90" i="90"/>
  <c r="AC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AC96" i="90"/>
  <c r="X97" i="90"/>
  <c r="Y97" i="90" s="1"/>
  <c r="Z97" i="90"/>
  <c r="X98" i="90"/>
  <c r="Y98" i="90" s="1"/>
  <c r="Z98" i="90"/>
  <c r="AC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AC104" i="90"/>
  <c r="X105" i="90"/>
  <c r="Y105" i="90" s="1"/>
  <c r="Z105" i="90"/>
  <c r="X106" i="90"/>
  <c r="Y106" i="90"/>
  <c r="Z106" i="90"/>
  <c r="AC106" i="90"/>
  <c r="X107" i="90"/>
  <c r="Y107" i="90"/>
  <c r="Z107" i="90"/>
  <c r="AC107" i="90"/>
  <c r="X108" i="90"/>
  <c r="Y108" i="90"/>
  <c r="Z108" i="90"/>
  <c r="AC108" i="90"/>
  <c r="X109" i="90"/>
  <c r="Y109" i="90"/>
  <c r="Z109" i="90"/>
  <c r="AC109" i="90"/>
  <c r="X110" i="90"/>
  <c r="Y110" i="90"/>
  <c r="Z110" i="90"/>
  <c r="AC110" i="90"/>
  <c r="X111" i="90"/>
  <c r="Y111" i="90"/>
  <c r="Z111" i="90"/>
  <c r="AC111" i="90"/>
  <c r="X112" i="90"/>
  <c r="Y112" i="90"/>
  <c r="Z112" i="90"/>
  <c r="AC112" i="90"/>
  <c r="X113" i="90"/>
  <c r="Y113" i="90"/>
  <c r="Z113" i="90"/>
  <c r="AC113" i="90"/>
  <c r="X114" i="90"/>
  <c r="Y114" i="90"/>
  <c r="Z114" i="90"/>
  <c r="AC114" i="90"/>
  <c r="X115" i="90"/>
  <c r="Y115" i="90"/>
  <c r="Z115" i="90"/>
  <c r="AC115" i="90"/>
  <c r="X116" i="90"/>
  <c r="Y116" i="90"/>
  <c r="Z116" i="90"/>
  <c r="AC116" i="90"/>
  <c r="X117" i="90"/>
  <c r="Y117" i="90"/>
  <c r="Z117" i="90"/>
  <c r="AC117" i="90"/>
  <c r="X118" i="90"/>
  <c r="Y118" i="90"/>
  <c r="Z118" i="90"/>
  <c r="AC118" i="90"/>
  <c r="X119" i="90"/>
  <c r="Y119" i="90"/>
  <c r="Z119" i="90"/>
  <c r="AC119" i="90"/>
  <c r="X120" i="90"/>
  <c r="Y120" i="90"/>
  <c r="Z120" i="90"/>
  <c r="AC120" i="90"/>
  <c r="X121" i="90"/>
  <c r="Y121" i="90"/>
  <c r="Z121" i="90"/>
  <c r="AC121" i="90"/>
  <c r="X122" i="90"/>
  <c r="Y122" i="90"/>
  <c r="Z122" i="90"/>
  <c r="AC122" i="90"/>
  <c r="X123" i="90"/>
  <c r="Y123" i="90"/>
  <c r="Z123" i="90"/>
  <c r="AC123" i="90"/>
  <c r="X124" i="90"/>
  <c r="Y124" i="90"/>
  <c r="Z124" i="90"/>
  <c r="AC124" i="90"/>
  <c r="X125" i="90"/>
  <c r="Y125" i="90"/>
  <c r="Z125" i="90"/>
  <c r="AC125" i="90"/>
  <c r="X126" i="90"/>
  <c r="Y126" i="90"/>
  <c r="Z126" i="90"/>
  <c r="AC126" i="90"/>
  <c r="X127" i="90"/>
  <c r="Y127" i="90"/>
  <c r="Z127" i="90"/>
  <c r="AC127" i="90"/>
  <c r="X128" i="90"/>
  <c r="Y128" i="90"/>
  <c r="Z128" i="90"/>
  <c r="AC128" i="90"/>
  <c r="X129" i="90"/>
  <c r="Y129" i="90"/>
  <c r="Z129" i="90"/>
  <c r="AC129" i="90"/>
  <c r="X130" i="90"/>
  <c r="Y130" i="90"/>
  <c r="Z130" i="90"/>
  <c r="AC130" i="90"/>
  <c r="X131" i="90"/>
  <c r="Y131" i="90"/>
  <c r="Z131" i="90"/>
  <c r="AC131" i="90"/>
  <c r="X132" i="90"/>
  <c r="Y132" i="90"/>
  <c r="Z132" i="90"/>
  <c r="AC132" i="90"/>
  <c r="X133" i="90"/>
  <c r="Y133" i="90"/>
  <c r="Z133" i="90"/>
  <c r="AC133" i="90"/>
  <c r="X134" i="90"/>
  <c r="Y134" i="90"/>
  <c r="Z134" i="90"/>
  <c r="AC134" i="90"/>
  <c r="X135" i="90"/>
  <c r="Y135" i="90"/>
  <c r="Z135" i="90"/>
  <c r="AC135" i="90"/>
  <c r="X136" i="90"/>
  <c r="Y136" i="90"/>
  <c r="Z136" i="90"/>
  <c r="AC136" i="90"/>
  <c r="X137" i="90"/>
  <c r="Y137" i="90"/>
  <c r="Z137" i="90"/>
  <c r="AC137" i="90"/>
  <c r="X138" i="90"/>
  <c r="Y138" i="90"/>
  <c r="Z138" i="90"/>
  <c r="AC138" i="90"/>
  <c r="X139" i="90"/>
  <c r="Y139" i="90"/>
  <c r="Z139" i="90"/>
  <c r="AC139" i="90"/>
  <c r="X140" i="90"/>
  <c r="Y140" i="90"/>
  <c r="Z140" i="90"/>
  <c r="AC140" i="90"/>
  <c r="X141" i="90"/>
  <c r="Y141" i="90"/>
  <c r="Z141" i="90"/>
  <c r="AC141" i="90"/>
  <c r="X142" i="90"/>
  <c r="Y142" i="90"/>
  <c r="Z142" i="90"/>
  <c r="AC142" i="90"/>
  <c r="X143" i="90"/>
  <c r="Y143" i="90"/>
  <c r="Z143" i="90"/>
  <c r="AC143" i="90"/>
  <c r="X144" i="90"/>
  <c r="Y144" i="90"/>
  <c r="Z144" i="90"/>
  <c r="AC144" i="90"/>
  <c r="X145" i="90"/>
  <c r="Y145" i="90"/>
  <c r="Z145" i="90"/>
  <c r="AC145" i="90"/>
  <c r="X146" i="90"/>
  <c r="Y146" i="90"/>
  <c r="Z146" i="90"/>
  <c r="AC146" i="90"/>
  <c r="X147" i="90"/>
  <c r="Y147" i="90"/>
  <c r="Z147" i="90"/>
  <c r="AC147" i="90"/>
  <c r="X148" i="90"/>
  <c r="Y148" i="90"/>
  <c r="Z148" i="90"/>
  <c r="AC148" i="90"/>
  <c r="X149" i="90"/>
  <c r="Y149" i="90"/>
  <c r="Z149" i="90"/>
  <c r="AC149" i="90"/>
  <c r="X150" i="90"/>
  <c r="Y150" i="90"/>
  <c r="Z150" i="90"/>
  <c r="AC150" i="90"/>
  <c r="X151" i="90"/>
  <c r="Y151" i="90"/>
  <c r="Z151" i="90"/>
  <c r="AC151" i="90"/>
  <c r="X152" i="90"/>
  <c r="Y152" i="90" s="1"/>
  <c r="Z152" i="90"/>
  <c r="AC152" i="90"/>
  <c r="X153" i="90"/>
  <c r="Y153" i="90" s="1"/>
  <c r="Z153" i="90"/>
  <c r="AC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AC156" i="90"/>
  <c r="X157" i="90"/>
  <c r="Y157" i="90" s="1"/>
  <c r="Z157" i="90"/>
  <c r="AC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AC160" i="90"/>
  <c r="X161" i="90"/>
  <c r="Y161" i="90" s="1"/>
  <c r="Z161" i="90"/>
  <c r="AC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AC164" i="90"/>
  <c r="X165" i="90"/>
  <c r="Y165" i="90" s="1"/>
  <c r="Z165" i="90"/>
  <c r="AC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AC168" i="90"/>
  <c r="X169" i="90"/>
  <c r="Y169" i="90" s="1"/>
  <c r="Z169" i="90"/>
  <c r="AC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AC175" i="90"/>
  <c r="X176" i="90"/>
  <c r="Y176" i="90" s="1"/>
  <c r="Z176" i="90"/>
  <c r="X177" i="90"/>
  <c r="Y177" i="90" s="1"/>
  <c r="Z177" i="90"/>
  <c r="AC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AC183" i="90"/>
  <c r="X184" i="90"/>
  <c r="Z184" i="90"/>
  <c r="X185" i="90"/>
  <c r="Y185" i="90" s="1"/>
  <c r="Z185" i="90"/>
  <c r="AC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AC191" i="90"/>
  <c r="X192" i="90"/>
  <c r="Z192" i="90"/>
  <c r="X193" i="90"/>
  <c r="Y193" i="90" s="1"/>
  <c r="Z193" i="90"/>
  <c r="AC193" i="90"/>
  <c r="X194" i="90"/>
  <c r="Z194" i="90"/>
  <c r="X195" i="90"/>
  <c r="Y195" i="90" s="1"/>
  <c r="Z195" i="90"/>
  <c r="AC195" i="90"/>
  <c r="X196" i="90"/>
  <c r="Y196" i="90" s="1"/>
  <c r="Z196" i="90"/>
  <c r="AC196" i="90"/>
  <c r="X197" i="90"/>
  <c r="Y197" i="90" s="1"/>
  <c r="Z197" i="90"/>
  <c r="AC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AC200" i="90"/>
  <c r="X201" i="90"/>
  <c r="Y201" i="90" s="1"/>
  <c r="Z201" i="90"/>
  <c r="AC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AC204" i="90"/>
  <c r="X205" i="90"/>
  <c r="Y205" i="90" s="1"/>
  <c r="Z205" i="90"/>
  <c r="AC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AC208" i="90"/>
  <c r="X209" i="90"/>
  <c r="Y209" i="90" s="1"/>
  <c r="Z209" i="90"/>
  <c r="AC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AC212" i="90"/>
  <c r="X213" i="90"/>
  <c r="Y213" i="90" s="1"/>
  <c r="Z213" i="90"/>
  <c r="AC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AC216" i="90"/>
  <c r="X217" i="90"/>
  <c r="Y217" i="90" s="1"/>
  <c r="Z217" i="90"/>
  <c r="AC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AC220" i="90"/>
  <c r="X221" i="90"/>
  <c r="Y221" i="90" s="1"/>
  <c r="Z221" i="90"/>
  <c r="AC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AC224" i="90"/>
  <c r="X225" i="90"/>
  <c r="Y225" i="90" s="1"/>
  <c r="Z225" i="90"/>
  <c r="AC225" i="90"/>
  <c r="X226" i="90"/>
  <c r="Y226" i="90" s="1"/>
  <c r="Z226" i="90"/>
  <c r="AC226" i="90"/>
  <c r="X227" i="90"/>
  <c r="Y227" i="90" s="1"/>
  <c r="Z227" i="90"/>
  <c r="AC227" i="90"/>
  <c r="Y73" i="90" l="1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J498" i="90" l="1"/>
  <c r="K498" i="90" s="1"/>
  <c r="L498" i="90"/>
  <c r="M498" i="90"/>
  <c r="J499" i="90"/>
  <c r="K499" i="90" s="1"/>
  <c r="L499" i="90"/>
  <c r="M499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 s="1"/>
  <c r="L496" i="90"/>
  <c r="M496" i="90"/>
  <c r="J497" i="90"/>
  <c r="K497" i="90" s="1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 s="1"/>
  <c r="L458" i="90"/>
  <c r="J459" i="90"/>
  <c r="K459" i="90" s="1"/>
  <c r="L459" i="90"/>
  <c r="J460" i="90"/>
  <c r="K460" i="90" s="1"/>
  <c r="L460" i="90"/>
  <c r="J461" i="90"/>
  <c r="K461" i="90" s="1"/>
  <c r="L461" i="90"/>
  <c r="J462" i="90"/>
  <c r="K462" i="90" s="1"/>
  <c r="L462" i="90"/>
  <c r="J463" i="90"/>
  <c r="K463" i="90"/>
  <c r="L463" i="90"/>
  <c r="J464" i="90"/>
  <c r="K464" i="90" s="1"/>
  <c r="L464" i="90"/>
  <c r="J465" i="90"/>
  <c r="K465" i="90" s="1"/>
  <c r="L465" i="90"/>
  <c r="J466" i="90"/>
  <c r="K466" i="90"/>
  <c r="L466" i="90"/>
  <c r="J467" i="90"/>
  <c r="K467" i="90" s="1"/>
  <c r="L467" i="90"/>
  <c r="J468" i="90"/>
  <c r="K468" i="90" s="1"/>
  <c r="L468" i="90"/>
  <c r="J469" i="90"/>
  <c r="K469" i="90"/>
  <c r="L469" i="90"/>
  <c r="J470" i="90"/>
  <c r="K470" i="90" s="1"/>
  <c r="L470" i="90"/>
  <c r="J39" i="90"/>
  <c r="K39" i="90" s="1"/>
  <c r="L39" i="90"/>
  <c r="J40" i="90"/>
  <c r="K40" i="90" s="1"/>
  <c r="L40" i="90"/>
  <c r="J41" i="90"/>
  <c r="K41" i="90" s="1"/>
  <c r="L41" i="90"/>
  <c r="J42" i="90"/>
  <c r="K42" i="90" s="1"/>
  <c r="L42" i="90"/>
  <c r="J43" i="90"/>
  <c r="K43" i="90"/>
  <c r="L43" i="90"/>
  <c r="J44" i="90"/>
  <c r="K44" i="90" s="1"/>
  <c r="L44" i="90"/>
  <c r="J45" i="90"/>
  <c r="K45" i="90" s="1"/>
  <c r="L45" i="90"/>
  <c r="J46" i="90"/>
  <c r="K46" i="90"/>
  <c r="L46" i="90"/>
  <c r="J47" i="90"/>
  <c r="K47" i="90"/>
  <c r="L47" i="90"/>
  <c r="J48" i="90"/>
  <c r="K48" i="90" s="1"/>
  <c r="L48" i="90"/>
  <c r="J49" i="90"/>
  <c r="K49" i="90" s="1"/>
  <c r="L49" i="90"/>
  <c r="J50" i="90"/>
  <c r="K50" i="90" s="1"/>
  <c r="L50" i="90"/>
  <c r="J51" i="90"/>
  <c r="K51" i="90" s="1"/>
  <c r="L51" i="90"/>
  <c r="J52" i="90"/>
  <c r="K52" i="90" s="1"/>
  <c r="L52" i="90"/>
  <c r="J53" i="90"/>
  <c r="K53" i="90" s="1"/>
  <c r="L53" i="90"/>
  <c r="J54" i="90"/>
  <c r="K54" i="90" s="1"/>
  <c r="L54" i="90"/>
  <c r="J55" i="90"/>
  <c r="K55" i="90"/>
  <c r="L55" i="90"/>
  <c r="J56" i="90"/>
  <c r="K56" i="90" s="1"/>
  <c r="L56" i="90"/>
  <c r="J57" i="90"/>
  <c r="K57" i="90" s="1"/>
  <c r="L57" i="90"/>
  <c r="J58" i="90"/>
  <c r="K58" i="90"/>
  <c r="L58" i="90"/>
  <c r="J59" i="90"/>
  <c r="K59" i="90"/>
  <c r="L59" i="90"/>
  <c r="J60" i="90"/>
  <c r="K60" i="90" s="1"/>
  <c r="L60" i="90"/>
  <c r="J61" i="90"/>
  <c r="K61" i="90"/>
  <c r="L61" i="90"/>
  <c r="J62" i="90"/>
  <c r="K62" i="90"/>
  <c r="L62" i="90"/>
  <c r="J63" i="90"/>
  <c r="K63" i="90" s="1"/>
  <c r="L63" i="90"/>
  <c r="J64" i="90"/>
  <c r="K64" i="90" s="1"/>
  <c r="L64" i="90"/>
  <c r="J65" i="90"/>
  <c r="K65" i="90" s="1"/>
  <c r="L65" i="90"/>
  <c r="J66" i="90"/>
  <c r="K66" i="90" s="1"/>
  <c r="L66" i="90"/>
  <c r="J67" i="90"/>
  <c r="K67" i="90"/>
  <c r="L67" i="90"/>
  <c r="J68" i="90"/>
  <c r="K68" i="90" s="1"/>
  <c r="L68" i="90"/>
  <c r="J69" i="90"/>
  <c r="K69" i="90" s="1"/>
  <c r="L69" i="90"/>
  <c r="J70" i="90"/>
  <c r="K70" i="90"/>
  <c r="L70" i="90"/>
  <c r="J71" i="90"/>
  <c r="K71" i="90"/>
  <c r="L71" i="90"/>
  <c r="J72" i="90"/>
  <c r="K72" i="90" s="1"/>
  <c r="L72" i="90"/>
  <c r="J73" i="90"/>
  <c r="K73" i="90"/>
  <c r="L73" i="90"/>
  <c r="J74" i="90"/>
  <c r="K74" i="90"/>
  <c r="L74" i="90"/>
  <c r="J75" i="90"/>
  <c r="K75" i="90" s="1"/>
  <c r="L75" i="90"/>
  <c r="J76" i="90"/>
  <c r="K76" i="90" s="1"/>
  <c r="L76" i="90"/>
  <c r="J77" i="90"/>
  <c r="K77" i="90"/>
  <c r="L77" i="90"/>
  <c r="J78" i="90"/>
  <c r="K78" i="90" s="1"/>
  <c r="L78" i="90"/>
  <c r="J79" i="90"/>
  <c r="K79" i="90" s="1"/>
  <c r="L79" i="90"/>
  <c r="J80" i="90"/>
  <c r="K80" i="90" s="1"/>
  <c r="L80" i="90"/>
  <c r="J81" i="90"/>
  <c r="K81" i="90" s="1"/>
  <c r="L81" i="90"/>
  <c r="J82" i="90"/>
  <c r="K82" i="90"/>
  <c r="L82" i="90"/>
  <c r="J83" i="90"/>
  <c r="K83" i="90"/>
  <c r="L83" i="90"/>
  <c r="J84" i="90"/>
  <c r="K84" i="90" s="1"/>
  <c r="L84" i="90"/>
  <c r="J85" i="90"/>
  <c r="K85" i="90"/>
  <c r="L85" i="90"/>
  <c r="J86" i="90"/>
  <c r="K86" i="90"/>
  <c r="L86" i="90"/>
  <c r="J87" i="90"/>
  <c r="K87" i="90" s="1"/>
  <c r="L87" i="90"/>
  <c r="J88" i="90"/>
  <c r="K88" i="90" s="1"/>
  <c r="L88" i="90"/>
  <c r="J89" i="90"/>
  <c r="K89" i="90"/>
  <c r="L89" i="90"/>
  <c r="J90" i="90"/>
  <c r="K90" i="90" s="1"/>
  <c r="L90" i="90"/>
  <c r="J91" i="90"/>
  <c r="K91" i="90" s="1"/>
  <c r="L91" i="90"/>
  <c r="J92" i="90"/>
  <c r="K92" i="90" s="1"/>
  <c r="L92" i="90"/>
  <c r="J93" i="90"/>
  <c r="K93" i="90" s="1"/>
  <c r="L93" i="90"/>
  <c r="J94" i="90"/>
  <c r="K94" i="90" s="1"/>
  <c r="L94" i="90"/>
  <c r="J95" i="90"/>
  <c r="K95" i="90"/>
  <c r="L95" i="90"/>
  <c r="J96" i="90"/>
  <c r="K96" i="90" s="1"/>
  <c r="L96" i="90"/>
  <c r="J97" i="90"/>
  <c r="K97" i="90" s="1"/>
  <c r="L97" i="90"/>
  <c r="J98" i="90"/>
  <c r="K98" i="90"/>
  <c r="L98" i="90"/>
  <c r="J99" i="90"/>
  <c r="K99" i="90" s="1"/>
  <c r="L99" i="90"/>
  <c r="J100" i="90"/>
  <c r="K100" i="90" s="1"/>
  <c r="L100" i="90"/>
  <c r="J101" i="90"/>
  <c r="K101" i="90"/>
  <c r="L101" i="90"/>
  <c r="J102" i="90"/>
  <c r="K102" i="90" s="1"/>
  <c r="L102" i="90"/>
  <c r="J103" i="90"/>
  <c r="K103" i="90" s="1"/>
  <c r="L103" i="90"/>
  <c r="J104" i="90"/>
  <c r="K104" i="90" s="1"/>
  <c r="L104" i="90"/>
  <c r="J105" i="90"/>
  <c r="K105" i="90" s="1"/>
  <c r="L105" i="90"/>
  <c r="J106" i="90"/>
  <c r="K106" i="90" s="1"/>
  <c r="L106" i="90"/>
  <c r="J107" i="90"/>
  <c r="K107" i="90"/>
  <c r="L107" i="90"/>
  <c r="J108" i="90"/>
  <c r="K108" i="90" s="1"/>
  <c r="L108" i="90"/>
  <c r="J109" i="90"/>
  <c r="K109" i="90" s="1"/>
  <c r="L109" i="90"/>
  <c r="J110" i="90"/>
  <c r="K110" i="90"/>
  <c r="L110" i="90"/>
  <c r="J111" i="90"/>
  <c r="K111" i="90"/>
  <c r="L111" i="90"/>
  <c r="J112" i="90"/>
  <c r="K112" i="90" s="1"/>
  <c r="L112" i="90"/>
  <c r="J113" i="90"/>
  <c r="K113" i="90" s="1"/>
  <c r="L113" i="90"/>
  <c r="J114" i="90"/>
  <c r="K114" i="90" s="1"/>
  <c r="L114" i="90"/>
  <c r="J115" i="90"/>
  <c r="K115" i="90" s="1"/>
  <c r="L115" i="90"/>
  <c r="J116" i="90"/>
  <c r="K116" i="90" s="1"/>
  <c r="L116" i="90"/>
  <c r="J117" i="90"/>
  <c r="K117" i="90" s="1"/>
  <c r="L117" i="90"/>
  <c r="J118" i="90"/>
  <c r="K118" i="90" s="1"/>
  <c r="L118" i="90"/>
  <c r="J119" i="90"/>
  <c r="K119" i="90"/>
  <c r="L119" i="90"/>
  <c r="J120" i="90"/>
  <c r="K120" i="90" s="1"/>
  <c r="L120" i="90"/>
  <c r="J121" i="90"/>
  <c r="K121" i="90" s="1"/>
  <c r="L121" i="90"/>
  <c r="J122" i="90"/>
  <c r="K122" i="90"/>
  <c r="L122" i="90"/>
  <c r="J123" i="90"/>
  <c r="K123" i="90"/>
  <c r="L123" i="90"/>
  <c r="J124" i="90"/>
  <c r="K124" i="90" s="1"/>
  <c r="L124" i="90"/>
  <c r="J125" i="90"/>
  <c r="K125" i="90"/>
  <c r="L125" i="90"/>
  <c r="J126" i="90"/>
  <c r="K126" i="90"/>
  <c r="L126" i="90"/>
  <c r="J127" i="90"/>
  <c r="K127" i="90" s="1"/>
  <c r="L127" i="90"/>
  <c r="J128" i="90"/>
  <c r="K128" i="90" s="1"/>
  <c r="L128" i="90"/>
  <c r="J129" i="90"/>
  <c r="K129" i="90" s="1"/>
  <c r="L129" i="90"/>
  <c r="J130" i="90"/>
  <c r="K130" i="90" s="1"/>
  <c r="L130" i="90"/>
  <c r="J131" i="90"/>
  <c r="K131" i="90"/>
  <c r="L131" i="90"/>
  <c r="J132" i="90"/>
  <c r="K132" i="90" s="1"/>
  <c r="L132" i="90"/>
  <c r="J133" i="90"/>
  <c r="K133" i="90" s="1"/>
  <c r="L133" i="90"/>
  <c r="J134" i="90"/>
  <c r="K134" i="90"/>
  <c r="L134" i="90"/>
  <c r="J135" i="90"/>
  <c r="K135" i="90"/>
  <c r="L135" i="90"/>
  <c r="J136" i="90"/>
  <c r="K136" i="90" s="1"/>
  <c r="L136" i="90"/>
  <c r="J137" i="90"/>
  <c r="K137" i="90"/>
  <c r="L137" i="90"/>
  <c r="J138" i="90"/>
  <c r="K138" i="90"/>
  <c r="L138" i="90"/>
  <c r="J139" i="90"/>
  <c r="K139" i="90" s="1"/>
  <c r="L139" i="90"/>
  <c r="J140" i="90"/>
  <c r="K140" i="90" s="1"/>
  <c r="L140" i="90"/>
  <c r="J141" i="90"/>
  <c r="K141" i="90"/>
  <c r="L141" i="90"/>
  <c r="J142" i="90"/>
  <c r="K142" i="90" s="1"/>
  <c r="L142" i="90"/>
  <c r="J143" i="90"/>
  <c r="K143" i="90" s="1"/>
  <c r="L143" i="90"/>
  <c r="J144" i="90"/>
  <c r="K144" i="90" s="1"/>
  <c r="L144" i="90"/>
  <c r="J145" i="90"/>
  <c r="K145" i="90" s="1"/>
  <c r="L145" i="90"/>
  <c r="J146" i="90"/>
  <c r="K146" i="90"/>
  <c r="L146" i="90"/>
  <c r="J147" i="90"/>
  <c r="K147" i="90"/>
  <c r="L147" i="90"/>
  <c r="J148" i="90"/>
  <c r="K148" i="90" s="1"/>
  <c r="L148" i="90"/>
  <c r="J149" i="90"/>
  <c r="K149" i="90"/>
  <c r="L149" i="90"/>
  <c r="J150" i="90"/>
  <c r="K150" i="90"/>
  <c r="L150" i="90"/>
  <c r="J151" i="90"/>
  <c r="K151" i="90" s="1"/>
  <c r="L151" i="90"/>
  <c r="J152" i="90"/>
  <c r="K152" i="90" s="1"/>
  <c r="L152" i="90"/>
  <c r="J153" i="90"/>
  <c r="K153" i="90"/>
  <c r="L153" i="90"/>
  <c r="J154" i="90"/>
  <c r="K154" i="90" s="1"/>
  <c r="L154" i="90"/>
  <c r="J155" i="90"/>
  <c r="K155" i="90" s="1"/>
  <c r="L155" i="90"/>
  <c r="J156" i="90"/>
  <c r="K156" i="90" s="1"/>
  <c r="L156" i="90"/>
  <c r="J157" i="90"/>
  <c r="K157" i="90" s="1"/>
  <c r="L157" i="90"/>
  <c r="J158" i="90"/>
  <c r="K158" i="90" s="1"/>
  <c r="L158" i="90"/>
  <c r="J159" i="90"/>
  <c r="K159" i="90"/>
  <c r="L159" i="90"/>
  <c r="J160" i="90"/>
  <c r="K160" i="90" s="1"/>
  <c r="L160" i="90"/>
  <c r="J161" i="90"/>
  <c r="K161" i="90" s="1"/>
  <c r="L161" i="90"/>
  <c r="J162" i="90"/>
  <c r="K162" i="90"/>
  <c r="L162" i="90"/>
  <c r="J163" i="90"/>
  <c r="K163" i="90" s="1"/>
  <c r="L163" i="90"/>
  <c r="J164" i="90"/>
  <c r="K164" i="90" s="1"/>
  <c r="L164" i="90"/>
  <c r="J165" i="90"/>
  <c r="K165" i="90"/>
  <c r="L165" i="90"/>
  <c r="J166" i="90"/>
  <c r="K166" i="90" s="1"/>
  <c r="L166" i="90"/>
  <c r="J167" i="90"/>
  <c r="K167" i="90" s="1"/>
  <c r="L167" i="90"/>
  <c r="J168" i="90"/>
  <c r="K168" i="90" s="1"/>
  <c r="L168" i="90"/>
  <c r="J169" i="90"/>
  <c r="K169" i="90" s="1"/>
  <c r="L169" i="90"/>
  <c r="J170" i="90"/>
  <c r="K170" i="90" s="1"/>
  <c r="L170" i="90"/>
  <c r="J171" i="90"/>
  <c r="K171" i="90"/>
  <c r="L171" i="90"/>
  <c r="J172" i="90"/>
  <c r="K172" i="90" s="1"/>
  <c r="L172" i="90"/>
  <c r="J173" i="90"/>
  <c r="K173" i="90" s="1"/>
  <c r="L173" i="90"/>
  <c r="J174" i="90"/>
  <c r="K174" i="90"/>
  <c r="L174" i="90"/>
  <c r="J175" i="90"/>
  <c r="K175" i="90"/>
  <c r="L175" i="90"/>
  <c r="J176" i="90"/>
  <c r="K176" i="90" s="1"/>
  <c r="L176" i="90"/>
  <c r="J177" i="90"/>
  <c r="K177" i="90" s="1"/>
  <c r="L177" i="90"/>
  <c r="J178" i="90"/>
  <c r="K178" i="90" s="1"/>
  <c r="L178" i="90"/>
  <c r="J179" i="90"/>
  <c r="K179" i="90" s="1"/>
  <c r="L179" i="90"/>
  <c r="J180" i="90"/>
  <c r="K180" i="90" s="1"/>
  <c r="L180" i="90"/>
  <c r="J181" i="90"/>
  <c r="K181" i="90" s="1"/>
  <c r="L181" i="90"/>
  <c r="J182" i="90"/>
  <c r="K182" i="90" s="1"/>
  <c r="L182" i="90"/>
  <c r="J183" i="90"/>
  <c r="K183" i="90"/>
  <c r="L183" i="90"/>
  <c r="J184" i="90"/>
  <c r="K184" i="90" s="1"/>
  <c r="L184" i="90"/>
  <c r="J185" i="90"/>
  <c r="K185" i="90" s="1"/>
  <c r="L185" i="90"/>
  <c r="J186" i="90"/>
  <c r="K186" i="90"/>
  <c r="L186" i="90"/>
  <c r="J187" i="90"/>
  <c r="K187" i="90"/>
  <c r="L187" i="90"/>
  <c r="J188" i="90"/>
  <c r="K188" i="90" s="1"/>
  <c r="L188" i="90"/>
  <c r="J189" i="90"/>
  <c r="K189" i="90"/>
  <c r="L189" i="90"/>
  <c r="J190" i="90"/>
  <c r="K190" i="90"/>
  <c r="L190" i="90"/>
  <c r="J191" i="90"/>
  <c r="K191" i="90" s="1"/>
  <c r="L191" i="90"/>
  <c r="J192" i="90"/>
  <c r="K192" i="90" s="1"/>
  <c r="L192" i="90"/>
  <c r="J193" i="90"/>
  <c r="K193" i="90" s="1"/>
  <c r="L193" i="90"/>
  <c r="J194" i="90"/>
  <c r="K194" i="90" s="1"/>
  <c r="L194" i="90"/>
  <c r="J195" i="90"/>
  <c r="K195" i="90"/>
  <c r="L195" i="90"/>
  <c r="J196" i="90"/>
  <c r="K196" i="90" s="1"/>
  <c r="L196" i="90"/>
  <c r="J197" i="90"/>
  <c r="K197" i="90" s="1"/>
  <c r="L197" i="90"/>
  <c r="J198" i="90"/>
  <c r="K198" i="90"/>
  <c r="L198" i="90"/>
  <c r="J199" i="90"/>
  <c r="K199" i="90"/>
  <c r="L199" i="90"/>
  <c r="J200" i="90"/>
  <c r="K200" i="90" s="1"/>
  <c r="L200" i="90"/>
  <c r="J201" i="90"/>
  <c r="K201" i="90"/>
  <c r="L201" i="90"/>
  <c r="J202" i="90"/>
  <c r="K202" i="90"/>
  <c r="L202" i="90"/>
  <c r="J203" i="90"/>
  <c r="K203" i="90" s="1"/>
  <c r="L203" i="90"/>
  <c r="J204" i="90"/>
  <c r="K204" i="90" s="1"/>
  <c r="L204" i="90"/>
  <c r="J205" i="90"/>
  <c r="K205" i="90"/>
  <c r="L205" i="90"/>
  <c r="J206" i="90"/>
  <c r="K206" i="90" s="1"/>
  <c r="L206" i="90"/>
  <c r="J207" i="90"/>
  <c r="K207" i="90" s="1"/>
  <c r="L207" i="90"/>
  <c r="J208" i="90"/>
  <c r="K208" i="90" s="1"/>
  <c r="L208" i="90"/>
  <c r="J209" i="90"/>
  <c r="K209" i="90" s="1"/>
  <c r="L209" i="90"/>
  <c r="J210" i="90"/>
  <c r="K210" i="90"/>
  <c r="L210" i="90"/>
  <c r="J211" i="90"/>
  <c r="K211" i="90"/>
  <c r="L211" i="90"/>
  <c r="J212" i="90"/>
  <c r="K212" i="90" s="1"/>
  <c r="L212" i="90"/>
  <c r="J213" i="90"/>
  <c r="K213" i="90"/>
  <c r="L213" i="90"/>
  <c r="J214" i="90"/>
  <c r="K214" i="90"/>
  <c r="L214" i="90"/>
  <c r="J215" i="90"/>
  <c r="K215" i="90" s="1"/>
  <c r="L215" i="90"/>
  <c r="J216" i="90"/>
  <c r="K216" i="90" s="1"/>
  <c r="L216" i="90"/>
  <c r="J217" i="90"/>
  <c r="K217" i="90"/>
  <c r="L217" i="90"/>
  <c r="J218" i="90"/>
  <c r="K218" i="90" s="1"/>
  <c r="L218" i="90"/>
  <c r="J219" i="90"/>
  <c r="K219" i="90" s="1"/>
  <c r="L219" i="90"/>
  <c r="J220" i="90"/>
  <c r="K220" i="90" s="1"/>
  <c r="L220" i="90"/>
  <c r="J221" i="90"/>
  <c r="K221" i="90" s="1"/>
  <c r="L221" i="90"/>
  <c r="J222" i="90"/>
  <c r="K222" i="90" s="1"/>
  <c r="L222" i="90"/>
  <c r="J223" i="90"/>
  <c r="K223" i="90"/>
  <c r="L223" i="90"/>
  <c r="J224" i="90"/>
  <c r="K224" i="90" s="1"/>
  <c r="L224" i="90"/>
  <c r="J225" i="90"/>
  <c r="K225" i="90" s="1"/>
  <c r="L225" i="90"/>
  <c r="J226" i="90"/>
  <c r="K226" i="90"/>
  <c r="L226" i="90"/>
  <c r="J227" i="90"/>
  <c r="K227" i="90" s="1"/>
  <c r="L227" i="90"/>
  <c r="J228" i="90"/>
  <c r="K228" i="90" s="1"/>
  <c r="L228" i="90"/>
  <c r="J229" i="90"/>
  <c r="K229" i="90"/>
  <c r="L229" i="90"/>
  <c r="J230" i="90"/>
  <c r="K230" i="90" s="1"/>
  <c r="L230" i="90"/>
  <c r="J231" i="90"/>
  <c r="K231" i="90" s="1"/>
  <c r="L231" i="90"/>
  <c r="J232" i="90"/>
  <c r="K232" i="90" s="1"/>
  <c r="L232" i="90"/>
  <c r="J233" i="90"/>
  <c r="K233" i="90" s="1"/>
  <c r="L233" i="90"/>
  <c r="J234" i="90"/>
  <c r="K234" i="90" s="1"/>
  <c r="L234" i="90"/>
  <c r="J235" i="90"/>
  <c r="K235" i="90"/>
  <c r="L235" i="90"/>
  <c r="J236" i="90"/>
  <c r="K236" i="90" s="1"/>
  <c r="L236" i="90"/>
  <c r="J237" i="90"/>
  <c r="K237" i="90" s="1"/>
  <c r="L237" i="90"/>
  <c r="J238" i="90"/>
  <c r="K238" i="90"/>
  <c r="L238" i="90"/>
  <c r="J239" i="90"/>
  <c r="K239" i="90"/>
  <c r="L239" i="90"/>
  <c r="J240" i="90"/>
  <c r="K240" i="90" s="1"/>
  <c r="L240" i="90"/>
  <c r="J241" i="90"/>
  <c r="K241" i="90" s="1"/>
  <c r="L241" i="90"/>
  <c r="J242" i="90"/>
  <c r="K242" i="90" s="1"/>
  <c r="L242" i="90"/>
  <c r="J243" i="90"/>
  <c r="K243" i="90" s="1"/>
  <c r="L243" i="90"/>
  <c r="J244" i="90"/>
  <c r="K244" i="90" s="1"/>
  <c r="L244" i="90"/>
  <c r="J245" i="90"/>
  <c r="K245" i="90" s="1"/>
  <c r="L245" i="90"/>
  <c r="J246" i="90"/>
  <c r="K246" i="90" s="1"/>
  <c r="L246" i="90"/>
  <c r="J247" i="90"/>
  <c r="K247" i="90"/>
  <c r="L247" i="90"/>
  <c r="J248" i="90"/>
  <c r="K248" i="90" s="1"/>
  <c r="L248" i="90"/>
  <c r="J249" i="90"/>
  <c r="K249" i="90" s="1"/>
  <c r="L249" i="90"/>
  <c r="J250" i="90"/>
  <c r="K250" i="90"/>
  <c r="L250" i="90"/>
  <c r="J251" i="90"/>
  <c r="K251" i="90"/>
  <c r="L251" i="90"/>
  <c r="J252" i="90"/>
  <c r="K252" i="90" s="1"/>
  <c r="L252" i="90"/>
  <c r="J253" i="90"/>
  <c r="K253" i="90"/>
  <c r="L253" i="90"/>
  <c r="J254" i="90"/>
  <c r="K254" i="90"/>
  <c r="L254" i="90"/>
  <c r="J255" i="90"/>
  <c r="K255" i="90" s="1"/>
  <c r="L255" i="90"/>
  <c r="J256" i="90"/>
  <c r="K256" i="90" s="1"/>
  <c r="L256" i="90"/>
  <c r="J257" i="90"/>
  <c r="K257" i="90" s="1"/>
  <c r="L257" i="90"/>
  <c r="J258" i="90"/>
  <c r="K258" i="90" s="1"/>
  <c r="L258" i="90"/>
  <c r="J259" i="90"/>
  <c r="K259" i="90"/>
  <c r="L259" i="90"/>
  <c r="J260" i="90"/>
  <c r="K260" i="90" s="1"/>
  <c r="L260" i="90"/>
  <c r="J261" i="90"/>
  <c r="K261" i="90" s="1"/>
  <c r="L261" i="90"/>
  <c r="J262" i="90"/>
  <c r="K262" i="90"/>
  <c r="L262" i="90"/>
  <c r="J263" i="90"/>
  <c r="K263" i="90"/>
  <c r="L263" i="90"/>
  <c r="J264" i="90"/>
  <c r="K264" i="90" s="1"/>
  <c r="L264" i="90"/>
  <c r="J265" i="90"/>
  <c r="K265" i="90"/>
  <c r="L265" i="90"/>
  <c r="J266" i="90"/>
  <c r="K266" i="90"/>
  <c r="L266" i="90"/>
  <c r="J267" i="90"/>
  <c r="K267" i="90" s="1"/>
  <c r="L267" i="90"/>
  <c r="J268" i="90"/>
  <c r="K268" i="90" s="1"/>
  <c r="L268" i="90"/>
  <c r="J269" i="90"/>
  <c r="K269" i="90"/>
  <c r="L269" i="90"/>
  <c r="J270" i="90"/>
  <c r="K270" i="90" s="1"/>
  <c r="L270" i="90"/>
  <c r="J271" i="90"/>
  <c r="K271" i="90" s="1"/>
  <c r="L271" i="90"/>
  <c r="J272" i="90"/>
  <c r="K272" i="90" s="1"/>
  <c r="L272" i="90"/>
  <c r="J273" i="90"/>
  <c r="K273" i="90" s="1"/>
  <c r="L273" i="90"/>
  <c r="J274" i="90"/>
  <c r="K274" i="90"/>
  <c r="L274" i="90"/>
  <c r="J275" i="90"/>
  <c r="K275" i="90"/>
  <c r="L275" i="90"/>
  <c r="J276" i="90"/>
  <c r="K276" i="90" s="1"/>
  <c r="L276" i="90"/>
  <c r="J277" i="90"/>
  <c r="K277" i="90"/>
  <c r="L277" i="90"/>
  <c r="J278" i="90"/>
  <c r="K278" i="90"/>
  <c r="L278" i="90"/>
  <c r="J279" i="90"/>
  <c r="K279" i="90" s="1"/>
  <c r="L279" i="90"/>
  <c r="J280" i="90"/>
  <c r="K280" i="90" s="1"/>
  <c r="L280" i="90"/>
  <c r="J281" i="90"/>
  <c r="K281" i="90"/>
  <c r="L281" i="90"/>
  <c r="J282" i="90"/>
  <c r="K282" i="90" s="1"/>
  <c r="L282" i="90"/>
  <c r="J283" i="90"/>
  <c r="K283" i="90" s="1"/>
  <c r="L283" i="90"/>
  <c r="J284" i="90"/>
  <c r="K284" i="90" s="1"/>
  <c r="L284" i="90"/>
  <c r="J285" i="90"/>
  <c r="K285" i="90" s="1"/>
  <c r="L285" i="90"/>
  <c r="J286" i="90"/>
  <c r="K286" i="90" s="1"/>
  <c r="L286" i="90"/>
  <c r="J287" i="90"/>
  <c r="K287" i="90"/>
  <c r="L287" i="90"/>
  <c r="J288" i="90"/>
  <c r="K288" i="90" s="1"/>
  <c r="L288" i="90"/>
  <c r="J289" i="90"/>
  <c r="K289" i="90" s="1"/>
  <c r="L289" i="90"/>
  <c r="J290" i="90"/>
  <c r="K290" i="90"/>
  <c r="L290" i="90"/>
  <c r="J291" i="90"/>
  <c r="K291" i="90" s="1"/>
  <c r="L291" i="90"/>
  <c r="J292" i="90"/>
  <c r="K292" i="90" s="1"/>
  <c r="L292" i="90"/>
  <c r="J293" i="90"/>
  <c r="K293" i="90"/>
  <c r="L293" i="90"/>
  <c r="J294" i="90"/>
  <c r="K294" i="90" s="1"/>
  <c r="L294" i="90"/>
  <c r="J295" i="90"/>
  <c r="K295" i="90" s="1"/>
  <c r="L295" i="90"/>
  <c r="J296" i="90"/>
  <c r="K296" i="90" s="1"/>
  <c r="L296" i="90"/>
  <c r="J297" i="90"/>
  <c r="K297" i="90" s="1"/>
  <c r="L297" i="90"/>
  <c r="J298" i="90"/>
  <c r="K298" i="90" s="1"/>
  <c r="L298" i="90"/>
  <c r="J299" i="90"/>
  <c r="K299" i="90"/>
  <c r="L299" i="90"/>
  <c r="J300" i="90"/>
  <c r="K300" i="90" s="1"/>
  <c r="L300" i="90"/>
  <c r="J301" i="90"/>
  <c r="K301" i="90" s="1"/>
  <c r="L301" i="90"/>
  <c r="J302" i="90"/>
  <c r="K302" i="90"/>
  <c r="L302" i="90"/>
  <c r="J303" i="90"/>
  <c r="K303" i="90"/>
  <c r="L303" i="90"/>
  <c r="J304" i="90"/>
  <c r="K304" i="90" s="1"/>
  <c r="L304" i="90"/>
  <c r="J305" i="90"/>
  <c r="K305" i="90" s="1"/>
  <c r="L305" i="90"/>
  <c r="J306" i="90"/>
  <c r="K306" i="90" s="1"/>
  <c r="L306" i="90"/>
  <c r="J307" i="90"/>
  <c r="K307" i="90" s="1"/>
  <c r="L307" i="90"/>
  <c r="J308" i="90"/>
  <c r="K308" i="90" s="1"/>
  <c r="L308" i="90"/>
  <c r="J309" i="90"/>
  <c r="K309" i="90" s="1"/>
  <c r="L309" i="90"/>
  <c r="J310" i="90"/>
  <c r="K310" i="90" s="1"/>
  <c r="L310" i="90"/>
  <c r="J311" i="90"/>
  <c r="K311" i="90"/>
  <c r="L311" i="90"/>
  <c r="J312" i="90"/>
  <c r="K312" i="90" s="1"/>
  <c r="L312" i="90"/>
  <c r="J313" i="90"/>
  <c r="K313" i="90" s="1"/>
  <c r="L313" i="90"/>
  <c r="J314" i="90"/>
  <c r="K314" i="90"/>
  <c r="L314" i="90"/>
  <c r="J315" i="90"/>
  <c r="K315" i="90"/>
  <c r="L315" i="90"/>
  <c r="J316" i="90"/>
  <c r="K316" i="90" s="1"/>
  <c r="L316" i="90"/>
  <c r="J317" i="90"/>
  <c r="K317" i="90"/>
  <c r="L317" i="90"/>
  <c r="J318" i="90"/>
  <c r="K318" i="90" s="1"/>
  <c r="L318" i="90"/>
  <c r="J319" i="90"/>
  <c r="K319" i="90" s="1"/>
  <c r="L319" i="90"/>
  <c r="J320" i="90"/>
  <c r="K320" i="90" s="1"/>
  <c r="L320" i="90"/>
  <c r="J321" i="90"/>
  <c r="K321" i="90" s="1"/>
  <c r="L321" i="90"/>
  <c r="J322" i="90"/>
  <c r="K322" i="90"/>
  <c r="L322" i="90"/>
  <c r="J323" i="90"/>
  <c r="K323" i="90"/>
  <c r="L323" i="90"/>
  <c r="J324" i="90"/>
  <c r="K324" i="90" s="1"/>
  <c r="L324" i="90"/>
  <c r="J325" i="90"/>
  <c r="K325" i="90"/>
  <c r="L325" i="90"/>
  <c r="J326" i="90"/>
  <c r="K326" i="90"/>
  <c r="L326" i="90"/>
  <c r="J327" i="90"/>
  <c r="K327" i="90" s="1"/>
  <c r="L327" i="90"/>
  <c r="J328" i="90"/>
  <c r="K328" i="90" s="1"/>
  <c r="L328" i="90"/>
  <c r="J329" i="90"/>
  <c r="K329" i="90"/>
  <c r="L329" i="90"/>
  <c r="J330" i="90"/>
  <c r="K330" i="90" s="1"/>
  <c r="L330" i="90"/>
  <c r="J331" i="90"/>
  <c r="K331" i="90" s="1"/>
  <c r="L331" i="90"/>
  <c r="J332" i="90"/>
  <c r="K332" i="90" s="1"/>
  <c r="L332" i="90"/>
  <c r="J333" i="90"/>
  <c r="K333" i="90" s="1"/>
  <c r="L333" i="90"/>
  <c r="J334" i="90"/>
  <c r="K334" i="90" s="1"/>
  <c r="L334" i="90"/>
  <c r="J335" i="90"/>
  <c r="K335" i="90"/>
  <c r="L335" i="90"/>
  <c r="J336" i="90"/>
  <c r="K336" i="90" s="1"/>
  <c r="L336" i="90"/>
  <c r="J337" i="90"/>
  <c r="K337" i="90" s="1"/>
  <c r="L337" i="90"/>
  <c r="J338" i="90"/>
  <c r="K338" i="90" s="1"/>
  <c r="L338" i="90"/>
  <c r="J339" i="90"/>
  <c r="K339" i="90" s="1"/>
  <c r="L339" i="90"/>
  <c r="J340" i="90"/>
  <c r="K340" i="90" s="1"/>
  <c r="L340" i="90"/>
  <c r="J341" i="90"/>
  <c r="K341" i="90" s="1"/>
  <c r="L341" i="90"/>
  <c r="J342" i="90"/>
  <c r="K342" i="90" s="1"/>
  <c r="L342" i="90"/>
  <c r="J343" i="90"/>
  <c r="K343" i="90"/>
  <c r="L343" i="90"/>
  <c r="J344" i="90"/>
  <c r="K344" i="90" s="1"/>
  <c r="L344" i="90"/>
  <c r="J345" i="90"/>
  <c r="K345" i="90" s="1"/>
  <c r="L345" i="90"/>
  <c r="J346" i="90"/>
  <c r="K346" i="90"/>
  <c r="L346" i="90"/>
  <c r="J347" i="90"/>
  <c r="K347" i="90" s="1"/>
  <c r="L347" i="90"/>
  <c r="J348" i="90"/>
  <c r="K348" i="90" s="1"/>
  <c r="L348" i="90"/>
  <c r="J349" i="90"/>
  <c r="K349" i="90"/>
  <c r="L349" i="90"/>
  <c r="J350" i="90"/>
  <c r="K350" i="90"/>
  <c r="L350" i="90"/>
  <c r="J351" i="90"/>
  <c r="K351" i="90" s="1"/>
  <c r="L351" i="90"/>
  <c r="J352" i="90"/>
  <c r="K352" i="90"/>
  <c r="L352" i="90"/>
  <c r="J353" i="90"/>
  <c r="K353" i="90"/>
  <c r="L353" i="90"/>
  <c r="J354" i="90"/>
  <c r="K354" i="90" s="1"/>
  <c r="L354" i="90"/>
  <c r="J355" i="90"/>
  <c r="K355" i="90" s="1"/>
  <c r="L355" i="90"/>
  <c r="J356" i="90"/>
  <c r="K356" i="90"/>
  <c r="L356" i="90"/>
  <c r="J357" i="90"/>
  <c r="K357" i="90" s="1"/>
  <c r="L357" i="90"/>
  <c r="J358" i="90"/>
  <c r="K358" i="90" s="1"/>
  <c r="L358" i="90"/>
  <c r="J359" i="90"/>
  <c r="K359" i="90" s="1"/>
  <c r="L359" i="90"/>
  <c r="J360" i="90"/>
  <c r="K360" i="90" s="1"/>
  <c r="L360" i="90"/>
  <c r="J361" i="90"/>
  <c r="K361" i="90" s="1"/>
  <c r="L361" i="90"/>
  <c r="J362" i="90"/>
  <c r="K362" i="90"/>
  <c r="L362" i="90"/>
  <c r="J363" i="90"/>
  <c r="K363" i="90" s="1"/>
  <c r="L363" i="90"/>
  <c r="J364" i="90"/>
  <c r="K364" i="90" s="1"/>
  <c r="L364" i="90"/>
  <c r="J365" i="90"/>
  <c r="K365" i="90"/>
  <c r="L365" i="90"/>
  <c r="J366" i="90"/>
  <c r="K366" i="90"/>
  <c r="L366" i="90"/>
  <c r="J367" i="90"/>
  <c r="K367" i="90" s="1"/>
  <c r="L367" i="90"/>
  <c r="J368" i="90"/>
  <c r="K368" i="90"/>
  <c r="L368" i="90"/>
  <c r="J369" i="90"/>
  <c r="K369" i="90"/>
  <c r="L369" i="90"/>
  <c r="J370" i="90"/>
  <c r="K370" i="90" s="1"/>
  <c r="L370" i="90"/>
  <c r="J371" i="90"/>
  <c r="K371" i="90" s="1"/>
  <c r="L371" i="90"/>
  <c r="J372" i="90"/>
  <c r="K372" i="90"/>
  <c r="L372" i="90"/>
  <c r="J373" i="90"/>
  <c r="K373" i="90" s="1"/>
  <c r="L373" i="90"/>
  <c r="J374" i="90"/>
  <c r="K374" i="90" s="1"/>
  <c r="L374" i="90"/>
  <c r="J375" i="90"/>
  <c r="K375" i="90" s="1"/>
  <c r="L375" i="90"/>
  <c r="J376" i="90"/>
  <c r="K376" i="90" s="1"/>
  <c r="L376" i="90"/>
  <c r="J377" i="90"/>
  <c r="K377" i="90" s="1"/>
  <c r="L377" i="90"/>
  <c r="J378" i="90"/>
  <c r="K378" i="90"/>
  <c r="L378" i="90"/>
  <c r="J379" i="90"/>
  <c r="K379" i="90" s="1"/>
  <c r="L379" i="90"/>
  <c r="J380" i="90"/>
  <c r="K380" i="90" s="1"/>
  <c r="L380" i="90"/>
  <c r="J381" i="90"/>
  <c r="K381" i="90"/>
  <c r="L381" i="90"/>
  <c r="J382" i="90"/>
  <c r="K382" i="90"/>
  <c r="L382" i="90"/>
  <c r="J383" i="90"/>
  <c r="K383" i="90" s="1"/>
  <c r="L383" i="90"/>
  <c r="J384" i="90"/>
  <c r="K384" i="90"/>
  <c r="L384" i="90"/>
  <c r="J385" i="90"/>
  <c r="K385" i="90"/>
  <c r="L385" i="90"/>
  <c r="J386" i="90"/>
  <c r="K386" i="90" s="1"/>
  <c r="L386" i="90"/>
  <c r="J387" i="90"/>
  <c r="K387" i="90" s="1"/>
  <c r="L387" i="90"/>
  <c r="J388" i="90"/>
  <c r="K388" i="90"/>
  <c r="L388" i="90"/>
  <c r="J389" i="90"/>
  <c r="K389" i="90" s="1"/>
  <c r="L389" i="90"/>
  <c r="J390" i="90"/>
  <c r="K390" i="90" s="1"/>
  <c r="L390" i="90"/>
  <c r="J391" i="90"/>
  <c r="K391" i="90" s="1"/>
  <c r="L391" i="90"/>
  <c r="J392" i="90"/>
  <c r="K392" i="90" s="1"/>
  <c r="L392" i="90"/>
  <c r="J393" i="90"/>
  <c r="K393" i="90" s="1"/>
  <c r="L393" i="90"/>
  <c r="J394" i="90"/>
  <c r="K394" i="90"/>
  <c r="L394" i="90"/>
  <c r="J395" i="90"/>
  <c r="K395" i="90" s="1"/>
  <c r="L395" i="90"/>
  <c r="J396" i="90"/>
  <c r="K396" i="90" s="1"/>
  <c r="L396" i="90"/>
  <c r="J397" i="90"/>
  <c r="K397" i="90"/>
  <c r="L397" i="90"/>
  <c r="J398" i="90"/>
  <c r="K398" i="90"/>
  <c r="L398" i="90"/>
  <c r="J399" i="90"/>
  <c r="K399" i="90" s="1"/>
  <c r="L399" i="90"/>
  <c r="J400" i="90"/>
  <c r="K400" i="90"/>
  <c r="L400" i="90"/>
  <c r="J401" i="90"/>
  <c r="K401" i="90"/>
  <c r="L401" i="90"/>
  <c r="J402" i="90"/>
  <c r="K402" i="90" s="1"/>
  <c r="L402" i="90"/>
  <c r="J403" i="90"/>
  <c r="K403" i="90" s="1"/>
  <c r="L403" i="90"/>
  <c r="J404" i="90"/>
  <c r="K404" i="90"/>
  <c r="L404" i="90"/>
  <c r="J405" i="90"/>
  <c r="K405" i="90" s="1"/>
  <c r="L405" i="90"/>
  <c r="J406" i="90"/>
  <c r="K406" i="90" s="1"/>
  <c r="L406" i="90"/>
  <c r="J407" i="90"/>
  <c r="K407" i="90" s="1"/>
  <c r="L407" i="90"/>
  <c r="J408" i="90"/>
  <c r="K408" i="90" s="1"/>
  <c r="L408" i="90"/>
  <c r="J409" i="90"/>
  <c r="K409" i="90" s="1"/>
  <c r="L409" i="90"/>
  <c r="J410" i="90"/>
  <c r="K410" i="90"/>
  <c r="L410" i="90"/>
  <c r="J411" i="90"/>
  <c r="K411" i="90" s="1"/>
  <c r="L411" i="90"/>
  <c r="J412" i="90"/>
  <c r="K412" i="90" s="1"/>
  <c r="L412" i="90"/>
  <c r="J413" i="90"/>
  <c r="K413" i="90"/>
  <c r="L413" i="90"/>
  <c r="J414" i="90"/>
  <c r="K414" i="90"/>
  <c r="L414" i="90"/>
  <c r="J415" i="90"/>
  <c r="K415" i="90" s="1"/>
  <c r="L415" i="90"/>
  <c r="J416" i="90"/>
  <c r="K416" i="90"/>
  <c r="L416" i="90"/>
  <c r="J417" i="90"/>
  <c r="K417" i="90"/>
  <c r="L417" i="90"/>
  <c r="J418" i="90"/>
  <c r="K418" i="90" s="1"/>
  <c r="L418" i="90"/>
  <c r="J419" i="90"/>
  <c r="K419" i="90" s="1"/>
  <c r="L419" i="90"/>
  <c r="J420" i="90"/>
  <c r="K420" i="90"/>
  <c r="L420" i="90"/>
  <c r="J421" i="90"/>
  <c r="K421" i="90" s="1"/>
  <c r="L421" i="90"/>
  <c r="J422" i="90"/>
  <c r="K422" i="90" s="1"/>
  <c r="L422" i="90"/>
  <c r="J423" i="90"/>
  <c r="K423" i="90" s="1"/>
  <c r="L423" i="90"/>
  <c r="J424" i="90"/>
  <c r="K424" i="90" s="1"/>
  <c r="L424" i="90"/>
  <c r="J425" i="90"/>
  <c r="K425" i="90" s="1"/>
  <c r="L425" i="90"/>
  <c r="J426" i="90"/>
  <c r="K426" i="90"/>
  <c r="L426" i="90"/>
  <c r="J427" i="90"/>
  <c r="K427" i="90" s="1"/>
  <c r="L427" i="90"/>
  <c r="J428" i="90"/>
  <c r="K428" i="90" s="1"/>
  <c r="L428" i="90"/>
  <c r="J429" i="90"/>
  <c r="K429" i="90"/>
  <c r="L429" i="90"/>
  <c r="J430" i="90"/>
  <c r="K430" i="90"/>
  <c r="L430" i="90"/>
  <c r="J431" i="90"/>
  <c r="K431" i="90" s="1"/>
  <c r="L431" i="90"/>
  <c r="J432" i="90"/>
  <c r="K432" i="90"/>
  <c r="L432" i="90"/>
  <c r="J433" i="90"/>
  <c r="K433" i="90"/>
  <c r="L433" i="90"/>
  <c r="J434" i="90"/>
  <c r="K434" i="90" s="1"/>
  <c r="L434" i="90"/>
  <c r="J435" i="90"/>
  <c r="K435" i="90" s="1"/>
  <c r="L435" i="90"/>
  <c r="J436" i="90"/>
  <c r="K436" i="90"/>
  <c r="L436" i="90"/>
  <c r="J437" i="90"/>
  <c r="K437" i="90" s="1"/>
  <c r="L437" i="90"/>
  <c r="J438" i="90"/>
  <c r="K438" i="90" s="1"/>
  <c r="L438" i="90"/>
  <c r="J439" i="90"/>
  <c r="K439" i="90" s="1"/>
  <c r="L439" i="90"/>
  <c r="J440" i="90"/>
  <c r="K440" i="90" s="1"/>
  <c r="L440" i="90"/>
  <c r="J441" i="90"/>
  <c r="K441" i="90" s="1"/>
  <c r="L441" i="90"/>
  <c r="J442" i="90"/>
  <c r="K442" i="90"/>
  <c r="L442" i="90"/>
  <c r="J443" i="90"/>
  <c r="K443" i="90" s="1"/>
  <c r="L443" i="90"/>
  <c r="J444" i="90"/>
  <c r="K444" i="90" s="1"/>
  <c r="L444" i="90"/>
  <c r="J445" i="90"/>
  <c r="K445" i="90"/>
  <c r="L445" i="90"/>
  <c r="J446" i="90"/>
  <c r="K446" i="90"/>
  <c r="L446" i="90"/>
  <c r="J447" i="90"/>
  <c r="K447" i="90" s="1"/>
  <c r="L447" i="90"/>
  <c r="J448" i="90"/>
  <c r="K448" i="90"/>
  <c r="L448" i="90"/>
  <c r="J449" i="90"/>
  <c r="K449" i="90"/>
  <c r="L449" i="90"/>
  <c r="J450" i="90"/>
  <c r="K450" i="90" s="1"/>
  <c r="L450" i="90"/>
  <c r="J451" i="90"/>
  <c r="K451" i="90" s="1"/>
  <c r="L451" i="90"/>
  <c r="J452" i="90"/>
  <c r="K452" i="90"/>
  <c r="L452" i="90"/>
  <c r="J453" i="90"/>
  <c r="K453" i="90" s="1"/>
  <c r="L453" i="90"/>
  <c r="J454" i="90"/>
  <c r="K454" i="90" s="1"/>
  <c r="L454" i="90"/>
  <c r="J455" i="90"/>
  <c r="K455" i="90" s="1"/>
  <c r="L455" i="90"/>
  <c r="J456" i="90"/>
  <c r="K456" i="90" s="1"/>
  <c r="L456" i="90"/>
  <c r="J457" i="90"/>
  <c r="K457" i="90" s="1"/>
  <c r="L457" i="90"/>
  <c r="J38" i="90"/>
  <c r="K38" i="90" s="1"/>
  <c r="L38" i="90"/>
  <c r="G34" i="90"/>
  <c r="G33" i="90"/>
  <c r="T455" i="90" l="1"/>
  <c r="U452" i="90"/>
  <c r="T452" i="90"/>
  <c r="T449" i="90"/>
  <c r="U449" i="90"/>
  <c r="T433" i="90"/>
  <c r="U430" i="90"/>
  <c r="T430" i="90"/>
  <c r="T414" i="90"/>
  <c r="T407" i="90"/>
  <c r="U407" i="90"/>
  <c r="T404" i="90"/>
  <c r="U404" i="90"/>
  <c r="T391" i="90"/>
  <c r="T388" i="90"/>
  <c r="U388" i="90"/>
  <c r="T350" i="90"/>
  <c r="U326" i="90"/>
  <c r="T326" i="90"/>
  <c r="T303" i="90"/>
  <c r="U303" i="90"/>
  <c r="U263" i="90"/>
  <c r="T263" i="90"/>
  <c r="U251" i="90"/>
  <c r="T251" i="90"/>
  <c r="T244" i="90"/>
  <c r="T214" i="90"/>
  <c r="U214" i="90"/>
  <c r="T199" i="90"/>
  <c r="U199" i="90"/>
  <c r="T190" i="90"/>
  <c r="U190" i="90"/>
  <c r="T177" i="90"/>
  <c r="U177" i="90"/>
  <c r="T168" i="90"/>
  <c r="U168" i="90"/>
  <c r="T135" i="90"/>
  <c r="U135" i="90"/>
  <c r="T123" i="90"/>
  <c r="U123" i="90"/>
  <c r="T113" i="90"/>
  <c r="U113" i="90"/>
  <c r="T59" i="90"/>
  <c r="U59" i="90"/>
  <c r="T469" i="90"/>
  <c r="U469" i="90"/>
  <c r="T466" i="90"/>
  <c r="U466" i="90"/>
  <c r="T487" i="90"/>
  <c r="U487" i="90"/>
  <c r="T481" i="90"/>
  <c r="U481" i="90"/>
  <c r="T477" i="90"/>
  <c r="T471" i="90"/>
  <c r="U471" i="90"/>
  <c r="T427" i="90"/>
  <c r="U427" i="90"/>
  <c r="U421" i="90"/>
  <c r="T421" i="90"/>
  <c r="T411" i="90"/>
  <c r="T395" i="90"/>
  <c r="U395" i="90"/>
  <c r="T392" i="90"/>
  <c r="U389" i="90"/>
  <c r="T389" i="90"/>
  <c r="T386" i="90"/>
  <c r="U386" i="90"/>
  <c r="T379" i="90"/>
  <c r="U379" i="90"/>
  <c r="T376" i="90"/>
  <c r="U376" i="90"/>
  <c r="T373" i="90"/>
  <c r="T370" i="90"/>
  <c r="T363" i="90"/>
  <c r="U363" i="90"/>
  <c r="T360" i="90"/>
  <c r="U360" i="90"/>
  <c r="T357" i="90"/>
  <c r="U357" i="90"/>
  <c r="U354" i="90"/>
  <c r="T354" i="90"/>
  <c r="T347" i="90"/>
  <c r="U347" i="90"/>
  <c r="T344" i="90"/>
  <c r="U344" i="90"/>
  <c r="T341" i="90"/>
  <c r="U341" i="90"/>
  <c r="U338" i="90"/>
  <c r="T338" i="90"/>
  <c r="T333" i="90"/>
  <c r="U333" i="90"/>
  <c r="T330" i="90"/>
  <c r="T327" i="90"/>
  <c r="U318" i="90"/>
  <c r="T318" i="90"/>
  <c r="T312" i="90"/>
  <c r="U312" i="90"/>
  <c r="T309" i="90"/>
  <c r="T306" i="90"/>
  <c r="T300" i="90"/>
  <c r="U300" i="90"/>
  <c r="T297" i="90"/>
  <c r="U297" i="90"/>
  <c r="U294" i="90"/>
  <c r="T294" i="90"/>
  <c r="T291" i="90"/>
  <c r="U291" i="90"/>
  <c r="T288" i="90"/>
  <c r="T285" i="90"/>
  <c r="U282" i="90"/>
  <c r="T282" i="90"/>
  <c r="U279" i="90"/>
  <c r="T279" i="90"/>
  <c r="T270" i="90"/>
  <c r="U270" i="90"/>
  <c r="T267" i="90"/>
  <c r="T260" i="90"/>
  <c r="U260" i="90"/>
  <c r="T257" i="90"/>
  <c r="U257" i="90"/>
  <c r="U255" i="90"/>
  <c r="T255" i="90"/>
  <c r="T248" i="90"/>
  <c r="U248" i="90"/>
  <c r="T245" i="90"/>
  <c r="T242" i="90"/>
  <c r="U242" i="90"/>
  <c r="T236" i="90"/>
  <c r="U236" i="90"/>
  <c r="T233" i="90"/>
  <c r="U233" i="90"/>
  <c r="T230" i="90"/>
  <c r="U230" i="90"/>
  <c r="T227" i="90"/>
  <c r="U227" i="90"/>
  <c r="T224" i="90"/>
  <c r="T221" i="90"/>
  <c r="U221" i="90"/>
  <c r="T218" i="90"/>
  <c r="U218" i="90"/>
  <c r="T215" i="90"/>
  <c r="U215" i="90"/>
  <c r="T206" i="90"/>
  <c r="U206" i="90"/>
  <c r="T203" i="90"/>
  <c r="T196" i="90"/>
  <c r="U196" i="90"/>
  <c r="T193" i="90"/>
  <c r="U193" i="90"/>
  <c r="T191" i="90"/>
  <c r="U191" i="90"/>
  <c r="T184" i="90"/>
  <c r="T181" i="90"/>
  <c r="T178" i="90"/>
  <c r="U178" i="90"/>
  <c r="T172" i="90"/>
  <c r="U172" i="90"/>
  <c r="T169" i="90"/>
  <c r="U169" i="90"/>
  <c r="T166" i="90"/>
  <c r="U166" i="90"/>
  <c r="T163" i="90"/>
  <c r="T160" i="90"/>
  <c r="T157" i="90"/>
  <c r="U157" i="90"/>
  <c r="T154" i="90"/>
  <c r="U154" i="90"/>
  <c r="T151" i="90"/>
  <c r="U151" i="90"/>
  <c r="T142" i="90"/>
  <c r="T139" i="90"/>
  <c r="T132" i="90"/>
  <c r="U132" i="90"/>
  <c r="T129" i="90"/>
  <c r="U129" i="90"/>
  <c r="T127" i="90"/>
  <c r="U127" i="90"/>
  <c r="T120" i="90"/>
  <c r="T117" i="90"/>
  <c r="T114" i="90"/>
  <c r="U114" i="90"/>
  <c r="T108" i="90"/>
  <c r="U108" i="90"/>
  <c r="T105" i="90"/>
  <c r="U105" i="90"/>
  <c r="T102" i="90"/>
  <c r="U102" i="90"/>
  <c r="T99" i="90"/>
  <c r="T96" i="90"/>
  <c r="T93" i="90"/>
  <c r="U93" i="90"/>
  <c r="T90" i="90"/>
  <c r="U90" i="90"/>
  <c r="T87" i="90"/>
  <c r="U87" i="90"/>
  <c r="T78" i="90"/>
  <c r="T75" i="90"/>
  <c r="T68" i="90"/>
  <c r="U68" i="90"/>
  <c r="T65" i="90"/>
  <c r="U65" i="90"/>
  <c r="T63" i="90"/>
  <c r="U63" i="90"/>
  <c r="T56" i="90"/>
  <c r="T53" i="90"/>
  <c r="U53" i="90"/>
  <c r="T50" i="90"/>
  <c r="U50" i="90"/>
  <c r="T44" i="90"/>
  <c r="U44" i="90"/>
  <c r="P41" i="90"/>
  <c r="T41" i="90"/>
  <c r="U41" i="90"/>
  <c r="U470" i="90"/>
  <c r="T470" i="90"/>
  <c r="T467" i="90"/>
  <c r="U467" i="90"/>
  <c r="U464" i="90"/>
  <c r="T464" i="90"/>
  <c r="T461" i="90"/>
  <c r="U461" i="90"/>
  <c r="T458" i="90"/>
  <c r="U458" i="90"/>
  <c r="T497" i="90"/>
  <c r="T496" i="90"/>
  <c r="T495" i="90"/>
  <c r="T494" i="90"/>
  <c r="U494" i="90"/>
  <c r="T493" i="90"/>
  <c r="U493" i="90"/>
  <c r="U492" i="90"/>
  <c r="T492" i="90"/>
  <c r="T491" i="90"/>
  <c r="U491" i="90"/>
  <c r="U490" i="90"/>
  <c r="T490" i="90"/>
  <c r="U489" i="90"/>
  <c r="T489" i="90"/>
  <c r="U488" i="90"/>
  <c r="T488" i="90"/>
  <c r="T499" i="90"/>
  <c r="T498" i="90"/>
  <c r="T38" i="90"/>
  <c r="U38" i="90"/>
  <c r="T446" i="90"/>
  <c r="U446" i="90"/>
  <c r="U417" i="90"/>
  <c r="T417" i="90"/>
  <c r="U401" i="90"/>
  <c r="T401" i="90"/>
  <c r="U385" i="90"/>
  <c r="T385" i="90"/>
  <c r="T337" i="90"/>
  <c r="U337" i="90"/>
  <c r="T332" i="90"/>
  <c r="U332" i="90"/>
  <c r="T329" i="90"/>
  <c r="U320" i="90"/>
  <c r="T320" i="90"/>
  <c r="T315" i="90"/>
  <c r="U315" i="90"/>
  <c r="T308" i="90"/>
  <c r="T305" i="90"/>
  <c r="U305" i="90"/>
  <c r="T296" i="90"/>
  <c r="U296" i="90"/>
  <c r="T293" i="90"/>
  <c r="U293" i="90"/>
  <c r="U290" i="90"/>
  <c r="T290" i="90"/>
  <c r="T254" i="90"/>
  <c r="U254" i="90"/>
  <c r="T241" i="90"/>
  <c r="U241" i="90"/>
  <c r="T211" i="90"/>
  <c r="U211" i="90"/>
  <c r="T202" i="90"/>
  <c r="T187" i="90"/>
  <c r="U187" i="90"/>
  <c r="T156" i="90"/>
  <c r="U156" i="90"/>
  <c r="T153" i="90"/>
  <c r="U153" i="90"/>
  <c r="T144" i="90"/>
  <c r="U144" i="90"/>
  <c r="T141" i="90"/>
  <c r="T104" i="90"/>
  <c r="U104" i="90"/>
  <c r="T101" i="90"/>
  <c r="U101" i="90"/>
  <c r="T98" i="90"/>
  <c r="T92" i="90"/>
  <c r="U92" i="90"/>
  <c r="T89" i="90"/>
  <c r="U89" i="90"/>
  <c r="T86" i="90"/>
  <c r="U86" i="90"/>
  <c r="T83" i="90"/>
  <c r="U83" i="90"/>
  <c r="T80" i="90"/>
  <c r="U80" i="90"/>
  <c r="T77" i="90"/>
  <c r="T74" i="90"/>
  <c r="U74" i="90"/>
  <c r="T71" i="90"/>
  <c r="U71" i="90"/>
  <c r="T62" i="90"/>
  <c r="U62" i="90"/>
  <c r="T49" i="90"/>
  <c r="U49" i="90"/>
  <c r="T40" i="90"/>
  <c r="U40" i="90"/>
  <c r="U460" i="90"/>
  <c r="T460" i="90"/>
  <c r="T485" i="90"/>
  <c r="U485" i="90"/>
  <c r="T479" i="90"/>
  <c r="U479" i="90"/>
  <c r="T473" i="90"/>
  <c r="U473" i="90"/>
  <c r="T453" i="90"/>
  <c r="T443" i="90"/>
  <c r="U443" i="90"/>
  <c r="U440" i="90"/>
  <c r="T440" i="90"/>
  <c r="U437" i="90"/>
  <c r="T437" i="90"/>
  <c r="T434" i="90"/>
  <c r="T424" i="90"/>
  <c r="U424" i="90"/>
  <c r="U418" i="90"/>
  <c r="T418" i="90"/>
  <c r="T408" i="90"/>
  <c r="U408" i="90"/>
  <c r="U405" i="90"/>
  <c r="T405" i="90"/>
  <c r="T402" i="90"/>
  <c r="U402" i="90"/>
  <c r="T457" i="90"/>
  <c r="T454" i="90"/>
  <c r="T447" i="90"/>
  <c r="U447" i="90"/>
  <c r="U444" i="90"/>
  <c r="T444" i="90"/>
  <c r="U441" i="90"/>
  <c r="T441" i="90"/>
  <c r="U438" i="90"/>
  <c r="T438" i="90"/>
  <c r="T431" i="90"/>
  <c r="U431" i="90"/>
  <c r="T428" i="90"/>
  <c r="U428" i="90"/>
  <c r="U425" i="90"/>
  <c r="T425" i="90"/>
  <c r="U422" i="90"/>
  <c r="T422" i="90"/>
  <c r="T415" i="90"/>
  <c r="T412" i="90"/>
  <c r="U409" i="90"/>
  <c r="T409" i="90"/>
  <c r="U406" i="90"/>
  <c r="T406" i="90"/>
  <c r="T399" i="90"/>
  <c r="U399" i="90"/>
  <c r="T396" i="90"/>
  <c r="U396" i="90"/>
  <c r="T393" i="90"/>
  <c r="T390" i="90"/>
  <c r="T383" i="90"/>
  <c r="U383" i="90"/>
  <c r="T380" i="90"/>
  <c r="U380" i="90"/>
  <c r="U377" i="90"/>
  <c r="T377" i="90"/>
  <c r="U374" i="90"/>
  <c r="T374" i="90"/>
  <c r="T367" i="90"/>
  <c r="U367" i="90"/>
  <c r="U364" i="90"/>
  <c r="T364" i="90"/>
  <c r="T361" i="90"/>
  <c r="U361" i="90"/>
  <c r="U358" i="90"/>
  <c r="T358" i="90"/>
  <c r="T351" i="90"/>
  <c r="T348" i="90"/>
  <c r="T345" i="90"/>
  <c r="U345" i="90"/>
  <c r="U342" i="90"/>
  <c r="T342" i="90"/>
  <c r="T339" i="90"/>
  <c r="U339" i="90"/>
  <c r="U336" i="90"/>
  <c r="T336" i="90"/>
  <c r="T331" i="90"/>
  <c r="T324" i="90"/>
  <c r="U324" i="90"/>
  <c r="T321" i="90"/>
  <c r="U321" i="90"/>
  <c r="T319" i="90"/>
  <c r="U319" i="90"/>
  <c r="U316" i="90"/>
  <c r="T316" i="90"/>
  <c r="T313" i="90"/>
  <c r="U313" i="90"/>
  <c r="T310" i="90"/>
  <c r="T307" i="90"/>
  <c r="U304" i="90"/>
  <c r="T304" i="90"/>
  <c r="T301" i="90"/>
  <c r="U301" i="90"/>
  <c r="U298" i="90"/>
  <c r="T298" i="90"/>
  <c r="U295" i="90"/>
  <c r="T295" i="90"/>
  <c r="T286" i="90"/>
  <c r="T283" i="90"/>
  <c r="U283" i="90"/>
  <c r="T276" i="90"/>
  <c r="U276" i="90"/>
  <c r="T273" i="90"/>
  <c r="U273" i="90"/>
  <c r="T271" i="90"/>
  <c r="U271" i="90"/>
  <c r="T264" i="90"/>
  <c r="T261" i="90"/>
  <c r="U261" i="90"/>
  <c r="T258" i="90"/>
  <c r="U258" i="90"/>
  <c r="T252" i="90"/>
  <c r="U252" i="90"/>
  <c r="T249" i="90"/>
  <c r="U249" i="90"/>
  <c r="T246" i="90"/>
  <c r="T243" i="90"/>
  <c r="T240" i="90"/>
  <c r="U240" i="90"/>
  <c r="T237" i="90"/>
  <c r="U237" i="90"/>
  <c r="T234" i="90"/>
  <c r="U234" i="90"/>
  <c r="U231" i="90"/>
  <c r="T231" i="90"/>
  <c r="T222" i="90"/>
  <c r="T219" i="90"/>
  <c r="U219" i="90"/>
  <c r="T212" i="90"/>
  <c r="U212" i="90"/>
  <c r="T209" i="90"/>
  <c r="U209" i="90"/>
  <c r="T207" i="90"/>
  <c r="U207" i="90"/>
  <c r="T200" i="90"/>
  <c r="U200" i="90"/>
  <c r="T197" i="90"/>
  <c r="U197" i="90"/>
  <c r="T194" i="90"/>
  <c r="U194" i="90"/>
  <c r="T188" i="90"/>
  <c r="U188" i="90"/>
  <c r="T185" i="90"/>
  <c r="U185" i="90"/>
  <c r="T182" i="90"/>
  <c r="T179" i="90"/>
  <c r="U179" i="90"/>
  <c r="T176" i="90"/>
  <c r="U176" i="90"/>
  <c r="T173" i="90"/>
  <c r="U173" i="90"/>
  <c r="T170" i="90"/>
  <c r="U170" i="90"/>
  <c r="T167" i="90"/>
  <c r="U167" i="90"/>
  <c r="T158" i="90"/>
  <c r="U158" i="90"/>
  <c r="T155" i="90"/>
  <c r="U155" i="90"/>
  <c r="T148" i="90"/>
  <c r="U148" i="90"/>
  <c r="U145" i="90"/>
  <c r="T145" i="90"/>
  <c r="T143" i="90"/>
  <c r="U143" i="90"/>
  <c r="T136" i="90"/>
  <c r="U136" i="90"/>
  <c r="T133" i="90"/>
  <c r="U133" i="90"/>
  <c r="T130" i="90"/>
  <c r="U130" i="90"/>
  <c r="T124" i="90"/>
  <c r="U124" i="90"/>
  <c r="T121" i="90"/>
  <c r="T118" i="90"/>
  <c r="T115" i="90"/>
  <c r="U115" i="90"/>
  <c r="T112" i="90"/>
  <c r="U112" i="90"/>
  <c r="T109" i="90"/>
  <c r="U109" i="90"/>
  <c r="T106" i="90"/>
  <c r="U106" i="90"/>
  <c r="T103" i="90"/>
  <c r="U103" i="90"/>
  <c r="T94" i="90"/>
  <c r="U94" i="90"/>
  <c r="T91" i="90"/>
  <c r="U91" i="90"/>
  <c r="T84" i="90"/>
  <c r="U84" i="90"/>
  <c r="T81" i="90"/>
  <c r="U81" i="90"/>
  <c r="T79" i="90"/>
  <c r="T72" i="90"/>
  <c r="U72" i="90"/>
  <c r="T69" i="90"/>
  <c r="U69" i="90"/>
  <c r="T66" i="90"/>
  <c r="U66" i="90"/>
  <c r="T60" i="90"/>
  <c r="U60" i="90"/>
  <c r="T57" i="90"/>
  <c r="T54" i="90"/>
  <c r="T51" i="90"/>
  <c r="U51" i="90"/>
  <c r="T48" i="90"/>
  <c r="U48" i="90"/>
  <c r="T45" i="90"/>
  <c r="U45" i="90"/>
  <c r="T42" i="90"/>
  <c r="U42" i="90"/>
  <c r="T39" i="90"/>
  <c r="U39" i="90"/>
  <c r="T462" i="90"/>
  <c r="U462" i="90"/>
  <c r="T459" i="90"/>
  <c r="U459" i="90"/>
  <c r="T486" i="90"/>
  <c r="U486" i="90"/>
  <c r="U484" i="90"/>
  <c r="T484" i="90"/>
  <c r="T482" i="90"/>
  <c r="U482" i="90"/>
  <c r="U480" i="90"/>
  <c r="T480" i="90"/>
  <c r="T478" i="90"/>
  <c r="T476" i="90"/>
  <c r="T474" i="90"/>
  <c r="U472" i="90"/>
  <c r="T472" i="90"/>
  <c r="T439" i="90"/>
  <c r="U439" i="90"/>
  <c r="T436" i="90"/>
  <c r="T423" i="90"/>
  <c r="U423" i="90"/>
  <c r="T420" i="90"/>
  <c r="U420" i="90"/>
  <c r="U398" i="90"/>
  <c r="T398" i="90"/>
  <c r="U382" i="90"/>
  <c r="T382" i="90"/>
  <c r="T375" i="90"/>
  <c r="U375" i="90"/>
  <c r="T372" i="90"/>
  <c r="T369" i="90"/>
  <c r="U366" i="90"/>
  <c r="T366" i="90"/>
  <c r="U359" i="90"/>
  <c r="T359" i="90"/>
  <c r="T356" i="90"/>
  <c r="U356" i="90"/>
  <c r="T353" i="90"/>
  <c r="U353" i="90"/>
  <c r="T340" i="90"/>
  <c r="U340" i="90"/>
  <c r="T335" i="90"/>
  <c r="U335" i="90"/>
  <c r="U323" i="90"/>
  <c r="T323" i="90"/>
  <c r="T284" i="90"/>
  <c r="U284" i="90"/>
  <c r="T281" i="90"/>
  <c r="U281" i="90"/>
  <c r="U278" i="90"/>
  <c r="T278" i="90"/>
  <c r="T275" i="90"/>
  <c r="U275" i="90"/>
  <c r="U272" i="90"/>
  <c r="T272" i="90"/>
  <c r="T269" i="90"/>
  <c r="U269" i="90"/>
  <c r="T266" i="90"/>
  <c r="U239" i="90"/>
  <c r="T239" i="90"/>
  <c r="T232" i="90"/>
  <c r="U232" i="90"/>
  <c r="T229" i="90"/>
  <c r="U229" i="90"/>
  <c r="T226" i="90"/>
  <c r="T220" i="90"/>
  <c r="U220" i="90"/>
  <c r="T217" i="90"/>
  <c r="U217" i="90"/>
  <c r="T208" i="90"/>
  <c r="U208" i="90"/>
  <c r="T205" i="90"/>
  <c r="T180" i="90"/>
  <c r="T175" i="90"/>
  <c r="U175" i="90"/>
  <c r="T165" i="90"/>
  <c r="U165" i="90"/>
  <c r="T162" i="90"/>
  <c r="T150" i="90"/>
  <c r="U150" i="90"/>
  <c r="T147" i="90"/>
  <c r="U147" i="90"/>
  <c r="T138" i="90"/>
  <c r="T126" i="90"/>
  <c r="U126" i="90"/>
  <c r="T116" i="90"/>
  <c r="U116" i="90"/>
  <c r="T111" i="90"/>
  <c r="U111" i="90"/>
  <c r="T52" i="90"/>
  <c r="U52" i="90"/>
  <c r="T47" i="90"/>
  <c r="U47" i="90"/>
  <c r="T483" i="90"/>
  <c r="U483" i="90"/>
  <c r="T475" i="90"/>
  <c r="T456" i="90"/>
  <c r="T450" i="90"/>
  <c r="U450" i="90"/>
  <c r="T451" i="90"/>
  <c r="U451" i="90"/>
  <c r="U448" i="90"/>
  <c r="T448" i="90"/>
  <c r="T445" i="90"/>
  <c r="U445" i="90"/>
  <c r="U442" i="90"/>
  <c r="T442" i="90"/>
  <c r="T435" i="90"/>
  <c r="T432" i="90"/>
  <c r="U429" i="90"/>
  <c r="T429" i="90"/>
  <c r="T426" i="90"/>
  <c r="U426" i="90"/>
  <c r="T419" i="90"/>
  <c r="U419" i="90"/>
  <c r="T416" i="90"/>
  <c r="U416" i="90"/>
  <c r="T413" i="90"/>
  <c r="U410" i="90"/>
  <c r="T410" i="90"/>
  <c r="T403" i="90"/>
  <c r="U403" i="90"/>
  <c r="T400" i="90"/>
  <c r="U400" i="90"/>
  <c r="U397" i="90"/>
  <c r="T397" i="90"/>
  <c r="T394" i="90"/>
  <c r="T387" i="90"/>
  <c r="U387" i="90"/>
  <c r="T384" i="90"/>
  <c r="U384" i="90"/>
  <c r="U381" i="90"/>
  <c r="T381" i="90"/>
  <c r="T378" i="90"/>
  <c r="U378" i="90"/>
  <c r="T371" i="90"/>
  <c r="T368" i="90"/>
  <c r="U368" i="90"/>
  <c r="T365" i="90"/>
  <c r="U365" i="90"/>
  <c r="U362" i="90"/>
  <c r="T362" i="90"/>
  <c r="U355" i="90"/>
  <c r="T355" i="90"/>
  <c r="T352" i="90"/>
  <c r="T349" i="90"/>
  <c r="U346" i="90"/>
  <c r="T346" i="90"/>
  <c r="U343" i="90"/>
  <c r="T343" i="90"/>
  <c r="U334" i="90"/>
  <c r="T334" i="90"/>
  <c r="T328" i="90"/>
  <c r="T325" i="90"/>
  <c r="U325" i="90"/>
  <c r="U322" i="90"/>
  <c r="T322" i="90"/>
  <c r="T317" i="90"/>
  <c r="U317" i="90"/>
  <c r="U314" i="90"/>
  <c r="T314" i="90"/>
  <c r="U311" i="90"/>
  <c r="T311" i="90"/>
  <c r="U302" i="90"/>
  <c r="T302" i="90"/>
  <c r="T299" i="90"/>
  <c r="U299" i="90"/>
  <c r="T292" i="90"/>
  <c r="U292" i="90"/>
  <c r="T289" i="90"/>
  <c r="T287" i="90"/>
  <c r="T280" i="90"/>
  <c r="U280" i="90"/>
  <c r="T277" i="90"/>
  <c r="U277" i="90"/>
  <c r="U274" i="90"/>
  <c r="T274" i="90"/>
  <c r="T268" i="90"/>
  <c r="T265" i="90"/>
  <c r="T262" i="90"/>
  <c r="U262" i="90"/>
  <c r="U259" i="90"/>
  <c r="T259" i="90"/>
  <c r="T256" i="90"/>
  <c r="U256" i="90"/>
  <c r="T253" i="90"/>
  <c r="U253" i="90"/>
  <c r="T250" i="90"/>
  <c r="U250" i="90"/>
  <c r="T247" i="90"/>
  <c r="T238" i="90"/>
  <c r="U238" i="90"/>
  <c r="U235" i="90"/>
  <c r="T235" i="90"/>
  <c r="T228" i="90"/>
  <c r="U228" i="90"/>
  <c r="T225" i="90"/>
  <c r="T223" i="90"/>
  <c r="T216" i="90"/>
  <c r="U216" i="90"/>
  <c r="T213" i="90"/>
  <c r="U213" i="90"/>
  <c r="T210" i="90"/>
  <c r="U210" i="90"/>
  <c r="T204" i="90"/>
  <c r="T201" i="90"/>
  <c r="T198" i="90"/>
  <c r="U198" i="90"/>
  <c r="T195" i="90"/>
  <c r="U195" i="90"/>
  <c r="T192" i="90"/>
  <c r="U192" i="90"/>
  <c r="T189" i="90"/>
  <c r="U189" i="90"/>
  <c r="T186" i="90"/>
  <c r="U186" i="90"/>
  <c r="T183" i="90"/>
  <c r="T174" i="90"/>
  <c r="U174" i="90"/>
  <c r="T171" i="90"/>
  <c r="U171" i="90"/>
  <c r="T164" i="90"/>
  <c r="U164" i="90"/>
  <c r="T161" i="90"/>
  <c r="T159" i="90"/>
  <c r="T152" i="90"/>
  <c r="U152" i="90"/>
  <c r="U149" i="90"/>
  <c r="T149" i="90"/>
  <c r="T146" i="90"/>
  <c r="U146" i="90"/>
  <c r="T140" i="90"/>
  <c r="T137" i="90"/>
  <c r="U137" i="90"/>
  <c r="T134" i="90"/>
  <c r="U134" i="90"/>
  <c r="T131" i="90"/>
  <c r="U131" i="90"/>
  <c r="T128" i="90"/>
  <c r="U128" i="90"/>
  <c r="T125" i="90"/>
  <c r="U125" i="90"/>
  <c r="T122" i="90"/>
  <c r="U122" i="90"/>
  <c r="T119" i="90"/>
  <c r="T110" i="90"/>
  <c r="U110" i="90"/>
  <c r="T107" i="90"/>
  <c r="U107" i="90"/>
  <c r="T100" i="90"/>
  <c r="T97" i="90"/>
  <c r="T95" i="90"/>
  <c r="U95" i="90"/>
  <c r="T88" i="90"/>
  <c r="U88" i="90"/>
  <c r="T85" i="90"/>
  <c r="U85" i="90"/>
  <c r="T82" i="90"/>
  <c r="U82" i="90"/>
  <c r="T76" i="90"/>
  <c r="T73" i="90"/>
  <c r="U73" i="90"/>
  <c r="T70" i="90"/>
  <c r="U70" i="90"/>
  <c r="T67" i="90"/>
  <c r="U67" i="90"/>
  <c r="T64" i="90"/>
  <c r="U64" i="90"/>
  <c r="T61" i="90"/>
  <c r="U61" i="90"/>
  <c r="T58" i="90"/>
  <c r="T55" i="90"/>
  <c r="T46" i="90"/>
  <c r="U46" i="90"/>
  <c r="T43" i="90"/>
  <c r="U43" i="90"/>
  <c r="U468" i="90"/>
  <c r="T468" i="90"/>
  <c r="T465" i="90"/>
  <c r="U465" i="90"/>
  <c r="T463" i="90"/>
  <c r="U463" i="90"/>
  <c r="R470" i="90"/>
  <c r="N470" i="90"/>
  <c r="P470" i="90"/>
  <c r="O458" i="90"/>
  <c r="R458" i="90"/>
  <c r="S458" i="90" s="1"/>
  <c r="N458" i="90"/>
  <c r="Q458" i="90"/>
  <c r="P458" i="90"/>
  <c r="P497" i="90"/>
  <c r="N497" i="90"/>
  <c r="R497" i="90"/>
  <c r="N496" i="90"/>
  <c r="P496" i="90"/>
  <c r="R496" i="90"/>
  <c r="R495" i="90"/>
  <c r="N495" i="90"/>
  <c r="P495" i="90"/>
  <c r="P494" i="90"/>
  <c r="R494" i="90"/>
  <c r="N494" i="90"/>
  <c r="P493" i="90"/>
  <c r="R493" i="90"/>
  <c r="N493" i="90"/>
  <c r="R492" i="90"/>
  <c r="P492" i="90"/>
  <c r="N492" i="90"/>
  <c r="R491" i="90"/>
  <c r="N491" i="90"/>
  <c r="P491" i="90"/>
  <c r="R490" i="90"/>
  <c r="N490" i="90"/>
  <c r="P490" i="90"/>
  <c r="P489" i="90"/>
  <c r="N489" i="90"/>
  <c r="R489" i="90"/>
  <c r="P488" i="90"/>
  <c r="R488" i="90"/>
  <c r="N488" i="90"/>
  <c r="R498" i="90"/>
  <c r="N498" i="90"/>
  <c r="P498" i="90"/>
  <c r="R459" i="90"/>
  <c r="S459" i="90" s="1"/>
  <c r="N459" i="90"/>
  <c r="P459" i="90"/>
  <c r="P484" i="90"/>
  <c r="N484" i="90"/>
  <c r="R484" i="90"/>
  <c r="R474" i="90"/>
  <c r="N474" i="90"/>
  <c r="P474" i="90"/>
  <c r="R467" i="90"/>
  <c r="N467" i="90"/>
  <c r="P467" i="90"/>
  <c r="R499" i="90"/>
  <c r="N499" i="90"/>
  <c r="P499" i="90"/>
  <c r="R462" i="90"/>
  <c r="N462" i="90"/>
  <c r="P462" i="90"/>
  <c r="R486" i="90"/>
  <c r="N486" i="90"/>
  <c r="P486" i="90"/>
  <c r="R482" i="90"/>
  <c r="N482" i="90"/>
  <c r="P482" i="90"/>
  <c r="P480" i="90"/>
  <c r="R480" i="90"/>
  <c r="S480" i="90" s="1"/>
  <c r="N480" i="90"/>
  <c r="R478" i="90"/>
  <c r="N478" i="90"/>
  <c r="P478" i="90"/>
  <c r="P476" i="90"/>
  <c r="R476" i="90"/>
  <c r="N476" i="90"/>
  <c r="P472" i="90"/>
  <c r="R472" i="90"/>
  <c r="N472" i="90"/>
  <c r="R466" i="90"/>
  <c r="N466" i="90"/>
  <c r="P466" i="90"/>
  <c r="R463" i="90"/>
  <c r="N463" i="90"/>
  <c r="P463" i="90"/>
  <c r="P468" i="90"/>
  <c r="N468" i="90"/>
  <c r="R468" i="90"/>
  <c r="P464" i="90"/>
  <c r="R464" i="90"/>
  <c r="N464" i="90"/>
  <c r="P460" i="90"/>
  <c r="R460" i="90"/>
  <c r="S460" i="90" s="1"/>
  <c r="N460" i="90"/>
  <c r="P469" i="90"/>
  <c r="N469" i="90"/>
  <c r="R469" i="90"/>
  <c r="P465" i="90"/>
  <c r="R465" i="90"/>
  <c r="N465" i="90"/>
  <c r="P461" i="90"/>
  <c r="R461" i="90"/>
  <c r="N461" i="90"/>
  <c r="R487" i="90"/>
  <c r="N487" i="90"/>
  <c r="P487" i="90"/>
  <c r="P485" i="90"/>
  <c r="N485" i="90"/>
  <c r="R485" i="90"/>
  <c r="R483" i="90"/>
  <c r="N483" i="90"/>
  <c r="P483" i="90"/>
  <c r="P481" i="90"/>
  <c r="R481" i="90"/>
  <c r="S481" i="90" s="1"/>
  <c r="N481" i="90"/>
  <c r="R479" i="90"/>
  <c r="S479" i="90" s="1"/>
  <c r="N479" i="90"/>
  <c r="Q479" i="90"/>
  <c r="P479" i="90"/>
  <c r="O479" i="90"/>
  <c r="P477" i="90"/>
  <c r="N477" i="90"/>
  <c r="R477" i="90"/>
  <c r="R475" i="90"/>
  <c r="N475" i="90"/>
  <c r="P475" i="90"/>
  <c r="P473" i="90"/>
  <c r="R473" i="90"/>
  <c r="N473" i="90"/>
  <c r="R471" i="90"/>
  <c r="N471" i="90"/>
  <c r="P471" i="90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13" i="94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13" i="94"/>
  <c r="U14" i="94" l="1"/>
  <c r="V14" i="94" s="1"/>
  <c r="U15" i="94"/>
  <c r="V15" i="94" s="1"/>
  <c r="U16" i="94"/>
  <c r="V16" i="94" s="1"/>
  <c r="U17" i="94"/>
  <c r="V17" i="94" s="1"/>
  <c r="U13" i="94"/>
  <c r="I2" i="94"/>
  <c r="J2" i="94" s="1"/>
  <c r="K2" i="94" s="1"/>
  <c r="H2" i="94"/>
  <c r="Q7" i="94"/>
  <c r="R4" i="94"/>
  <c r="Q4" i="94"/>
  <c r="Q6" i="94"/>
  <c r="Q5" i="94"/>
  <c r="V11" i="94" l="1"/>
  <c r="V13" i="94"/>
  <c r="L2" i="94"/>
  <c r="M2" i="94" s="1"/>
  <c r="N2" i="94" s="1"/>
  <c r="D4" i="94"/>
  <c r="D6" i="94"/>
  <c r="D7" i="94"/>
  <c r="D8" i="94"/>
  <c r="D5" i="94"/>
  <c r="C102" i="94" l="1"/>
  <c r="D102" i="94" s="1"/>
  <c r="C116" i="94"/>
  <c r="D116" i="94" s="1"/>
  <c r="C101" i="94"/>
  <c r="D101" i="94" s="1"/>
  <c r="C109" i="94"/>
  <c r="D109" i="94" s="1"/>
  <c r="C117" i="94"/>
  <c r="D117" i="94" s="1"/>
  <c r="C108" i="94"/>
  <c r="D108" i="94" s="1"/>
  <c r="C114" i="94"/>
  <c r="D114" i="94" s="1"/>
  <c r="C107" i="94"/>
  <c r="D107" i="94" s="1"/>
  <c r="C115" i="94"/>
  <c r="D115" i="94" s="1"/>
  <c r="C100" i="94"/>
  <c r="D100" i="94" s="1"/>
  <c r="C106" i="94"/>
  <c r="D106" i="94" s="1"/>
  <c r="C112" i="94"/>
  <c r="D112" i="94" s="1"/>
  <c r="C99" i="94"/>
  <c r="D99" i="94" s="1"/>
  <c r="C105" i="94"/>
  <c r="D105" i="94" s="1"/>
  <c r="C113" i="94"/>
  <c r="D113" i="94" s="1"/>
  <c r="C98" i="94"/>
  <c r="D98" i="94" s="1"/>
  <c r="C110" i="94"/>
  <c r="D110" i="94" s="1"/>
  <c r="C97" i="94"/>
  <c r="D97" i="94" s="1"/>
  <c r="C111" i="94"/>
  <c r="D111" i="94" s="1"/>
  <c r="C104" i="94"/>
  <c r="D104" i="94" s="1"/>
  <c r="C103" i="94"/>
  <c r="D103" i="94" s="1"/>
  <c r="J5" i="81"/>
  <c r="D95" i="94" l="1"/>
  <c r="E107" i="94" s="1"/>
  <c r="E99" i="94"/>
  <c r="E365" i="92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100" i="94" l="1"/>
  <c r="E98" i="94"/>
  <c r="E109" i="94"/>
  <c r="E103" i="94"/>
  <c r="E115" i="94"/>
  <c r="E108" i="94"/>
  <c r="E104" i="94"/>
  <c r="E117" i="94"/>
  <c r="E112" i="94"/>
  <c r="E105" i="94"/>
  <c r="E106" i="94"/>
  <c r="E113" i="94"/>
  <c r="E102" i="94"/>
  <c r="E110" i="94"/>
  <c r="E116" i="94"/>
  <c r="E97" i="94"/>
  <c r="E101" i="94"/>
  <c r="E111" i="94"/>
  <c r="E114" i="94"/>
  <c r="E323" i="92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S206" i="90" s="1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S397" i="90" s="1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P402" i="90" l="1"/>
  <c r="P306" i="90"/>
  <c r="N198" i="90"/>
  <c r="P198" i="90"/>
  <c r="N66" i="90"/>
  <c r="P66" i="90"/>
  <c r="P432" i="90"/>
  <c r="P360" i="90"/>
  <c r="P288" i="90"/>
  <c r="P204" i="90"/>
  <c r="N204" i="90"/>
  <c r="P96" i="90"/>
  <c r="N96" i="90"/>
  <c r="P443" i="90"/>
  <c r="P441" i="90"/>
  <c r="P429" i="90"/>
  <c r="P405" i="90"/>
  <c r="P381" i="90"/>
  <c r="P452" i="90"/>
  <c r="P440" i="90"/>
  <c r="P428" i="90"/>
  <c r="P416" i="90"/>
  <c r="R416" i="90"/>
  <c r="S416" i="90" s="1"/>
  <c r="P404" i="90"/>
  <c r="P392" i="90"/>
  <c r="P380" i="90"/>
  <c r="P368" i="90"/>
  <c r="P356" i="90"/>
  <c r="P344" i="90"/>
  <c r="P332" i="90"/>
  <c r="O332" i="90"/>
  <c r="R332" i="90"/>
  <c r="S332" i="90" s="1"/>
  <c r="P320" i="90"/>
  <c r="P308" i="90"/>
  <c r="P296" i="90"/>
  <c r="P284" i="90"/>
  <c r="P272" i="90"/>
  <c r="P260" i="90"/>
  <c r="P248" i="90"/>
  <c r="O248" i="90"/>
  <c r="R248" i="90"/>
  <c r="S248" i="90" s="1"/>
  <c r="P236" i="90"/>
  <c r="P224" i="90"/>
  <c r="P212" i="90"/>
  <c r="P200" i="90"/>
  <c r="N200" i="90"/>
  <c r="P188" i="90"/>
  <c r="N188" i="90"/>
  <c r="P176" i="90"/>
  <c r="N176" i="90"/>
  <c r="R164" i="90"/>
  <c r="S164" i="90" s="1"/>
  <c r="P164" i="90"/>
  <c r="N164" i="90"/>
  <c r="P152" i="90"/>
  <c r="N152" i="90"/>
  <c r="P140" i="90"/>
  <c r="N140" i="90"/>
  <c r="P128" i="90"/>
  <c r="N128" i="90"/>
  <c r="P116" i="90"/>
  <c r="N116" i="90"/>
  <c r="P104" i="90"/>
  <c r="N104" i="90"/>
  <c r="P92" i="90"/>
  <c r="N92" i="90"/>
  <c r="R80" i="90"/>
  <c r="S80" i="90" s="1"/>
  <c r="P80" i="90"/>
  <c r="O80" i="90"/>
  <c r="N80" i="90"/>
  <c r="P68" i="90"/>
  <c r="N68" i="90"/>
  <c r="P56" i="90"/>
  <c r="N56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R438" i="90"/>
  <c r="S438" i="90" s="1"/>
  <c r="P438" i="90"/>
  <c r="P420" i="90"/>
  <c r="P384" i="90"/>
  <c r="P324" i="90"/>
  <c r="P252" i="90"/>
  <c r="P216" i="90"/>
  <c r="N216" i="90"/>
  <c r="P132" i="90"/>
  <c r="N132" i="90"/>
  <c r="R439" i="90"/>
  <c r="S439" i="90" s="1"/>
  <c r="R355" i="90"/>
  <c r="S355" i="90" s="1"/>
  <c r="R271" i="90"/>
  <c r="S271" i="90" s="1"/>
  <c r="N199" i="90"/>
  <c r="R187" i="90"/>
  <c r="S187" i="90" s="1"/>
  <c r="N187" i="90"/>
  <c r="N175" i="90"/>
  <c r="N163" i="90"/>
  <c r="N151" i="90"/>
  <c r="N139" i="90"/>
  <c r="N127" i="90"/>
  <c r="N115" i="90"/>
  <c r="R103" i="90"/>
  <c r="S103" i="90" s="1"/>
  <c r="N103" i="90"/>
  <c r="N91" i="90"/>
  <c r="N79" i="90"/>
  <c r="N67" i="90"/>
  <c r="N55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S313" i="90" s="1"/>
  <c r="P318" i="90"/>
  <c r="N78" i="90"/>
  <c r="P78" i="90"/>
  <c r="R311" i="90"/>
  <c r="S311" i="90" s="1"/>
  <c r="P426" i="90"/>
  <c r="R270" i="90"/>
  <c r="S270" i="90" s="1"/>
  <c r="P270" i="90"/>
  <c r="N138" i="90"/>
  <c r="P138" i="90"/>
  <c r="R437" i="90"/>
  <c r="S437" i="90" s="1"/>
  <c r="O437" i="90"/>
  <c r="R353" i="90"/>
  <c r="S353" i="90" s="1"/>
  <c r="O353" i="90"/>
  <c r="R269" i="90"/>
  <c r="S269" i="90" s="1"/>
  <c r="N197" i="90"/>
  <c r="R185" i="90"/>
  <c r="S185" i="90" s="1"/>
  <c r="N185" i="90"/>
  <c r="O185" i="90"/>
  <c r="N173" i="90"/>
  <c r="N161" i="90"/>
  <c r="N149" i="90"/>
  <c r="N137" i="90"/>
  <c r="N125" i="90"/>
  <c r="N113" i="90"/>
  <c r="R101" i="90"/>
  <c r="S101" i="90" s="1"/>
  <c r="Q101" i="90"/>
  <c r="N101" i="90"/>
  <c r="O101" i="90"/>
  <c r="N89" i="90"/>
  <c r="N77" i="90"/>
  <c r="N65" i="90"/>
  <c r="N53" i="90"/>
  <c r="N41" i="90"/>
  <c r="N290" i="90"/>
  <c r="P418" i="90"/>
  <c r="P370" i="90"/>
  <c r="P322" i="90"/>
  <c r="P274" i="90"/>
  <c r="P226" i="90"/>
  <c r="P390" i="90"/>
  <c r="P258" i="90"/>
  <c r="N126" i="90"/>
  <c r="P126" i="90"/>
  <c r="P448" i="90"/>
  <c r="P424" i="90"/>
  <c r="P412" i="90"/>
  <c r="P400" i="90"/>
  <c r="P388" i="90"/>
  <c r="P376" i="90"/>
  <c r="P364" i="90"/>
  <c r="P352" i="90"/>
  <c r="P340" i="90"/>
  <c r="P328" i="90"/>
  <c r="P316" i="90"/>
  <c r="P304" i="90"/>
  <c r="P292" i="90"/>
  <c r="P280" i="90"/>
  <c r="P268" i="90"/>
  <c r="P256" i="90"/>
  <c r="P244" i="90"/>
  <c r="P232" i="90"/>
  <c r="P220" i="90"/>
  <c r="R208" i="90"/>
  <c r="S208" i="90" s="1"/>
  <c r="P208" i="90"/>
  <c r="P196" i="90"/>
  <c r="P184" i="90"/>
  <c r="P172" i="90"/>
  <c r="P160" i="90"/>
  <c r="P148" i="90"/>
  <c r="P136" i="90"/>
  <c r="R124" i="90"/>
  <c r="S124" i="90" s="1"/>
  <c r="P124" i="90"/>
  <c r="P112" i="90"/>
  <c r="P100" i="90"/>
  <c r="P88" i="90"/>
  <c r="P76" i="90"/>
  <c r="P64" i="90"/>
  <c r="P52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P378" i="90"/>
  <c r="P294" i="90"/>
  <c r="N210" i="90"/>
  <c r="P210" i="90"/>
  <c r="N150" i="90"/>
  <c r="P150" i="90"/>
  <c r="N90" i="90"/>
  <c r="P90" i="90"/>
  <c r="P435" i="90"/>
  <c r="P411" i="90"/>
  <c r="P387" i="90"/>
  <c r="P363" i="90"/>
  <c r="P351" i="90"/>
  <c r="P339" i="90"/>
  <c r="P327" i="90"/>
  <c r="P315" i="90"/>
  <c r="P303" i="90"/>
  <c r="R291" i="90"/>
  <c r="S291" i="90" s="1"/>
  <c r="P291" i="90"/>
  <c r="P279" i="90"/>
  <c r="P267" i="90"/>
  <c r="P255" i="90"/>
  <c r="P243" i="90"/>
  <c r="P231" i="90"/>
  <c r="P219" i="90"/>
  <c r="R207" i="90"/>
  <c r="S207" i="90" s="1"/>
  <c r="P207" i="90"/>
  <c r="N195" i="90"/>
  <c r="P195" i="90"/>
  <c r="N183" i="90"/>
  <c r="P183" i="90"/>
  <c r="N171" i="90"/>
  <c r="P171" i="90"/>
  <c r="N159" i="90"/>
  <c r="P159" i="90"/>
  <c r="N147" i="90"/>
  <c r="P147" i="90"/>
  <c r="N135" i="90"/>
  <c r="P135" i="90"/>
  <c r="R123" i="90"/>
  <c r="S123" i="90" s="1"/>
  <c r="N123" i="90"/>
  <c r="P123" i="90"/>
  <c r="N111" i="90"/>
  <c r="P111" i="90"/>
  <c r="N99" i="90"/>
  <c r="P99" i="90"/>
  <c r="N87" i="90"/>
  <c r="P87" i="90"/>
  <c r="N75" i="90"/>
  <c r="P75" i="90"/>
  <c r="N63" i="90"/>
  <c r="P63" i="90"/>
  <c r="N51" i="90"/>
  <c r="P51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S395" i="90" s="1"/>
  <c r="P450" i="90"/>
  <c r="P330" i="90"/>
  <c r="N222" i="90"/>
  <c r="P222" i="90"/>
  <c r="N114" i="90"/>
  <c r="P114" i="90"/>
  <c r="P436" i="90"/>
  <c r="P447" i="90"/>
  <c r="P423" i="90"/>
  <c r="P399" i="90"/>
  <c r="R375" i="90"/>
  <c r="S375" i="90" s="1"/>
  <c r="P375" i="90"/>
  <c r="P446" i="90"/>
  <c r="P434" i="90"/>
  <c r="P422" i="90"/>
  <c r="P410" i="90"/>
  <c r="P398" i="90"/>
  <c r="P386" i="90"/>
  <c r="R374" i="90"/>
  <c r="S374" i="90" s="1"/>
  <c r="P374" i="90"/>
  <c r="O374" i="90"/>
  <c r="P362" i="90"/>
  <c r="P350" i="90"/>
  <c r="P338" i="90"/>
  <c r="P326" i="90"/>
  <c r="P314" i="90"/>
  <c r="P302" i="90"/>
  <c r="R290" i="90"/>
  <c r="S290" i="90" s="1"/>
  <c r="O290" i="90"/>
  <c r="P290" i="90"/>
  <c r="P278" i="90"/>
  <c r="P266" i="90"/>
  <c r="P254" i="90"/>
  <c r="P242" i="90"/>
  <c r="P230" i="90"/>
  <c r="P218" i="90"/>
  <c r="P206" i="90"/>
  <c r="N194" i="90"/>
  <c r="P194" i="90"/>
  <c r="N182" i="90"/>
  <c r="P182" i="90"/>
  <c r="N170" i="90"/>
  <c r="P170" i="90"/>
  <c r="N158" i="90"/>
  <c r="P158" i="90"/>
  <c r="N146" i="90"/>
  <c r="P146" i="90"/>
  <c r="N134" i="90"/>
  <c r="P134" i="90"/>
  <c r="N122" i="90"/>
  <c r="R122" i="90"/>
  <c r="S122" i="90" s="1"/>
  <c r="P122" i="90"/>
  <c r="O122" i="90"/>
  <c r="N110" i="90"/>
  <c r="P110" i="90"/>
  <c r="N98" i="90"/>
  <c r="P98" i="90"/>
  <c r="N86" i="90"/>
  <c r="P86" i="90"/>
  <c r="N74" i="90"/>
  <c r="P74" i="90"/>
  <c r="N62" i="90"/>
  <c r="P62" i="90"/>
  <c r="N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S292" i="90" s="1"/>
  <c r="R354" i="90"/>
  <c r="S354" i="90" s="1"/>
  <c r="P354" i="90"/>
  <c r="P246" i="90"/>
  <c r="R186" i="90"/>
  <c r="S186" i="90" s="1"/>
  <c r="N186" i="90"/>
  <c r="P186" i="90"/>
  <c r="R102" i="90"/>
  <c r="S102" i="90" s="1"/>
  <c r="N102" i="90"/>
  <c r="P102" i="90"/>
  <c r="P457" i="90"/>
  <c r="P445" i="90"/>
  <c r="P433" i="90"/>
  <c r="P421" i="90"/>
  <c r="P409" i="90"/>
  <c r="P397" i="90"/>
  <c r="P385" i="90"/>
  <c r="P373" i="90"/>
  <c r="P361" i="90"/>
  <c r="P349" i="90"/>
  <c r="P337" i="90"/>
  <c r="P325" i="90"/>
  <c r="P313" i="90"/>
  <c r="P301" i="90"/>
  <c r="P289" i="90"/>
  <c r="P277" i="90"/>
  <c r="P265" i="90"/>
  <c r="P253" i="90"/>
  <c r="P241" i="90"/>
  <c r="P229" i="90"/>
  <c r="P217" i="90"/>
  <c r="P205" i="90"/>
  <c r="P193" i="90"/>
  <c r="P181" i="90"/>
  <c r="P169" i="90"/>
  <c r="P157" i="90"/>
  <c r="R145" i="90"/>
  <c r="S145" i="90" s="1"/>
  <c r="P145" i="90"/>
  <c r="P133" i="90"/>
  <c r="P121" i="90"/>
  <c r="P109" i="90"/>
  <c r="P97" i="90"/>
  <c r="P85" i="90"/>
  <c r="P73" i="90"/>
  <c r="R61" i="90"/>
  <c r="S61" i="90" s="1"/>
  <c r="P61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R60" i="90"/>
  <c r="S60" i="90" s="1"/>
  <c r="P60" i="90"/>
  <c r="N60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P366" i="90"/>
  <c r="P282" i="90"/>
  <c r="N174" i="90"/>
  <c r="P174" i="90"/>
  <c r="N42" i="90"/>
  <c r="P42" i="90"/>
  <c r="P444" i="90"/>
  <c r="P372" i="90"/>
  <c r="P300" i="90"/>
  <c r="P240" i="90"/>
  <c r="P180" i="90"/>
  <c r="N180" i="90"/>
  <c r="P108" i="90"/>
  <c r="N108" i="90"/>
  <c r="O38" i="90"/>
  <c r="P38" i="90"/>
  <c r="Q38" i="90"/>
  <c r="P431" i="90"/>
  <c r="P419" i="90"/>
  <c r="P407" i="90"/>
  <c r="P395" i="90"/>
  <c r="O395" i="90"/>
  <c r="P383" i="90"/>
  <c r="P371" i="90"/>
  <c r="P359" i="90"/>
  <c r="P347" i="90"/>
  <c r="P335" i="90"/>
  <c r="P323" i="90"/>
  <c r="P311" i="90"/>
  <c r="O311" i="90"/>
  <c r="P299" i="90"/>
  <c r="P287" i="90"/>
  <c r="P275" i="90"/>
  <c r="P263" i="90"/>
  <c r="P251" i="90"/>
  <c r="P239" i="90"/>
  <c r="O227" i="90"/>
  <c r="P227" i="90"/>
  <c r="P215" i="90"/>
  <c r="P203" i="90"/>
  <c r="P191" i="90"/>
  <c r="P179" i="90"/>
  <c r="P167" i="90"/>
  <c r="P155" i="90"/>
  <c r="R143" i="90"/>
  <c r="S143" i="90" s="1"/>
  <c r="P143" i="90"/>
  <c r="O143" i="90"/>
  <c r="P131" i="90"/>
  <c r="P119" i="90"/>
  <c r="P107" i="90"/>
  <c r="P95" i="90"/>
  <c r="P83" i="90"/>
  <c r="P71" i="90"/>
  <c r="R59" i="90"/>
  <c r="S59" i="90" s="1"/>
  <c r="P59" i="90"/>
  <c r="O59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S376" i="90" s="1"/>
  <c r="P342" i="90"/>
  <c r="P234" i="90"/>
  <c r="N162" i="90"/>
  <c r="P162" i="90"/>
  <c r="N54" i="90"/>
  <c r="P54" i="90"/>
  <c r="P408" i="90"/>
  <c r="P336" i="90"/>
  <c r="P276" i="90"/>
  <c r="P192" i="90"/>
  <c r="N192" i="90"/>
  <c r="P72" i="90"/>
  <c r="N72" i="90"/>
  <c r="P455" i="90"/>
  <c r="R418" i="90"/>
  <c r="S418" i="90" s="1"/>
  <c r="R334" i="90"/>
  <c r="S334" i="90" s="1"/>
  <c r="R250" i="90"/>
  <c r="S250" i="90" s="1"/>
  <c r="N202" i="90"/>
  <c r="N190" i="90"/>
  <c r="N178" i="90"/>
  <c r="R166" i="90"/>
  <c r="S166" i="90" s="1"/>
  <c r="N166" i="90"/>
  <c r="N154" i="90"/>
  <c r="N142" i="90"/>
  <c r="N130" i="90"/>
  <c r="N118" i="90"/>
  <c r="N106" i="90"/>
  <c r="N94" i="90"/>
  <c r="R82" i="90"/>
  <c r="S82" i="90" s="1"/>
  <c r="N82" i="90"/>
  <c r="N70" i="90"/>
  <c r="N58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S229" i="90" s="1"/>
  <c r="P414" i="90"/>
  <c r="P456" i="90"/>
  <c r="P396" i="90"/>
  <c r="R396" i="90"/>
  <c r="S396" i="90" s="1"/>
  <c r="P348" i="90"/>
  <c r="P312" i="90"/>
  <c r="R312" i="90"/>
  <c r="S312" i="90" s="1"/>
  <c r="P264" i="90"/>
  <c r="P228" i="90"/>
  <c r="R228" i="90"/>
  <c r="S228" i="90" s="1"/>
  <c r="N228" i="90"/>
  <c r="P168" i="90"/>
  <c r="N168" i="90"/>
  <c r="P156" i="90"/>
  <c r="N156" i="90"/>
  <c r="R144" i="90"/>
  <c r="S144" i="90" s="1"/>
  <c r="P144" i="90"/>
  <c r="N144" i="90"/>
  <c r="P120" i="90"/>
  <c r="N120" i="90"/>
  <c r="P84" i="90"/>
  <c r="N84" i="90"/>
  <c r="P453" i="90"/>
  <c r="P417" i="90"/>
  <c r="R417" i="90"/>
  <c r="S417" i="90" s="1"/>
  <c r="P393" i="90"/>
  <c r="P369" i="90"/>
  <c r="P357" i="90"/>
  <c r="P345" i="90"/>
  <c r="P333" i="90"/>
  <c r="R333" i="90"/>
  <c r="S333" i="90" s="1"/>
  <c r="P321" i="90"/>
  <c r="P309" i="90"/>
  <c r="P297" i="90"/>
  <c r="P285" i="90"/>
  <c r="P273" i="90"/>
  <c r="P261" i="90"/>
  <c r="P249" i="90"/>
  <c r="R249" i="90"/>
  <c r="S249" i="90" s="1"/>
  <c r="P237" i="90"/>
  <c r="P225" i="90"/>
  <c r="P213" i="90"/>
  <c r="P201" i="90"/>
  <c r="P189" i="90"/>
  <c r="P177" i="90"/>
  <c r="R165" i="90"/>
  <c r="S165" i="90" s="1"/>
  <c r="P165" i="90"/>
  <c r="P153" i="90"/>
  <c r="P141" i="90"/>
  <c r="P129" i="90"/>
  <c r="P117" i="90"/>
  <c r="P105" i="90"/>
  <c r="P93" i="90"/>
  <c r="R81" i="90"/>
  <c r="S81" i="90" s="1"/>
  <c r="P81" i="90"/>
  <c r="P69" i="90"/>
  <c r="P57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S227" i="90" s="1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AA39" i="89" l="1"/>
  <c r="AA43" i="89"/>
  <c r="AA47" i="89"/>
  <c r="AA51" i="89"/>
  <c r="AA55" i="89"/>
  <c r="AA40" i="89"/>
  <c r="AA44" i="89"/>
  <c r="AA48" i="89"/>
  <c r="AA52" i="89"/>
  <c r="AA38" i="89"/>
  <c r="AA50" i="89"/>
  <c r="AA37" i="89"/>
  <c r="AA41" i="89"/>
  <c r="AA45" i="89"/>
  <c r="AA49" i="89"/>
  <c r="AA53" i="89"/>
  <c r="AA42" i="89"/>
  <c r="AA46" i="89"/>
  <c r="AA54" i="89"/>
  <c r="AA36" i="89"/>
  <c r="AE39" i="89"/>
  <c r="AE43" i="89"/>
  <c r="AE47" i="89"/>
  <c r="AE51" i="89"/>
  <c r="AE55" i="89"/>
  <c r="AE38" i="89"/>
  <c r="AE42" i="89"/>
  <c r="AE46" i="89"/>
  <c r="AE54" i="89"/>
  <c r="AE40" i="89"/>
  <c r="AE44" i="89"/>
  <c r="AE48" i="89"/>
  <c r="AE52" i="89"/>
  <c r="AE36" i="89"/>
  <c r="AE37" i="89"/>
  <c r="AE41" i="89"/>
  <c r="AE45" i="89"/>
  <c r="AE49" i="89"/>
  <c r="AE53" i="89"/>
  <c r="AE50" i="89"/>
  <c r="AG37" i="89"/>
  <c r="AG41" i="89"/>
  <c r="AG45" i="89"/>
  <c r="AG49" i="89"/>
  <c r="AG53" i="89"/>
  <c r="AG38" i="89"/>
  <c r="AG42" i="89"/>
  <c r="AG46" i="89"/>
  <c r="AG50" i="89"/>
  <c r="AG54" i="89"/>
  <c r="AG36" i="89"/>
  <c r="AG48" i="89"/>
  <c r="AG39" i="89"/>
  <c r="AG43" i="89"/>
  <c r="AG47" i="89"/>
  <c r="AG51" i="89"/>
  <c r="AG55" i="89"/>
  <c r="AG40" i="89"/>
  <c r="AG44" i="89"/>
  <c r="AG52" i="89"/>
  <c r="Z40" i="89"/>
  <c r="Z44" i="89"/>
  <c r="Z48" i="89"/>
  <c r="Z52" i="89"/>
  <c r="Z36" i="89"/>
  <c r="Z51" i="89"/>
  <c r="Z37" i="89"/>
  <c r="Z41" i="89"/>
  <c r="Z45" i="89"/>
  <c r="Z49" i="89"/>
  <c r="Z53" i="89"/>
  <c r="Z39" i="89"/>
  <c r="Z43" i="89"/>
  <c r="Z47" i="89"/>
  <c r="Z55" i="89"/>
  <c r="Z38" i="89"/>
  <c r="Z42" i="89"/>
  <c r="Z46" i="89"/>
  <c r="Z50" i="89"/>
  <c r="Z54" i="89"/>
  <c r="AF38" i="89"/>
  <c r="AF42" i="89"/>
  <c r="AF46" i="89"/>
  <c r="AF50" i="89"/>
  <c r="AF54" i="89"/>
  <c r="AF49" i="89"/>
  <c r="AF39" i="89"/>
  <c r="AF43" i="89"/>
  <c r="AF47" i="89"/>
  <c r="AF51" i="89"/>
  <c r="AF55" i="89"/>
  <c r="AF41" i="89"/>
  <c r="AF45" i="89"/>
  <c r="AF53" i="89"/>
  <c r="AF40" i="89"/>
  <c r="AF44" i="89"/>
  <c r="AF48" i="89"/>
  <c r="AF52" i="89"/>
  <c r="AF36" i="89"/>
  <c r="AF37" i="89"/>
  <c r="AD40" i="89"/>
  <c r="AD44" i="89"/>
  <c r="AD48" i="89"/>
  <c r="AD52" i="89"/>
  <c r="AD36" i="89"/>
  <c r="AD47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51" i="89"/>
  <c r="AD55" i="89"/>
  <c r="AC37" i="89"/>
  <c r="AC41" i="89"/>
  <c r="AC45" i="89"/>
  <c r="AC49" i="89"/>
  <c r="AC53" i="89"/>
  <c r="AC48" i="89"/>
  <c r="AC52" i="89"/>
  <c r="AC38" i="89"/>
  <c r="AC42" i="89"/>
  <c r="AC46" i="89"/>
  <c r="AC50" i="89"/>
  <c r="AC54" i="89"/>
  <c r="AC36" i="89"/>
  <c r="AC40" i="89"/>
  <c r="AC44" i="89"/>
  <c r="AC39" i="89"/>
  <c r="AC43" i="89"/>
  <c r="AC47" i="89"/>
  <c r="AC51" i="89"/>
  <c r="AC55" i="89"/>
  <c r="AB38" i="89"/>
  <c r="AB42" i="89"/>
  <c r="AB46" i="89"/>
  <c r="AB50" i="89"/>
  <c r="AB54" i="89"/>
  <c r="AB37" i="89"/>
  <c r="AB41" i="89"/>
  <c r="AB45" i="89"/>
  <c r="AB53" i="89"/>
  <c r="AB39" i="89"/>
  <c r="AB43" i="89"/>
  <c r="AB47" i="89"/>
  <c r="AB51" i="89"/>
  <c r="AB55" i="89"/>
  <c r="AB40" i="89"/>
  <c r="AB44" i="89"/>
  <c r="AB48" i="89"/>
  <c r="AB52" i="89"/>
  <c r="AB36" i="89"/>
  <c r="AB49" i="89"/>
  <c r="AH40" i="89"/>
  <c r="AH44" i="89"/>
  <c r="AH48" i="89"/>
  <c r="AH52" i="89"/>
  <c r="AH36" i="89"/>
  <c r="AH39" i="89"/>
  <c r="AH43" i="89"/>
  <c r="AH55" i="89"/>
  <c r="AH37" i="89"/>
  <c r="AH41" i="89"/>
  <c r="AH45" i="89"/>
  <c r="AH49" i="89"/>
  <c r="AH53" i="89"/>
  <c r="AH51" i="89"/>
  <c r="AH38" i="89"/>
  <c r="AH42" i="89"/>
  <c r="AH46" i="89"/>
  <c r="AH50" i="89"/>
  <c r="AH54" i="89"/>
  <c r="AH47" i="89"/>
  <c r="Q206" i="90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U373" i="90" l="1"/>
  <c r="U121" i="90"/>
  <c r="U436" i="90"/>
  <c r="U268" i="90"/>
  <c r="U100" i="90"/>
  <c r="U58" i="90"/>
  <c r="U331" i="90"/>
  <c r="U79" i="90"/>
  <c r="U205" i="90"/>
  <c r="U394" i="90"/>
  <c r="U289" i="90"/>
  <c r="U184" i="90"/>
  <c r="U163" i="90"/>
  <c r="U310" i="90"/>
  <c r="U478" i="90"/>
  <c r="U352" i="90"/>
  <c r="U247" i="90"/>
  <c r="U499" i="90"/>
  <c r="U457" i="90"/>
  <c r="U415" i="90"/>
  <c r="U226" i="90"/>
  <c r="U142" i="90"/>
  <c r="U454" i="90"/>
  <c r="U412" i="90"/>
  <c r="U307" i="90"/>
  <c r="U349" i="90"/>
  <c r="U328" i="90"/>
  <c r="U223" i="90"/>
  <c r="U76" i="90"/>
  <c r="U265" i="90"/>
  <c r="U97" i="90"/>
  <c r="U391" i="90"/>
  <c r="U139" i="90"/>
  <c r="U286" i="90"/>
  <c r="U433" i="90"/>
  <c r="U202" i="90"/>
  <c r="U118" i="90"/>
  <c r="U475" i="90"/>
  <c r="U55" i="90"/>
  <c r="U160" i="90"/>
  <c r="U370" i="90"/>
  <c r="U181" i="90"/>
  <c r="U244" i="90"/>
  <c r="U496" i="90"/>
  <c r="Q488" i="90"/>
  <c r="Q467" i="90"/>
  <c r="Q468" i="90"/>
  <c r="Q489" i="90"/>
  <c r="Q472" i="90"/>
  <c r="Q493" i="90"/>
  <c r="Q499" i="90"/>
  <c r="Q478" i="90"/>
  <c r="Q498" i="90"/>
  <c r="Q477" i="90"/>
  <c r="Q496" i="90"/>
  <c r="Q475" i="90"/>
  <c r="S488" i="90"/>
  <c r="S467" i="90"/>
  <c r="S341" i="90"/>
  <c r="S173" i="90"/>
  <c r="S278" i="90"/>
  <c r="S110" i="90"/>
  <c r="S362" i="90"/>
  <c r="S215" i="90"/>
  <c r="S446" i="90"/>
  <c r="S299" i="90"/>
  <c r="S131" i="90"/>
  <c r="S404" i="90"/>
  <c r="S236" i="90"/>
  <c r="S68" i="90"/>
  <c r="S194" i="90"/>
  <c r="S383" i="90"/>
  <c r="S425" i="90"/>
  <c r="S257" i="90"/>
  <c r="S89" i="90"/>
  <c r="S47" i="90"/>
  <c r="S152" i="90"/>
  <c r="S320" i="90"/>
  <c r="S487" i="90"/>
  <c r="S466" i="90"/>
  <c r="S319" i="90"/>
  <c r="S151" i="90"/>
  <c r="S382" i="90"/>
  <c r="S214" i="90"/>
  <c r="S46" i="90"/>
  <c r="S277" i="90"/>
  <c r="S109" i="90"/>
  <c r="S340" i="90"/>
  <c r="S172" i="90"/>
  <c r="S403" i="90"/>
  <c r="S235" i="90"/>
  <c r="S67" i="90"/>
  <c r="S298" i="90"/>
  <c r="S130" i="90"/>
  <c r="S445" i="90"/>
  <c r="S361" i="90"/>
  <c r="S193" i="90"/>
  <c r="S424" i="90"/>
  <c r="S256" i="90"/>
  <c r="S88" i="90"/>
  <c r="Q482" i="90"/>
  <c r="Q461" i="90"/>
  <c r="S475" i="90"/>
  <c r="S496" i="90"/>
  <c r="S433" i="90"/>
  <c r="S265" i="90"/>
  <c r="S97" i="90"/>
  <c r="S370" i="90"/>
  <c r="S202" i="90"/>
  <c r="S118" i="90"/>
  <c r="S139" i="90"/>
  <c r="S391" i="90"/>
  <c r="S223" i="90"/>
  <c r="S55" i="90"/>
  <c r="S328" i="90"/>
  <c r="S160" i="90"/>
  <c r="S286" i="90"/>
  <c r="S349" i="90"/>
  <c r="S181" i="90"/>
  <c r="S307" i="90"/>
  <c r="S454" i="90"/>
  <c r="S244" i="90"/>
  <c r="S76" i="90"/>
  <c r="S412" i="90"/>
  <c r="S474" i="90"/>
  <c r="S495" i="90"/>
  <c r="S411" i="90"/>
  <c r="S243" i="90"/>
  <c r="S75" i="90"/>
  <c r="S306" i="90"/>
  <c r="S138" i="90"/>
  <c r="S117" i="90"/>
  <c r="S348" i="90"/>
  <c r="S453" i="90"/>
  <c r="S369" i="90"/>
  <c r="S201" i="90"/>
  <c r="S432" i="90"/>
  <c r="S264" i="90"/>
  <c r="S96" i="90"/>
  <c r="S327" i="90"/>
  <c r="S159" i="90"/>
  <c r="S390" i="90"/>
  <c r="S222" i="90"/>
  <c r="S54" i="90"/>
  <c r="S285" i="90"/>
  <c r="S180" i="90"/>
  <c r="S493" i="90"/>
  <c r="S472" i="90"/>
  <c r="S430" i="90"/>
  <c r="S262" i="90"/>
  <c r="S94" i="90"/>
  <c r="S325" i="90"/>
  <c r="S157" i="90"/>
  <c r="S388" i="90"/>
  <c r="S220" i="90"/>
  <c r="S52" i="90"/>
  <c r="S283" i="90"/>
  <c r="S115" i="90"/>
  <c r="S346" i="90"/>
  <c r="S178" i="90"/>
  <c r="S409" i="90"/>
  <c r="S241" i="90"/>
  <c r="S73" i="90"/>
  <c r="S367" i="90"/>
  <c r="S451" i="90"/>
  <c r="S304" i="90"/>
  <c r="S136" i="90"/>
  <c r="S199" i="90"/>
  <c r="S485" i="90"/>
  <c r="S464" i="90"/>
  <c r="S338" i="90"/>
  <c r="S170" i="90"/>
  <c r="S401" i="90"/>
  <c r="S233" i="90"/>
  <c r="S65" i="90"/>
  <c r="S443" i="90"/>
  <c r="S296" i="90"/>
  <c r="S128" i="90"/>
  <c r="S359" i="90"/>
  <c r="S191" i="90"/>
  <c r="S422" i="90"/>
  <c r="S254" i="90"/>
  <c r="S86" i="90"/>
  <c r="S317" i="90"/>
  <c r="S149" i="90"/>
  <c r="S380" i="90"/>
  <c r="S212" i="90"/>
  <c r="S44" i="90"/>
  <c r="S275" i="90"/>
  <c r="S107" i="90"/>
  <c r="U267" i="90"/>
  <c r="U498" i="90"/>
  <c r="U141" i="90"/>
  <c r="U57" i="90"/>
  <c r="U372" i="90"/>
  <c r="U435" i="90"/>
  <c r="U204" i="90"/>
  <c r="U162" i="90"/>
  <c r="U225" i="90"/>
  <c r="U120" i="90"/>
  <c r="U99" i="90"/>
  <c r="U393" i="90"/>
  <c r="U414" i="90"/>
  <c r="U330" i="90"/>
  <c r="U288" i="90"/>
  <c r="U351" i="90"/>
  <c r="U246" i="90"/>
  <c r="U183" i="90"/>
  <c r="U456" i="90"/>
  <c r="U78" i="90"/>
  <c r="U477" i="90"/>
  <c r="U309" i="90"/>
  <c r="Q466" i="90"/>
  <c r="Q487" i="90"/>
  <c r="Q490" i="90"/>
  <c r="Q469" i="90"/>
  <c r="Q494" i="90"/>
  <c r="Q473" i="90"/>
  <c r="Q495" i="90"/>
  <c r="Q474" i="90"/>
  <c r="Q497" i="90"/>
  <c r="Q476" i="90"/>
  <c r="S490" i="90"/>
  <c r="S469" i="90"/>
  <c r="S322" i="90"/>
  <c r="S154" i="90"/>
  <c r="S427" i="90"/>
  <c r="S259" i="90"/>
  <c r="S91" i="90"/>
  <c r="S49" i="90"/>
  <c r="S175" i="90"/>
  <c r="S280" i="90"/>
  <c r="S112" i="90"/>
  <c r="S385" i="90"/>
  <c r="S217" i="90"/>
  <c r="S343" i="90"/>
  <c r="S196" i="90"/>
  <c r="S448" i="90"/>
  <c r="S406" i="90"/>
  <c r="S238" i="90"/>
  <c r="S70" i="90"/>
  <c r="S364" i="90"/>
  <c r="S301" i="90"/>
  <c r="S133" i="90"/>
  <c r="Q460" i="90"/>
  <c r="Q481" i="90"/>
  <c r="S465" i="90"/>
  <c r="S486" i="90"/>
  <c r="S360" i="90"/>
  <c r="S192" i="90"/>
  <c r="S297" i="90"/>
  <c r="S129" i="90"/>
  <c r="S87" i="90"/>
  <c r="S402" i="90"/>
  <c r="S318" i="90"/>
  <c r="S150" i="90"/>
  <c r="S423" i="90"/>
  <c r="S255" i="90"/>
  <c r="S66" i="90"/>
  <c r="S276" i="90"/>
  <c r="S108" i="90"/>
  <c r="S381" i="90"/>
  <c r="S213" i="90"/>
  <c r="S45" i="90"/>
  <c r="S234" i="90"/>
  <c r="S444" i="90"/>
  <c r="S339" i="90"/>
  <c r="S171" i="90"/>
  <c r="U327" i="90"/>
  <c r="U306" i="90"/>
  <c r="U264" i="90"/>
  <c r="U180" i="90"/>
  <c r="U138" i="90"/>
  <c r="U159" i="90"/>
  <c r="U285" i="90"/>
  <c r="U75" i="90"/>
  <c r="U369" i="90"/>
  <c r="U495" i="90"/>
  <c r="U453" i="90"/>
  <c r="U222" i="90"/>
  <c r="U54" i="90"/>
  <c r="U474" i="90"/>
  <c r="U432" i="90"/>
  <c r="U201" i="90"/>
  <c r="U96" i="90"/>
  <c r="U348" i="90"/>
  <c r="U411" i="90"/>
  <c r="U243" i="90"/>
  <c r="U117" i="90"/>
  <c r="U390" i="90"/>
  <c r="Q491" i="90"/>
  <c r="Q470" i="90"/>
  <c r="Q492" i="90"/>
  <c r="Q471" i="90"/>
  <c r="S498" i="90"/>
  <c r="S477" i="90"/>
  <c r="S456" i="90"/>
  <c r="S414" i="90"/>
  <c r="S246" i="90"/>
  <c r="S78" i="90"/>
  <c r="S351" i="90"/>
  <c r="S183" i="90"/>
  <c r="S372" i="90"/>
  <c r="S204" i="90"/>
  <c r="S309" i="90"/>
  <c r="S141" i="90"/>
  <c r="S120" i="90"/>
  <c r="S330" i="90"/>
  <c r="S162" i="90"/>
  <c r="S435" i="90"/>
  <c r="S267" i="90"/>
  <c r="S99" i="90"/>
  <c r="S288" i="90"/>
  <c r="S393" i="90"/>
  <c r="S225" i="90"/>
  <c r="S57" i="90"/>
  <c r="S484" i="90"/>
  <c r="S463" i="90"/>
  <c r="S379" i="90"/>
  <c r="S211" i="90"/>
  <c r="S43" i="90"/>
  <c r="S316" i="90"/>
  <c r="S148" i="90"/>
  <c r="S64" i="90"/>
  <c r="S85" i="90"/>
  <c r="S337" i="90"/>
  <c r="S169" i="90"/>
  <c r="S274" i="90"/>
  <c r="S106" i="90"/>
  <c r="S232" i="90"/>
  <c r="S253" i="90"/>
  <c r="S442" i="90"/>
  <c r="S295" i="90"/>
  <c r="S127" i="90"/>
  <c r="S400" i="90"/>
  <c r="S421" i="90"/>
  <c r="S358" i="90"/>
  <c r="S190" i="90"/>
  <c r="S461" i="90"/>
  <c r="S482" i="90"/>
  <c r="S440" i="90"/>
  <c r="S398" i="90"/>
  <c r="S230" i="90"/>
  <c r="S62" i="90"/>
  <c r="S335" i="90"/>
  <c r="S167" i="90"/>
  <c r="S251" i="90"/>
  <c r="S272" i="90"/>
  <c r="S356" i="90"/>
  <c r="S188" i="90"/>
  <c r="S293" i="90"/>
  <c r="S125" i="90"/>
  <c r="S83" i="90"/>
  <c r="S314" i="90"/>
  <c r="S146" i="90"/>
  <c r="S419" i="90"/>
  <c r="S104" i="90"/>
  <c r="S377" i="90"/>
  <c r="S209" i="90"/>
  <c r="S41" i="90"/>
  <c r="Q484" i="90"/>
  <c r="Q463" i="90"/>
  <c r="U350" i="90"/>
  <c r="U329" i="90"/>
  <c r="U371" i="90"/>
  <c r="U287" i="90"/>
  <c r="U140" i="90"/>
  <c r="U455" i="90"/>
  <c r="U203" i="90"/>
  <c r="U56" i="90"/>
  <c r="U434" i="90"/>
  <c r="U497" i="90"/>
  <c r="U308" i="90"/>
  <c r="U98" i="90"/>
  <c r="U77" i="90"/>
  <c r="U182" i="90"/>
  <c r="U266" i="90"/>
  <c r="U161" i="90"/>
  <c r="U119" i="90"/>
  <c r="U413" i="90"/>
  <c r="U245" i="90"/>
  <c r="U224" i="90"/>
  <c r="U476" i="90"/>
  <c r="U392" i="90"/>
  <c r="S492" i="90"/>
  <c r="S471" i="90"/>
  <c r="S450" i="90"/>
  <c r="S303" i="90"/>
  <c r="S135" i="90"/>
  <c r="S408" i="90"/>
  <c r="S240" i="90"/>
  <c r="S72" i="90"/>
  <c r="S345" i="90"/>
  <c r="S429" i="90"/>
  <c r="S261" i="90"/>
  <c r="S93" i="90"/>
  <c r="S366" i="90"/>
  <c r="S198" i="90"/>
  <c r="S387" i="90"/>
  <c r="S219" i="90"/>
  <c r="S51" i="90"/>
  <c r="S324" i="90"/>
  <c r="S156" i="90"/>
  <c r="S177" i="90"/>
  <c r="S282" i="90"/>
  <c r="S114" i="90"/>
  <c r="S489" i="90"/>
  <c r="S468" i="90"/>
  <c r="S447" i="90"/>
  <c r="S300" i="90"/>
  <c r="S132" i="90"/>
  <c r="S363" i="90"/>
  <c r="S195" i="90"/>
  <c r="S405" i="90"/>
  <c r="S426" i="90"/>
  <c r="S258" i="90"/>
  <c r="S90" i="90"/>
  <c r="S321" i="90"/>
  <c r="S153" i="90"/>
  <c r="S384" i="90"/>
  <c r="S216" i="90"/>
  <c r="S48" i="90"/>
  <c r="S279" i="90"/>
  <c r="S111" i="90"/>
  <c r="S342" i="90"/>
  <c r="S174" i="90"/>
  <c r="S69" i="90"/>
  <c r="S237" i="90"/>
  <c r="S491" i="90"/>
  <c r="S470" i="90"/>
  <c r="S281" i="90"/>
  <c r="S113" i="90"/>
  <c r="S344" i="90"/>
  <c r="S176" i="90"/>
  <c r="S407" i="90"/>
  <c r="S239" i="90"/>
  <c r="S71" i="90"/>
  <c r="S302" i="90"/>
  <c r="S134" i="90"/>
  <c r="S386" i="90"/>
  <c r="S449" i="90"/>
  <c r="S365" i="90"/>
  <c r="S197" i="90"/>
  <c r="S428" i="90"/>
  <c r="S260" i="90"/>
  <c r="S92" i="90"/>
  <c r="S323" i="90"/>
  <c r="S155" i="90"/>
  <c r="S218" i="90"/>
  <c r="S50" i="90"/>
  <c r="Q480" i="90"/>
  <c r="Q459" i="90"/>
  <c r="S478" i="90"/>
  <c r="S499" i="90"/>
  <c r="S373" i="90"/>
  <c r="S205" i="90"/>
  <c r="S268" i="90"/>
  <c r="S100" i="90"/>
  <c r="S457" i="90"/>
  <c r="S331" i="90"/>
  <c r="S163" i="90"/>
  <c r="S394" i="90"/>
  <c r="S226" i="90"/>
  <c r="S58" i="90"/>
  <c r="S436" i="90"/>
  <c r="S289" i="90"/>
  <c r="S121" i="90"/>
  <c r="S352" i="90"/>
  <c r="S184" i="90"/>
  <c r="S415" i="90"/>
  <c r="S247" i="90"/>
  <c r="S79" i="90"/>
  <c r="S310" i="90"/>
  <c r="S142" i="90"/>
  <c r="S473" i="90"/>
  <c r="S494" i="90"/>
  <c r="S284" i="90"/>
  <c r="S116" i="90"/>
  <c r="S389" i="90"/>
  <c r="S221" i="90"/>
  <c r="S53" i="90"/>
  <c r="S305" i="90"/>
  <c r="S452" i="90"/>
  <c r="S410" i="90"/>
  <c r="S242" i="90"/>
  <c r="S74" i="90"/>
  <c r="S347" i="90"/>
  <c r="S179" i="90"/>
  <c r="S137" i="90"/>
  <c r="S326" i="90"/>
  <c r="S368" i="90"/>
  <c r="S200" i="90"/>
  <c r="S158" i="90"/>
  <c r="S95" i="90"/>
  <c r="S431" i="90"/>
  <c r="S263" i="90"/>
  <c r="S476" i="90"/>
  <c r="S497" i="90"/>
  <c r="S392" i="90"/>
  <c r="S224" i="90"/>
  <c r="S56" i="90"/>
  <c r="S287" i="90"/>
  <c r="S119" i="90"/>
  <c r="S350" i="90"/>
  <c r="S182" i="90"/>
  <c r="S413" i="90"/>
  <c r="S245" i="90"/>
  <c r="S77" i="90"/>
  <c r="S98" i="90"/>
  <c r="S329" i="90"/>
  <c r="S455" i="90"/>
  <c r="S308" i="90"/>
  <c r="S140" i="90"/>
  <c r="S371" i="90"/>
  <c r="S203" i="90"/>
  <c r="S434" i="90"/>
  <c r="S266" i="90"/>
  <c r="S161" i="90"/>
  <c r="S462" i="90"/>
  <c r="S483" i="90"/>
  <c r="S441" i="90"/>
  <c r="S357" i="90"/>
  <c r="S189" i="90"/>
  <c r="S420" i="90"/>
  <c r="S252" i="90"/>
  <c r="S84" i="90"/>
  <c r="S315" i="90"/>
  <c r="S147" i="90"/>
  <c r="S378" i="90"/>
  <c r="S210" i="90"/>
  <c r="S42" i="90"/>
  <c r="S273" i="90"/>
  <c r="S105" i="90"/>
  <c r="S336" i="90"/>
  <c r="S168" i="90"/>
  <c r="S63" i="90"/>
  <c r="S399" i="90"/>
  <c r="S231" i="90"/>
  <c r="S294" i="90"/>
  <c r="S126" i="90"/>
  <c r="Q486" i="90"/>
  <c r="Q465" i="90"/>
  <c r="Q464" i="90"/>
  <c r="Q485" i="90"/>
  <c r="Q462" i="90"/>
  <c r="Q48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Y11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6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6" i="90" s="1"/>
  <c r="AL16" i="90"/>
  <c r="AM16" i="90" s="1"/>
  <c r="AO16" i="90" s="1"/>
  <c r="AT116" i="90" s="1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O14" i="85"/>
  <c r="P14" i="85"/>
  <c r="Q14" i="85"/>
  <c r="O15" i="85"/>
  <c r="P15" i="85"/>
  <c r="Q15" i="85"/>
  <c r="O16" i="85"/>
  <c r="P16" i="85"/>
  <c r="Q16" i="85"/>
  <c r="O17" i="85"/>
  <c r="P17" i="85"/>
  <c r="Q17" i="85"/>
  <c r="O18" i="85"/>
  <c r="P18" i="85"/>
  <c r="Q18" i="85"/>
  <c r="O13" i="85"/>
  <c r="P13" i="85"/>
  <c r="Q13" i="85"/>
  <c r="O12" i="85"/>
  <c r="P12" i="85"/>
  <c r="Q12" i="85"/>
  <c r="O11" i="85"/>
  <c r="P11" i="85"/>
  <c r="Q11" i="85"/>
  <c r="O10" i="85"/>
  <c r="P10" i="85"/>
  <c r="Q10" i="85"/>
  <c r="Q9" i="85"/>
  <c r="P9" i="85"/>
  <c r="O9" i="85"/>
  <c r="O5" i="85"/>
  <c r="P5" i="85"/>
  <c r="Q5" i="85"/>
  <c r="O6" i="85"/>
  <c r="P6" i="85"/>
  <c r="Q6" i="85"/>
  <c r="O7" i="85"/>
  <c r="P7" i="85"/>
  <c r="Q7" i="85"/>
  <c r="O8" i="85"/>
  <c r="P8" i="85"/>
  <c r="Q8" i="85"/>
  <c r="P4" i="85"/>
  <c r="S4" i="85" s="1"/>
  <c r="Q4" i="85"/>
  <c r="O4" i="85"/>
  <c r="AY7" i="90" l="1"/>
  <c r="AY13" i="90"/>
  <c r="AY9" i="90"/>
  <c r="AY14" i="90"/>
  <c r="AY10" i="90"/>
  <c r="AY6" i="90"/>
  <c r="AY12" i="90"/>
  <c r="AY8" i="90"/>
  <c r="AY5" i="90"/>
  <c r="AZ5" i="90" s="1"/>
  <c r="AM6" i="90"/>
  <c r="AO6" i="90" s="1"/>
  <c r="AT16" i="90" s="1"/>
  <c r="AY19" i="90" s="1"/>
  <c r="AM17" i="90"/>
  <c r="AO17" i="90" s="1"/>
  <c r="AT126" i="90" s="1"/>
  <c r="AY129" i="90" s="1"/>
  <c r="AM11" i="90"/>
  <c r="AO11" i="90" s="1"/>
  <c r="AT66" i="90" s="1"/>
  <c r="AY71" i="90" s="1"/>
  <c r="AM8" i="90"/>
  <c r="AO8" i="90" s="1"/>
  <c r="AT36" i="90" s="1"/>
  <c r="AY41" i="90" s="1"/>
  <c r="AM12" i="90"/>
  <c r="AO12" i="90" s="1"/>
  <c r="AT76" i="90" s="1"/>
  <c r="AY82" i="90" s="1"/>
  <c r="AM7" i="90"/>
  <c r="AO7" i="90" s="1"/>
  <c r="AT26" i="90" s="1"/>
  <c r="AY29" i="90" s="1"/>
  <c r="AM13" i="90"/>
  <c r="AO13" i="90" s="1"/>
  <c r="AT86" i="90" s="1"/>
  <c r="AY92" i="90" s="1"/>
  <c r="AM19" i="90"/>
  <c r="AO19" i="90" s="1"/>
  <c r="AT146" i="90" s="1"/>
  <c r="AY154" i="90" s="1"/>
  <c r="AM10" i="90"/>
  <c r="AO10" i="90" s="1"/>
  <c r="AT56" i="90" s="1"/>
  <c r="AY62" i="90" s="1"/>
  <c r="AY46" i="90"/>
  <c r="AY49" i="90"/>
  <c r="AY50" i="90"/>
  <c r="AY54" i="90"/>
  <c r="AY53" i="90"/>
  <c r="AY45" i="90"/>
  <c r="AY51" i="90"/>
  <c r="AY48" i="90"/>
  <c r="AY47" i="90"/>
  <c r="AY52" i="90"/>
  <c r="AY118" i="90"/>
  <c r="AY119" i="90"/>
  <c r="AY120" i="90"/>
  <c r="AY115" i="90"/>
  <c r="AY116" i="90"/>
  <c r="AY124" i="90"/>
  <c r="AY123" i="90"/>
  <c r="AY122" i="90"/>
  <c r="AY117" i="90"/>
  <c r="AY121" i="90"/>
  <c r="AM14" i="90"/>
  <c r="AO14" i="90" s="1"/>
  <c r="AT96" i="90" s="1"/>
  <c r="AY18" i="90"/>
  <c r="AY23" i="90"/>
  <c r="AY138" i="90"/>
  <c r="AY141" i="90"/>
  <c r="AY136" i="90"/>
  <c r="AY142" i="90"/>
  <c r="AY143" i="90"/>
  <c r="AY137" i="90"/>
  <c r="AY140" i="90"/>
  <c r="AY144" i="90"/>
  <c r="AY139" i="90"/>
  <c r="AY135" i="90"/>
  <c r="AM15" i="90"/>
  <c r="AO15" i="90" s="1"/>
  <c r="AT106" i="90" s="1"/>
  <c r="T4" i="85"/>
  <c r="S15" i="85"/>
  <c r="D19" i="89" s="1"/>
  <c r="AY77" i="90"/>
  <c r="B4" i="88"/>
  <c r="O4" i="88" s="1"/>
  <c r="S4" i="88" s="1"/>
  <c r="S5" i="85"/>
  <c r="S12" i="85"/>
  <c r="J114" i="81" s="1"/>
  <c r="K114" i="81" s="1"/>
  <c r="S16" i="85"/>
  <c r="S8" i="85"/>
  <c r="J61" i="81" s="1"/>
  <c r="K61" i="81" s="1"/>
  <c r="S11" i="85"/>
  <c r="B9" i="92" s="1"/>
  <c r="S6" i="85"/>
  <c r="S17" i="85"/>
  <c r="S7" i="85"/>
  <c r="S10" i="85"/>
  <c r="B8" i="92" s="1"/>
  <c r="S18" i="85"/>
  <c r="S14" i="85"/>
  <c r="S9" i="85"/>
  <c r="B7" i="92" s="1"/>
  <c r="S13" i="85"/>
  <c r="B13" i="92" s="1"/>
  <c r="AZ7" i="90" l="1"/>
  <c r="AZ9" i="90"/>
  <c r="AZ11" i="90"/>
  <c r="AZ6" i="90"/>
  <c r="AZ14" i="90"/>
  <c r="AZ10" i="90"/>
  <c r="AZ8" i="90"/>
  <c r="AZ13" i="90"/>
  <c r="AZ12" i="90"/>
  <c r="AY70" i="90"/>
  <c r="AY69" i="90"/>
  <c r="AY72" i="90"/>
  <c r="AY74" i="90"/>
  <c r="AY67" i="90"/>
  <c r="AY66" i="90"/>
  <c r="AY22" i="90"/>
  <c r="AY21" i="90"/>
  <c r="AY17" i="90"/>
  <c r="AY15" i="90"/>
  <c r="AY20" i="90"/>
  <c r="AY16" i="90"/>
  <c r="AY24" i="90"/>
  <c r="AY132" i="90"/>
  <c r="AY73" i="90"/>
  <c r="AY65" i="90"/>
  <c r="AY42" i="90"/>
  <c r="AY68" i="90"/>
  <c r="AY30" i="90"/>
  <c r="AY125" i="90"/>
  <c r="AY26" i="90"/>
  <c r="AY130" i="90"/>
  <c r="T17" i="85"/>
  <c r="B5" i="92"/>
  <c r="R5" i="92" s="1"/>
  <c r="J62" i="81"/>
  <c r="K62" i="81" s="1"/>
  <c r="B15" i="88"/>
  <c r="M15" i="88" s="1"/>
  <c r="AY33" i="90"/>
  <c r="AY34" i="90"/>
  <c r="AY58" i="90"/>
  <c r="AY31" i="90"/>
  <c r="AY38" i="90"/>
  <c r="AY126" i="90"/>
  <c r="AY131" i="90"/>
  <c r="AY27" i="90"/>
  <c r="AY127" i="90"/>
  <c r="AY128" i="90"/>
  <c r="AY134" i="90"/>
  <c r="AY78" i="90"/>
  <c r="AY133" i="90"/>
  <c r="AY81" i="90"/>
  <c r="AY83" i="90"/>
  <c r="AY75" i="90"/>
  <c r="AY79" i="90"/>
  <c r="AY80" i="90"/>
  <c r="AY76" i="90"/>
  <c r="AY84" i="90"/>
  <c r="AY35" i="90"/>
  <c r="AY91" i="90"/>
  <c r="AY87" i="90"/>
  <c r="AY89" i="90"/>
  <c r="AY86" i="90"/>
  <c r="AY32" i="90"/>
  <c r="AY25" i="90"/>
  <c r="AY93" i="90"/>
  <c r="AY28" i="90"/>
  <c r="AY43" i="90"/>
  <c r="AY39" i="90"/>
  <c r="AY37" i="90"/>
  <c r="AY40" i="90"/>
  <c r="AY36" i="90"/>
  <c r="AY44" i="90"/>
  <c r="AY151" i="90"/>
  <c r="AY153" i="90"/>
  <c r="AY88" i="90"/>
  <c r="AY149" i="90"/>
  <c r="AY90" i="90"/>
  <c r="AY94" i="90"/>
  <c r="AY85" i="90"/>
  <c r="AY147" i="90"/>
  <c r="AY150" i="90"/>
  <c r="AY146" i="90"/>
  <c r="AY148" i="90"/>
  <c r="AY145" i="90"/>
  <c r="AY152" i="90"/>
  <c r="AY63" i="90"/>
  <c r="AY57" i="90"/>
  <c r="AY64" i="90"/>
  <c r="AY56" i="90"/>
  <c r="AY55" i="90"/>
  <c r="AY61" i="90"/>
  <c r="AY59" i="90"/>
  <c r="AY60" i="90"/>
  <c r="T10" i="85"/>
  <c r="B17" i="92"/>
  <c r="J155" i="81"/>
  <c r="K155" i="81" s="1"/>
  <c r="J156" i="81"/>
  <c r="K156" i="81" s="1"/>
  <c r="T9" i="85"/>
  <c r="J169" i="81"/>
  <c r="K169" i="81" s="1"/>
  <c r="J170" i="81"/>
  <c r="K170" i="81" s="1"/>
  <c r="T18" i="85"/>
  <c r="T8" i="85"/>
  <c r="T6" i="85"/>
  <c r="T11" i="85"/>
  <c r="T7" i="85"/>
  <c r="J115" i="81"/>
  <c r="K115" i="81" s="1"/>
  <c r="J117" i="81" s="1"/>
  <c r="P113" i="81" s="1"/>
  <c r="T16" i="85"/>
  <c r="AY109" i="90"/>
  <c r="AY114" i="90"/>
  <c r="AY112" i="90"/>
  <c r="AY105" i="90"/>
  <c r="AY110" i="90"/>
  <c r="AY113" i="90"/>
  <c r="AY108" i="90"/>
  <c r="AY111" i="90"/>
  <c r="AY107" i="90"/>
  <c r="AY106" i="90"/>
  <c r="J102" i="81"/>
  <c r="K102" i="81" s="1"/>
  <c r="J142" i="81"/>
  <c r="K142" i="81" s="1"/>
  <c r="J141" i="81"/>
  <c r="K141" i="81" s="1"/>
  <c r="B5" i="88"/>
  <c r="O5" i="88" s="1"/>
  <c r="S5" i="88" s="1"/>
  <c r="T5" i="85"/>
  <c r="AY98" i="90"/>
  <c r="AY103" i="90"/>
  <c r="AY102" i="90"/>
  <c r="AY100" i="90"/>
  <c r="AY99" i="90"/>
  <c r="AY101" i="90"/>
  <c r="AY95" i="90"/>
  <c r="AY96" i="90"/>
  <c r="AY97" i="90"/>
  <c r="AY104" i="90"/>
  <c r="T15" i="85"/>
  <c r="T12" i="85"/>
  <c r="D8" i="89"/>
  <c r="T14" i="85"/>
  <c r="B20" i="92"/>
  <c r="P16" i="92" s="1"/>
  <c r="J197" i="81"/>
  <c r="K197" i="81" s="1"/>
  <c r="J198" i="81"/>
  <c r="K198" i="81" s="1"/>
  <c r="T13" i="85"/>
  <c r="D9" i="89"/>
  <c r="B19" i="92"/>
  <c r="R15" i="92" s="1"/>
  <c r="J184" i="81"/>
  <c r="K184" i="81" s="1"/>
  <c r="J183" i="81"/>
  <c r="K183" i="81" s="1"/>
  <c r="M24" i="88"/>
  <c r="O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S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" i="92" l="1"/>
  <c r="Q5" i="92"/>
  <c r="AZ22" i="90"/>
  <c r="AZ24" i="90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5" i="90"/>
  <c r="AZ36" i="90"/>
  <c r="AZ30" i="90"/>
  <c r="AZ55" i="90"/>
  <c r="AZ33" i="90"/>
  <c r="AZ37" i="90"/>
  <c r="AZ34" i="90"/>
  <c r="AZ39" i="90"/>
  <c r="AZ25" i="90"/>
  <c r="AZ27" i="90"/>
  <c r="AZ28" i="90"/>
  <c r="AZ32" i="90"/>
  <c r="AZ49" i="90"/>
  <c r="AZ42" i="90"/>
  <c r="AZ31" i="90"/>
  <c r="AZ48" i="90"/>
  <c r="AZ45" i="90"/>
  <c r="AZ44" i="90"/>
  <c r="AZ46" i="90"/>
  <c r="AZ38" i="90"/>
  <c r="AZ57" i="90"/>
  <c r="AZ53" i="90"/>
  <c r="AZ41" i="90"/>
  <c r="AZ47" i="90"/>
  <c r="AZ50" i="90"/>
  <c r="AZ51" i="90"/>
  <c r="AZ52" i="90"/>
  <c r="AZ54" i="90"/>
  <c r="AZ40" i="90"/>
  <c r="AZ43" i="90"/>
  <c r="AZ91" i="90"/>
  <c r="J144" i="81"/>
  <c r="AZ56" i="90"/>
  <c r="AZ58" i="90"/>
  <c r="AZ87" i="90"/>
  <c r="AZ60" i="90"/>
  <c r="AZ78" i="90"/>
  <c r="AZ65" i="90"/>
  <c r="AZ80" i="90"/>
  <c r="AZ76" i="90"/>
  <c r="AZ77" i="90"/>
  <c r="AZ89" i="90"/>
  <c r="AZ72" i="90"/>
  <c r="AZ61" i="90"/>
  <c r="AZ88" i="90"/>
  <c r="AZ90" i="90"/>
  <c r="AZ62" i="90"/>
  <c r="AZ67" i="90"/>
  <c r="AZ79" i="90"/>
  <c r="AZ63" i="90"/>
  <c r="AZ73" i="90"/>
  <c r="AZ59" i="90"/>
  <c r="AZ64" i="90"/>
  <c r="AZ86" i="90"/>
  <c r="AZ93" i="90"/>
  <c r="AZ115" i="90"/>
  <c r="AZ82" i="90"/>
  <c r="AZ92" i="90"/>
  <c r="AZ66" i="90"/>
  <c r="AZ75" i="90"/>
  <c r="M25" i="88"/>
  <c r="AZ68" i="90"/>
  <c r="AZ74" i="90"/>
  <c r="AZ83" i="90"/>
  <c r="AZ81" i="90"/>
  <c r="AZ84" i="90"/>
  <c r="AZ94" i="90"/>
  <c r="AZ69" i="90"/>
  <c r="AZ70" i="90"/>
  <c r="AZ85" i="90"/>
  <c r="AZ71" i="90"/>
  <c r="AZ108" i="90"/>
  <c r="AZ132" i="90"/>
  <c r="J172" i="81"/>
  <c r="P175" i="81" s="1"/>
  <c r="AZ146" i="90"/>
  <c r="AZ140" i="90"/>
  <c r="J186" i="81"/>
  <c r="K185" i="81" s="1"/>
  <c r="J200" i="81"/>
  <c r="P199" i="81" s="1"/>
  <c r="AZ151" i="90"/>
  <c r="AZ125" i="90"/>
  <c r="AZ123" i="90"/>
  <c r="AZ154" i="90"/>
  <c r="AZ147" i="90"/>
  <c r="AZ105" i="90"/>
  <c r="AZ126" i="90"/>
  <c r="AZ98" i="90"/>
  <c r="AZ133" i="90"/>
  <c r="AZ153" i="90"/>
  <c r="AZ119" i="90"/>
  <c r="AZ113" i="90"/>
  <c r="AZ136" i="90"/>
  <c r="AZ101" i="90"/>
  <c r="AZ142" i="90"/>
  <c r="AZ150" i="90"/>
  <c r="AZ134" i="90"/>
  <c r="AZ149" i="90"/>
  <c r="AZ111" i="90"/>
  <c r="AZ118" i="90"/>
  <c r="AZ143" i="90"/>
  <c r="AZ102" i="90"/>
  <c r="AZ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0" i="90"/>
  <c r="AZ148" i="90"/>
  <c r="AZ144" i="90"/>
  <c r="AZ96" i="90"/>
  <c r="AZ104" i="90"/>
  <c r="AZ145" i="90"/>
  <c r="R16" i="92"/>
  <c r="AZ103" i="90"/>
  <c r="AZ131" i="90"/>
  <c r="AZ127" i="90"/>
  <c r="AZ97" i="90"/>
  <c r="AZ138" i="90"/>
  <c r="AZ122" i="90"/>
  <c r="AZ128" i="90"/>
  <c r="P172" i="81"/>
  <c r="P166" i="81"/>
  <c r="AZ110" i="90"/>
  <c r="O16" i="92"/>
  <c r="AZ152" i="90"/>
  <c r="AZ135" i="90"/>
  <c r="AZ99" i="90"/>
  <c r="AZ117" i="90"/>
  <c r="AZ139" i="90"/>
  <c r="AZ124" i="90"/>
  <c r="Q16" i="92"/>
  <c r="AZ114" i="90"/>
  <c r="AZ121" i="90"/>
  <c r="P139" i="81"/>
  <c r="P143" i="81"/>
  <c r="P144" i="81"/>
  <c r="P145" i="81"/>
  <c r="P138" i="81"/>
  <c r="P142" i="81"/>
  <c r="P147" i="81"/>
  <c r="K143" i="81"/>
  <c r="P146" i="81"/>
  <c r="P140" i="81"/>
  <c r="P141" i="81"/>
  <c r="AZ112" i="90"/>
  <c r="AZ116" i="90"/>
  <c r="AZ141" i="90"/>
  <c r="J104" i="81"/>
  <c r="P107" i="81" s="1"/>
  <c r="AZ106" i="90"/>
  <c r="AZ130" i="90"/>
  <c r="J158" i="81"/>
  <c r="AZ95" i="90"/>
  <c r="AZ107" i="90"/>
  <c r="AZ109" i="90"/>
  <c r="AZ129" i="90"/>
  <c r="O13" i="92"/>
  <c r="P13" i="92"/>
  <c r="R13" i="92"/>
  <c r="Q13" i="92"/>
  <c r="AZ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S15" i="88" s="1"/>
  <c r="P61" i="81"/>
  <c r="P66" i="81"/>
  <c r="P59" i="81"/>
  <c r="P65" i="81"/>
  <c r="P62" i="81"/>
  <c r="P57" i="81"/>
  <c r="P60" i="81"/>
  <c r="N8" i="88"/>
  <c r="N17" i="88"/>
  <c r="M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S16" i="88" s="1"/>
  <c r="O18" i="88"/>
  <c r="S18" i="88" s="1"/>
  <c r="O7" i="88"/>
  <c r="C24" i="88" s="1"/>
  <c r="O13" i="88"/>
  <c r="S13" i="88" s="1"/>
  <c r="O9" i="88"/>
  <c r="S9" i="88" s="1"/>
  <c r="O17" i="88"/>
  <c r="S17" i="88" s="1"/>
  <c r="O8" i="88"/>
  <c r="S8" i="88" s="1"/>
  <c r="O14" i="88"/>
  <c r="O11" i="88"/>
  <c r="S11" i="88" s="1"/>
  <c r="O10" i="88"/>
  <c r="S10" i="88" s="1"/>
  <c r="O12" i="88"/>
  <c r="S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P24" i="88" l="1"/>
  <c r="C5" i="93" s="1"/>
  <c r="S24" i="88"/>
  <c r="Q47" i="92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M27" i="88"/>
  <c r="S7" i="88"/>
  <c r="Q24" i="88"/>
  <c r="AA6" i="92" s="1"/>
  <c r="AD6" i="92" s="1"/>
  <c r="AF6" i="92" s="1"/>
  <c r="R24" i="88"/>
  <c r="O24" i="88"/>
  <c r="N24" i="88"/>
  <c r="AJ5" i="89" s="1"/>
  <c r="C27" i="88"/>
  <c r="S27" i="88" s="1"/>
  <c r="S14" i="88"/>
  <c r="E19" i="88"/>
  <c r="M19" i="88"/>
  <c r="N19" i="88"/>
  <c r="J19" i="88"/>
  <c r="G19" i="88"/>
  <c r="H19" i="88"/>
  <c r="K19" i="88"/>
  <c r="F19" i="88"/>
  <c r="I19" i="88"/>
  <c r="L19" i="88"/>
  <c r="C26" i="88"/>
  <c r="S26" i="88" s="1"/>
  <c r="C25" i="88"/>
  <c r="S25" i="88" s="1"/>
  <c r="M28" i="88"/>
  <c r="AS11" i="83"/>
  <c r="AS12" i="83"/>
  <c r="AS13" i="83"/>
  <c r="AS14" i="83"/>
  <c r="AS15" i="83"/>
  <c r="Q28" i="88" l="1"/>
  <c r="AA10" i="92" s="1"/>
  <c r="AD10" i="92" s="1"/>
  <c r="AF10" i="92" s="1"/>
  <c r="S28" i="88"/>
  <c r="R28" i="88"/>
  <c r="O28" i="88"/>
  <c r="P28" i="88"/>
  <c r="C9" i="93" s="1"/>
  <c r="F8" i="93" s="1"/>
  <c r="N28" i="88"/>
  <c r="AJ20" i="89" s="1"/>
  <c r="AL20" i="89" s="1"/>
  <c r="AN20" i="89" s="1"/>
  <c r="AI51" i="89" s="1"/>
  <c r="O25" i="88"/>
  <c r="P25" i="88"/>
  <c r="C6" i="93" s="1"/>
  <c r="F5" i="93" s="1"/>
  <c r="Q25" i="88"/>
  <c r="N25" i="88"/>
  <c r="AJ8" i="89" s="1"/>
  <c r="AL8" i="89" s="1"/>
  <c r="AN8" i="89" s="1"/>
  <c r="AI39" i="89" s="1"/>
  <c r="R25" i="88"/>
  <c r="N26" i="88"/>
  <c r="AJ12" i="89" s="1"/>
  <c r="AL13" i="89" s="1"/>
  <c r="AN13" i="89" s="1"/>
  <c r="AI44" i="89" s="1"/>
  <c r="R26" i="88"/>
  <c r="O26" i="88"/>
  <c r="P26" i="88"/>
  <c r="C7" i="93" s="1"/>
  <c r="Q26" i="88"/>
  <c r="Q27" i="88"/>
  <c r="AA9" i="92" s="1"/>
  <c r="AD9" i="92" s="1"/>
  <c r="AF9" i="92" s="1"/>
  <c r="N27" i="88"/>
  <c r="AJ16" i="89" s="1"/>
  <c r="AL17" i="89" s="1"/>
  <c r="AN17" i="89" s="1"/>
  <c r="AI48" i="89" s="1"/>
  <c r="R27" i="88"/>
  <c r="O27" i="88"/>
  <c r="P27" i="88"/>
  <c r="C8" i="93" s="1"/>
  <c r="F7" i="93" s="1"/>
  <c r="AL7" i="89"/>
  <c r="AN7" i="89" s="1"/>
  <c r="AI38" i="89" s="1"/>
  <c r="AL5" i="89"/>
  <c r="AN5" i="89" s="1"/>
  <c r="AI36" i="89" s="1"/>
  <c r="AL6" i="89"/>
  <c r="AN6" i="89" s="1"/>
  <c r="AI37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8" i="91" l="1"/>
  <c r="E8" i="91" s="1"/>
  <c r="O135" i="90"/>
  <c r="O471" i="90"/>
  <c r="O492" i="90"/>
  <c r="O480" i="90"/>
  <c r="O459" i="90"/>
  <c r="O460" i="90"/>
  <c r="O481" i="90"/>
  <c r="O285" i="90"/>
  <c r="O474" i="90"/>
  <c r="O495" i="90"/>
  <c r="O461" i="90"/>
  <c r="O482" i="90"/>
  <c r="O467" i="90"/>
  <c r="O488" i="90"/>
  <c r="O483" i="90"/>
  <c r="O462" i="90"/>
  <c r="F6" i="93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453" i="90"/>
  <c r="O306" i="90"/>
  <c r="O159" i="90"/>
  <c r="O348" i="90"/>
  <c r="O432" i="90"/>
  <c r="O222" i="90"/>
  <c r="O75" i="90"/>
  <c r="AL22" i="89"/>
  <c r="AN22" i="89" s="1"/>
  <c r="AI53" i="89" s="1"/>
  <c r="O390" i="90"/>
  <c r="O243" i="90"/>
  <c r="O327" i="90"/>
  <c r="O411" i="90"/>
  <c r="O138" i="90"/>
  <c r="AL23" i="89"/>
  <c r="AN23" i="89" s="1"/>
  <c r="AI54" i="89" s="1"/>
  <c r="O78" i="90" s="1"/>
  <c r="O369" i="90"/>
  <c r="O54" i="90"/>
  <c r="O117" i="90"/>
  <c r="O201" i="90"/>
  <c r="AL24" i="89"/>
  <c r="AN24" i="89" s="1"/>
  <c r="AL15" i="89"/>
  <c r="AN15" i="89" s="1"/>
  <c r="AI46" i="89" s="1"/>
  <c r="B7" i="91"/>
  <c r="D7" i="91" s="1"/>
  <c r="O156" i="90"/>
  <c r="O240" i="90"/>
  <c r="O345" i="90"/>
  <c r="O387" i="90"/>
  <c r="O450" i="90"/>
  <c r="O408" i="90"/>
  <c r="AL12" i="89"/>
  <c r="AN12" i="89" s="1"/>
  <c r="AI43" i="89" s="1"/>
  <c r="O261" i="90"/>
  <c r="AL16" i="89"/>
  <c r="AN16" i="89" s="1"/>
  <c r="AI47" i="89" s="1"/>
  <c r="O282" i="90"/>
  <c r="O429" i="90"/>
  <c r="O366" i="90"/>
  <c r="AL14" i="89"/>
  <c r="AN14" i="89" s="1"/>
  <c r="AI45" i="89" s="1"/>
  <c r="O51" i="90"/>
  <c r="O177" i="90"/>
  <c r="O219" i="90"/>
  <c r="O114" i="90"/>
  <c r="O72" i="90"/>
  <c r="AL19" i="89"/>
  <c r="AN19" i="89" s="1"/>
  <c r="AI50" i="89" s="1"/>
  <c r="O324" i="90"/>
  <c r="O303" i="90"/>
  <c r="O198" i="90"/>
  <c r="O93" i="90"/>
  <c r="AL18" i="89"/>
  <c r="AN18" i="89" s="1"/>
  <c r="AI49" i="89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AL11" i="89"/>
  <c r="AN11" i="89" s="1"/>
  <c r="AI42" i="89" s="1"/>
  <c r="AL10" i="89"/>
  <c r="AN10" i="89" s="1"/>
  <c r="AI41" i="89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8" i="91" l="1"/>
  <c r="O347" i="90"/>
  <c r="O473" i="90"/>
  <c r="O494" i="90"/>
  <c r="O118" i="90"/>
  <c r="O475" i="90"/>
  <c r="O496" i="90"/>
  <c r="O107" i="90"/>
  <c r="O485" i="90"/>
  <c r="O464" i="90"/>
  <c r="O211" i="90"/>
  <c r="O463" i="90"/>
  <c r="O484" i="90"/>
  <c r="O132" i="90"/>
  <c r="O489" i="90"/>
  <c r="O468" i="90"/>
  <c r="O407" i="90"/>
  <c r="O470" i="90"/>
  <c r="O491" i="90"/>
  <c r="AI55" i="89"/>
  <c r="O46" i="90"/>
  <c r="O466" i="90"/>
  <c r="O487" i="90"/>
  <c r="O70" i="90"/>
  <c r="O469" i="90"/>
  <c r="O490" i="90"/>
  <c r="O140" i="90"/>
  <c r="O497" i="90"/>
  <c r="O476" i="90"/>
  <c r="O360" i="90"/>
  <c r="O486" i="90"/>
  <c r="O465" i="90"/>
  <c r="O199" i="90"/>
  <c r="O493" i="90"/>
  <c r="O472" i="90"/>
  <c r="O162" i="90"/>
  <c r="O477" i="90"/>
  <c r="O498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289" i="90"/>
  <c r="O457" i="90"/>
  <c r="O352" i="90"/>
  <c r="O247" i="90"/>
  <c r="O430" i="90"/>
  <c r="O268" i="90"/>
  <c r="O266" i="90"/>
  <c r="O265" i="90"/>
  <c r="O287" i="90"/>
  <c r="O121" i="90"/>
  <c r="O331" i="90"/>
  <c r="O98" i="90"/>
  <c r="O350" i="90"/>
  <c r="O391" i="90"/>
  <c r="O182" i="90"/>
  <c r="O161" i="90"/>
  <c r="O307" i="90"/>
  <c r="O415" i="90"/>
  <c r="O58" i="90"/>
  <c r="O100" i="90"/>
  <c r="O351" i="90"/>
  <c r="O372" i="90"/>
  <c r="O120" i="90"/>
  <c r="O205" i="90"/>
  <c r="O330" i="90"/>
  <c r="O142" i="90"/>
  <c r="O245" i="90"/>
  <c r="O76" i="90"/>
  <c r="O413" i="90"/>
  <c r="O329" i="90"/>
  <c r="O181" i="90"/>
  <c r="O55" i="90"/>
  <c r="O223" i="90"/>
  <c r="O434" i="90"/>
  <c r="O308" i="90"/>
  <c r="O77" i="90"/>
  <c r="O184" i="90"/>
  <c r="O79" i="90"/>
  <c r="O160" i="90"/>
  <c r="O328" i="90"/>
  <c r="O310" i="90"/>
  <c r="O163" i="90"/>
  <c r="O394" i="90"/>
  <c r="O99" i="90"/>
  <c r="O183" i="90"/>
  <c r="O57" i="90"/>
  <c r="O141" i="90"/>
  <c r="O393" i="90"/>
  <c r="O226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E7" i="91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E6" i="91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D5" i="91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O17" i="90" l="1"/>
  <c r="N17" i="90"/>
  <c r="P17" i="90"/>
  <c r="Q17" i="90"/>
  <c r="O14" i="90"/>
  <c r="Q14" i="90"/>
  <c r="P14" i="90"/>
  <c r="N14" i="90"/>
  <c r="O499" i="90"/>
  <c r="O478" i="90"/>
  <c r="O15" i="90"/>
  <c r="N15" i="90"/>
  <c r="P15" i="90"/>
  <c r="Q15" i="90"/>
  <c r="O16" i="90"/>
  <c r="Q16" i="90"/>
  <c r="P16" i="90"/>
  <c r="N16" i="90"/>
  <c r="O43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<sst xmlns="http://schemas.openxmlformats.org/spreadsheetml/2006/main" count="5163" uniqueCount="873">
  <si>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</si>
  <si>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</si>
  <si>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</si>
  <si>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</si>
  <si>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</si>
  <si>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</si>
  <si>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</si>
  <si>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</si>
  <si>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</si>
  <si>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</si>
  <si>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</si>
  <si>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</si>
  <si>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</si>
  <si>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</si>
  <si>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</si>
  <si>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</si>
  <si>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</si>
  <si>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</si>
  <si>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</si>
  <si>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</si>
  <si>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</si>
  <si>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</si>
  <si>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</si>
  <si>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</si>
  <si>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</si>
  <si>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</si>
  <si>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</si>
  <si>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</si>
  <si>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</si>
  <si>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</si>
  <si>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</si>
  <si>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</si>
  <si>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</si>
  <si>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</si>
  <si>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</si>
  <si>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</si>
  <si>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</si>
  <si>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</si>
  <si>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</si>
  <si>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</si>
  <si>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</si>
  <si>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</si>
  <si>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</si>
  <si>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</si>
  <si>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</si>
  <si>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</si>
  <si>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</si>
  <si>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</si>
  <si>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</si>
  <si>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</si>
  <si>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</si>
  <si>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</si>
  <si>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</si>
  <si>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</si>
  <si>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</si>
  <si>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</si>
  <si>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</si>
  <si>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</si>
  <si>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</si>
  <si>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</si>
  <si>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</si>
  <si>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</si>
  <si>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</si>
  <si>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</si>
  <si>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</si>
  <si>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</si>
  <si>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</si>
  <si>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</si>
  <si>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</si>
  <si>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</si>
  <si>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</si>
  <si>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</si>
  <si>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</si>
  <si>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</si>
  <si>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</si>
  <si>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</si>
  <si>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</si>
  <si>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</si>
  <si>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</si>
  <si>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</si>
  <si>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</si>
  <si>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</si>
  <si>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</si>
  <si>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</si>
  <si>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</si>
  <si>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</si>
  <si>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</si>
  <si>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</si>
  <si>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</si>
  <si>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</si>
  <si>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</si>
  <si>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</si>
  <si>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</si>
  <si>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</si>
  <si>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</si>
  <si>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</si>
  <si>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</si>
  <si>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</si>
  <si>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</si>
  <si>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</si>
  <si>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</si>
  <si>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</si>
  <si>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</si>
  <si>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</si>
  <si>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</si>
  <si>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</si>
  <si>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</si>
  <si>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</si>
  <si>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</si>
  <si>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</si>
  <si>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</si>
  <si>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</si>
  <si>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</si>
  <si>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</si>
  <si>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</si>
  <si>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</si>
  <si>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</si>
  <si>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</si>
  <si>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</si>
  <si>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</si>
  <si>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</si>
  <si>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</si>
  <si>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</si>
  <si>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</si>
  <si>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</si>
  <si>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</si>
  <si>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</si>
  <si>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</si>
  <si>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</si>
  <si>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</si>
  <si>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</si>
  <si>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</si>
  <si>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</si>
  <si>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</si>
  <si>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</si>
  <si>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</si>
  <si>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</si>
  <si>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</si>
  <si>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</si>
  <si>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</si>
  <si>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</si>
  <si>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</si>
  <si>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</si>
  <si>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</si>
  <si>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</si>
  <si>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</si>
  <si>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</si>
  <si>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</si>
  <si>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</si>
  <si>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</si>
  <si>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</si>
  <si>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</si>
  <si>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</si>
  <si>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</si>
  <si>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</si>
  <si>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</si>
  <si>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</si>
  <si>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</si>
  <si>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</si>
  <si>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</si>
  <si>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</si>
  <si>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</si>
  <si>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</si>
  <si>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</si>
  <si>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</si>
  <si>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</si>
  <si>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</si>
  <si>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</si>
  <si>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</si>
  <si>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</si>
  <si>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</si>
  <si>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</si>
  <si>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</si>
  <si>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</si>
  <si>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</si>
  <si>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</si>
  <si>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</si>
  <si>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</si>
  <si>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</si>
  <si>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</si>
  <si>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</si>
  <si>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</si>
  <si>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</si>
  <si>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</si>
  <si>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</si>
  <si>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</si>
  <si>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</si>
  <si>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</si>
  <si>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</si>
  <si>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</si>
  <si>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</si>
  <si>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</si>
  <si>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</si>
  <si>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</si>
  <si>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</si>
  <si>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</si>
  <si>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</si>
  <si>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</si>
  <si>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</si>
  <si>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</si>
  <si>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</si>
  <si>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</si>
  <si>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</si>
  <si>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</si>
  <si>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</si>
  <si>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</si>
  <si>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</si>
  <si>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</si>
  <si>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</si>
  <si>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</si>
  <si>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</si>
  <si>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</si>
  <si>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</si>
  <si>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</si>
  <si>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</si>
  <si>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</si>
  <si>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</si>
  <si>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</si>
  <si>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</si>
  <si>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</si>
  <si>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</si>
  <si>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</si>
  <si>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</si>
  <si>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</si>
  <si>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</si>
  <si>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</si>
  <si>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</si>
  <si>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</si>
  <si>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</si>
  <si>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</si>
  <si>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</si>
  <si>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</si>
  <si>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</si>
  <si>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</si>
  <si>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</si>
  <si>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</si>
  <si>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</si>
  <si>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</si>
  <si>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</si>
  <si>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</si>
  <si>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</si>
  <si>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</si>
  <si>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</si>
  <si>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</si>
  <si>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</si>
  <si>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</si>
  <si>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</si>
  <si>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</si>
  <si>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</si>
  <si>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</si>
  <si>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</si>
  <si>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</si>
  <si>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</si>
  <si>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</si>
  <si>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</si>
  <si>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</si>
  <si>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</si>
  <si>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</si>
  <si>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</si>
  <si>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</si>
  <si>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</si>
  <si>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</si>
  <si>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</si>
  <si>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</si>
  <si>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</si>
  <si>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</si>
  <si>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</si>
  <si>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</si>
  <si>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</si>
  <si>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</si>
  <si>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</si>
  <si>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</si>
  <si>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</si>
  <si>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</si>
  <si>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</si>
  <si>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</si>
  <si>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</si>
  <si>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</si>
  <si>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</si>
  <si>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</si>
  <si>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</si>
  <si>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</si>
  <si>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</si>
  <si>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</si>
  <si>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</si>
  <si>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</si>
  <si>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</si>
  <si>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</si>
  <si>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</si>
  <si>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</si>
  <si>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</si>
  <si>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</si>
  <si>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</si>
  <si>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</si>
  <si>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</si>
  <si>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</si>
  <si>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</si>
  <si>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</si>
  <si>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</si>
  <si>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</si>
  <si>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</si>
  <si>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</si>
  <si>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</si>
  <si>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</si>
  <si>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</si>
  <si>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</si>
  <si>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</si>
  <si>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</si>
  <si>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</si>
  <si>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</si>
  <si>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</si>
  <si>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</si>
  <si>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</si>
  <si>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</si>
  <si>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</si>
  <si>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</si>
  <si>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</si>
  <si>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</si>
  <si>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</si>
  <si>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</si>
  <si>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</si>
  <si>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</si>
  <si>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</si>
  <si>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</si>
  <si>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</si>
  <si>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</si>
  <si>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</si>
  <si>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</si>
  <si>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</si>
  <si>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</si>
  <si>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</si>
  <si>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</si>
  <si>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</si>
  <si>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</si>
  <si>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</si>
  <si>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</si>
  <si>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</si>
  <si>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</si>
  <si>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</si>
  <si>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</si>
  <si>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</si>
  <si>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</si>
  <si>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</si>
  <si>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</si>
  <si>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</si>
  <si>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</si>
  <si>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</si>
  <si>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</si>
  <si>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</si>
  <si>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</si>
  <si>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</si>
  <si>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</si>
  <si>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</si>
  <si>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</si>
  <si>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</si>
  <si>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</si>
  <si>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</si>
  <si>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</si>
  <si>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</si>
  <si>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</si>
  <si>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</si>
  <si>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</si>
  <si>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</si>
  <si>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</si>
  <si>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</si>
  <si>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</si>
  <si>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</si>
  <si>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</si>
  <si>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</si>
  <si>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</si>
  <si>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</si>
  <si>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</si>
  <si>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</si>
  <si>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</si>
  <si>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</si>
  <si>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</si>
  <si>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</si>
  <si>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</si>
  <si>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</si>
  <si>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</si>
  <si>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</si>
  <si>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</si>
  <si>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</si>
  <si>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</si>
  <si>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</si>
  <si>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</si>
  <si>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</si>
  <si>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</si>
  <si>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</si>
  <si>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</si>
  <si>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</si>
  <si>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</si>
  <si>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</si>
  <si>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</si>
  <si>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</si>
  <si>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</si>
  <si>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</si>
  <si>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</si>
  <si>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</si>
  <si>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</si>
  <si>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</si>
  <si>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</si>
  <si>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</si>
  <si>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</si>
  <si>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</si>
  <si>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</si>
  <si>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</si>
  <si>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</si>
  <si>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</si>
  <si>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</si>
  <si>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</si>
  <si>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</si>
  <si>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</si>
  <si>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</si>
  <si>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</si>
  <si>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</si>
  <si>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</si>
  <si>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</si>
  <si>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</si>
  <si>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</si>
  <si>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</si>
  <si>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</si>
  <si>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</si>
  <si>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</si>
  <si>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</si>
  <si>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</si>
  <si>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</si>
  <si>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</si>
  <si>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</si>
  <si>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</si>
  <si>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</si>
  <si>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</si>
  <si>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</si>
  <si>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</si>
  <si>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</si>
  <si>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</si>
  <si>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</si>
  <si>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</si>
  <si>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</si>
  <si>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</si>
  <si>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</si>
  <si>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</si>
  <si>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</si>
  <si>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</si>
  <si>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</si>
  <si>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</si>
  <si>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</si>
  <si>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</si>
  <si>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</si>
  <si>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</si>
  <si>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</si>
  <si>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</si>
  <si>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</si>
  <si>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</si>
  <si>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</si>
  <si>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</si>
  <si>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</si>
  <si>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</si>
  <si>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</si>
  <si>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</si>
  <si>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</si>
  <si>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</si>
  <si>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</si>
  <si>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</si>
  <si>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</si>
  <si>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</si>
  <si>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</si>
  <si>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</si>
  <si>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</si>
  <si>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</si>
  <si>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</si>
  <si>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</si>
  <si>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</si>
  <si>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</si>
  <si>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</si>
  <si>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</si>
  <si>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</si>
  <si>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</si>
  <si>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</si>
  <si>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</si>
  <si>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</si>
  <si>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</si>
  <si>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</si>
  <si>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</si>
  <si>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</si>
  <si>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</si>
  <si>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</si>
  <si>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</si>
  <si>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</si>
  <si>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</si>
  <si>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</si>
  <si>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</si>
  <si>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</si>
  <si>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</si>
  <si>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</si>
  <si>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</si>
  <si>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</si>
  <si>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</si>
  <si>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</si>
  <si>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</si>
  <si>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</si>
  <si>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</si>
  <si>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</si>
  <si>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</si>
  <si>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</si>
  <si>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</si>
  <si>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</si>
  <si>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</si>
  <si>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</si>
  <si>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</si>
  <si>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</si>
  <si>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</si>
  <si>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</si>
  <si>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</si>
  <si>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</si>
  <si>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</si>
  <si>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</si>
  <si>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</si>
  <si>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</si>
  <si>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</si>
  <si>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</si>
  <si>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</si>
  <si>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</si>
  <si>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</si>
  <si>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</si>
  <si>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</si>
  <si>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</si>
  <si>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</si>
  <si>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</si>
  <si>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</si>
  <si>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</si>
  <si>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</si>
  <si>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</si>
  <si>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</si>
  <si>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</si>
  <si>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</si>
  <si>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</si>
  <si>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</si>
  <si>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</si>
  <si>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</si>
  <si>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</si>
  <si>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</si>
  <si>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</si>
  <si>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</si>
  <si>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</si>
  <si>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</si>
  <si>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</si>
  <si>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</si>
  <si>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</si>
  <si>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</si>
  <si>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</si>
  <si>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</si>
  <si>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</si>
  <si>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</si>
  <si>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</si>
  <si>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</si>
  <si>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</si>
  <si>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</si>
  <si>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</si>
  <si>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</si>
  <si>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</si>
  <si>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</si>
  <si>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</si>
  <si>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</si>
  <si>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</si>
  <si>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</si>
  <si>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</si>
  <si>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</si>
  <si>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</si>
  <si>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</si>
  <si>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</si>
  <si>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</si>
  <si>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</si>
  <si>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</si>
  <si>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</si>
  <si>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</si>
  <si>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</si>
  <si>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</si>
  <si>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</si>
  <si>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</si>
  <si>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</si>
  <si>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</si>
  <si>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</si>
  <si>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</si>
  <si>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</si>
  <si>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</si>
  <si>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</si>
  <si>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</si>
  <si>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</si>
  <si>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</si>
  <si>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</si>
  <si>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</si>
  <si>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</si>
  <si>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</si>
  <si>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</si>
  <si>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</si>
  <si>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</si>
  <si>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</si>
  <si>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</si>
  <si>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</si>
  <si>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</si>
  <si>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</si>
  <si>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</si>
  <si>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</si>
  <si>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</si>
  <si>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</si>
  <si>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</si>
  <si>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</si>
  <si>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</si>
  <si>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</si>
  <si>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</si>
  <si>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</si>
  <si>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</si>
  <si>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</si>
  <si>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</si>
  <si>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</si>
  <si>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</si>
  <si>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</si>
  <si>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</si>
  <si>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</si>
  <si>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</si>
  <si>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</si>
  <si>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</si>
  <si>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</si>
  <si>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</si>
  <si>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</si>
  <si>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</si>
  <si>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</si>
  <si>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</si>
  <si>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</si>
  <si>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</si>
  <si>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</si>
  <si>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</si>
  <si>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</si>
  <si>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</si>
  <si>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</si>
  <si>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</si>
  <si>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</si>
  <si>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</si>
  <si>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</si>
  <si>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</si>
  <si>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</si>
  <si>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</si>
  <si>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</si>
  <si>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</si>
  <si>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</si>
  <si>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</si>
  <si>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</si>
  <si>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</si>
  <si>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</si>
  <si>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</si>
  <si>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</si>
  <si>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</si>
  <si>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</si>
  <si>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</si>
  <si>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</si>
  <si>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</si>
  <si>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</si>
  <si>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</si>
  <si>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</si>
  <si>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</si>
  <si>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</si>
  <si>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</si>
  <si>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</si>
  <si>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</si>
  <si>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</si>
  <si>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</si>
  <si>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</si>
  <si>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</si>
  <si>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</si>
  <si>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</si>
  <si>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</si>
  <si>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</si>
  <si>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</si>
  <si>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</si>
  <si>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</si>
  <si>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</si>
  <si>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</si>
  <si>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</si>
  <si>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</si>
  <si>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</si>
  <si>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</si>
  <si>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</si>
  <si>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</si>
  <si>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</si>
  <si>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</si>
  <si>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</si>
  <si>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</si>
  <si>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</si>
  <si>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</si>
  <si>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</si>
  <si>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</si>
  <si>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</si>
  <si>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</si>
  <si>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</si>
  <si>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</si>
  <si>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</si>
  <si>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</si>
  <si>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</si>
  <si>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</si>
  <si>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</si>
  <si>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</si>
  <si>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</si>
  <si>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</si>
  <si>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</si>
  <si>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</si>
  <si>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</si>
  <si>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</si>
  <si>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</si>
  <si>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</si>
  <si>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</si>
  <si>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</si>
  <si>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</si>
  <si>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</si>
  <si>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</si>
  <si>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</si>
  <si>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</si>
  <si>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</si>
  <si>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</si>
  <si>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</si>
  <si>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</si>
  <si>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</si>
  <si>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</si>
  <si>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</si>
  <si>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</si>
  <si>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</si>
  <si>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</si>
  <si>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</si>
  <si>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</si>
  <si>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</si>
  <si>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</si>
  <si>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</si>
  <si>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</si>
  <si>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</si>
  <si>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</si>
  <si>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</si>
  <si>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</si>
  <si>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</si>
  <si>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</si>
  <si>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</si>
  <si>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</si>
  <si>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</si>
  <si>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</si>
  <si>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</si>
  <si>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</si>
  <si>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</si>
  <si>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</si>
  <si>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</si>
  <si>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</si>
  <si>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</si>
  <si>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</si>
  <si>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</si>
  <si>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</si>
  <si>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</si>
  <si>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</si>
  <si>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</si>
  <si>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</si>
  <si>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</si>
  <si>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</si>
  <si>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</si>
  <si>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</si>
  <si>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</si>
  <si>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</si>
  <si>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</si>
  <si>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</si>
  <si>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</si>
  <si>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</si>
  <si>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</si>
  <si>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</si>
  <si>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</si>
  <si>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</si>
  <si>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</si>
  <si>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</si>
  <si>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</si>
  <si>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</si>
  <si>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</si>
  <si>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</si>
  <si>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</si>
  <si>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</si>
  <si>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</si>
  <si>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</si>
  <si>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</si>
  <si>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</si>
  <si>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</si>
  <si>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</si>
  <si>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</si>
  <si>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</si>
  <si>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</si>
  <si>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</si>
  <si>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</si>
  <si>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</si>
  <si>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</si>
  <si>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</si>
  <si>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</si>
  <si>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</si>
  <si>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</si>
  <si>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</si>
  <si>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</si>
  <si>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</si>
  <si>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</si>
  <si>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</si>
  <si>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</si>
  <si>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</si>
  <si>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</si>
  <si>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</si>
  <si>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</si>
  <si>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</si>
  <si>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</si>
  <si>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</si>
  <si>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</si>
  <si>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</si>
  <si>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</si>
  <si>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</si>
  <si>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</si>
  <si>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</si>
  <si>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</si>
  <si>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</si>
  <si>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</si>
  <si>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</si>
  <si>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</si>
  <si>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</si>
  <si>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</si>
  <si>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</si>
  <si>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</si>
  <si>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</si>
  <si>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</si>
  <si>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</si>
  <si>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</si>
  <si>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</si>
  <si>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</si>
  <si>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</si>
  <si>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</si>
  <si>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</si>
  <si>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</si>
  <si>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</si>
  <si>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</si>
  <si>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</si>
  <si>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</si>
  <si>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</si>
  <si>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</si>
  <si>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概率</t>
    <phoneticPr fontId="2" type="noConversion"/>
  </si>
  <si>
    <t>典韦</t>
    <phoneticPr fontId="2" type="noConversion"/>
  </si>
  <si>
    <t>SSR</t>
    <phoneticPr fontId="2" type="noConversion"/>
  </si>
  <si>
    <t>飞镰</t>
  </si>
  <si>
    <t>飞镰</t>
    <phoneticPr fontId="2" type="noConversion"/>
  </si>
  <si>
    <t>UR</t>
    <phoneticPr fontId="2" type="noConversion"/>
  </si>
  <si>
    <t>SSR</t>
    <phoneticPr fontId="2" type="noConversion"/>
  </si>
  <si>
    <t>SR</t>
    <phoneticPr fontId="2" type="noConversion"/>
  </si>
  <si>
    <t>SR</t>
    <phoneticPr fontId="2" type="noConversion"/>
  </si>
  <si>
    <t>飞廉碎片</t>
    <phoneticPr fontId="2" type="noConversion"/>
  </si>
  <si>
    <t>典韦碎片</t>
    <phoneticPr fontId="2" type="noConversion"/>
  </si>
  <si>
    <t>张飞碎片</t>
    <phoneticPr fontId="2" type="noConversion"/>
  </si>
  <si>
    <t>飞廉</t>
    <phoneticPr fontId="2" type="noConversion"/>
  </si>
  <si>
    <t>徐晃</t>
    <phoneticPr fontId="2" type="noConversion"/>
  </si>
  <si>
    <t>西方龙碎片</t>
    <phoneticPr fontId="2" type="noConversion"/>
  </si>
  <si>
    <t>天使缇娜碎片</t>
    <phoneticPr fontId="2" type="noConversion"/>
  </si>
  <si>
    <t>张郃碎片</t>
    <phoneticPr fontId="2" type="noConversion"/>
  </si>
  <si>
    <t>绿+1</t>
    <phoneticPr fontId="2" type="noConversion"/>
  </si>
  <si>
    <t>绿+2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</si>
  <si>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</si>
  <si>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</si>
  <si>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</si>
  <si>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</si>
  <si>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</si>
  <si>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</si>
  <si>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</si>
  <si>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</si>
  <si>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柠檬精</t>
    <phoneticPr fontId="2" type="noConversion"/>
  </si>
  <si>
    <t>柠檬精碎片</t>
    <phoneticPr fontId="2" type="noConversion"/>
  </si>
  <si>
    <t>购买初级抽卡</t>
    <phoneticPr fontId="2" type="noConversion"/>
  </si>
  <si>
    <t>普通抽</t>
    <phoneticPr fontId="2" type="noConversion"/>
  </si>
  <si>
    <t>产出比例</t>
    <phoneticPr fontId="2" type="noConversion"/>
  </si>
  <si>
    <t>挂机队伍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</si>
</sst>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3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97" t="s">
        <v>13</v>
      </c>
      <c r="C2" s="98"/>
      <c r="D2" s="98"/>
      <c r="E2" s="99"/>
    </row>
    <row r="3" spans="2:5" ht="35.1" customHeight="1" x14ac:dyDescent="0.2">
      <c r="B3" s="2" t="s">
        <v>0</v>
      </c>
      <c r="C3" s="3" t="s">
        <v>11</v>
      </c>
      <c r="D3" s="100" t="s">
        <v>1</v>
      </c>
      <c r="E3" s="102" t="s">
        <v>14</v>
      </c>
    </row>
    <row r="4" spans="2:5" ht="35.1" customHeight="1" x14ac:dyDescent="0.2">
      <c r="B4" s="2" t="s">
        <v>2</v>
      </c>
      <c r="C4" s="3" t="s">
        <v>12</v>
      </c>
      <c r="D4" s="101"/>
      <c r="E4" s="103"/>
    </row>
    <row r="5" spans="2:5" ht="35.1" customHeight="1" x14ac:dyDescent="0.2">
      <c r="B5" s="4" t="s">
        <v>3</v>
      </c>
      <c r="C5" s="104" t="s">
        <v>15</v>
      </c>
      <c r="D5" s="105"/>
      <c r="E5" s="106"/>
    </row>
    <row r="6" spans="2:5" ht="18" x14ac:dyDescent="0.2">
      <c r="B6" s="107" t="s">
        <v>4</v>
      </c>
      <c r="C6" s="108"/>
      <c r="D6" s="108"/>
      <c r="E6" s="109"/>
    </row>
    <row r="7" spans="2:5" ht="18" x14ac:dyDescent="0.2">
      <c r="B7" s="5" t="s">
        <v>5</v>
      </c>
      <c r="C7" s="6" t="s">
        <v>6</v>
      </c>
      <c r="D7" s="95" t="s">
        <v>7</v>
      </c>
      <c r="E7" s="96"/>
    </row>
    <row r="8" spans="2:5" x14ac:dyDescent="0.2">
      <c r="B8" s="7">
        <v>43490</v>
      </c>
      <c r="C8" s="8" t="s">
        <v>10</v>
      </c>
      <c r="D8" s="110" t="s">
        <v>8</v>
      </c>
      <c r="E8" s="111"/>
    </row>
    <row r="9" spans="2:5" x14ac:dyDescent="0.2">
      <c r="B9" s="7"/>
      <c r="C9" s="8"/>
      <c r="D9" s="110"/>
      <c r="E9" s="111"/>
    </row>
    <row r="10" spans="2:5" x14ac:dyDescent="0.2">
      <c r="B10" s="9"/>
      <c r="C10" s="8"/>
      <c r="D10" s="110"/>
      <c r="E10" s="111"/>
    </row>
    <row r="11" spans="2:5" x14ac:dyDescent="0.2">
      <c r="B11" s="9"/>
      <c r="C11" s="8"/>
      <c r="D11" s="110"/>
      <c r="E11" s="111"/>
    </row>
    <row r="12" spans="2:5" x14ac:dyDescent="0.2">
      <c r="B12" s="9"/>
      <c r="C12" s="8"/>
      <c r="D12" s="110"/>
      <c r="E12" s="111"/>
    </row>
    <row r="13" spans="2:5" x14ac:dyDescent="0.2">
      <c r="B13" s="9"/>
      <c r="C13" s="8"/>
      <c r="D13" s="110"/>
      <c r="E13" s="111"/>
    </row>
    <row r="14" spans="2:5" x14ac:dyDescent="0.2">
      <c r="B14" s="9"/>
      <c r="C14" s="8"/>
      <c r="D14" s="110"/>
      <c r="E14" s="111"/>
    </row>
    <row r="15" spans="2:5" x14ac:dyDescent="0.2">
      <c r="B15" s="9"/>
      <c r="C15" s="8"/>
      <c r="D15" s="110"/>
      <c r="E15" s="111"/>
    </row>
    <row r="16" spans="2:5" x14ac:dyDescent="0.2">
      <c r="B16" s="9"/>
      <c r="C16" s="8"/>
      <c r="D16" s="110"/>
      <c r="E16" s="111"/>
    </row>
    <row r="17" spans="2:5" x14ac:dyDescent="0.2">
      <c r="B17" s="9"/>
      <c r="C17" s="8"/>
      <c r="D17" s="110"/>
      <c r="E17" s="111"/>
    </row>
    <row r="18" spans="2:5" x14ac:dyDescent="0.2">
      <c r="B18" s="9"/>
      <c r="C18" s="8"/>
      <c r="D18" s="110"/>
      <c r="E18" s="111"/>
    </row>
    <row r="19" spans="2:5" x14ac:dyDescent="0.2">
      <c r="B19" s="9"/>
      <c r="C19" s="8"/>
      <c r="D19" s="110"/>
      <c r="E19" s="111"/>
    </row>
    <row r="20" spans="2:5" x14ac:dyDescent="0.2">
      <c r="B20" s="9"/>
      <c r="C20" s="8"/>
      <c r="D20" s="110"/>
      <c r="E20" s="111"/>
    </row>
    <row r="21" spans="2:5" x14ac:dyDescent="0.2">
      <c r="B21" s="9"/>
      <c r="C21" s="8"/>
      <c r="D21" s="110"/>
      <c r="E21" s="111"/>
    </row>
    <row r="22" spans="2:5" x14ac:dyDescent="0.2">
      <c r="B22" s="9"/>
      <c r="C22" s="8"/>
      <c r="D22" s="110"/>
      <c r="E22" s="111"/>
    </row>
    <row r="23" spans="2:5" x14ac:dyDescent="0.2">
      <c r="B23" s="9"/>
      <c r="C23" s="8"/>
      <c r="D23" s="110"/>
      <c r="E23" s="111"/>
    </row>
    <row r="24" spans="2:5" x14ac:dyDescent="0.2">
      <c r="B24" s="9"/>
      <c r="C24" s="8"/>
      <c r="D24" s="110"/>
      <c r="E24" s="111"/>
    </row>
    <row r="25" spans="2:5" x14ac:dyDescent="0.2">
      <c r="B25" s="9"/>
      <c r="C25" s="8"/>
      <c r="D25" s="110"/>
      <c r="E25" s="111"/>
    </row>
    <row r="26" spans="2:5" x14ac:dyDescent="0.2">
      <c r="B26" s="9"/>
      <c r="C26" s="8"/>
      <c r="D26" s="110"/>
      <c r="E26" s="111"/>
    </row>
    <row r="27" spans="2:5" x14ac:dyDescent="0.2">
      <c r="B27" s="9"/>
      <c r="C27" s="8"/>
      <c r="D27" s="110"/>
      <c r="E27" s="111"/>
    </row>
    <row r="28" spans="2:5" ht="18" thickBot="1" x14ac:dyDescent="0.25">
      <c r="B28" s="10"/>
      <c r="C28" s="11"/>
      <c r="D28" s="112"/>
      <c r="E28" s="113"/>
    </row>
    <row r="30" spans="2:5" x14ac:dyDescent="0.2">
      <c r="B30" s="114" t="s">
        <v>9</v>
      </c>
      <c r="C30" s="114"/>
      <c r="D30" s="114"/>
      <c r="E30" s="11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26" sqref="E26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15" t="s">
        <v>138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R3" s="115" t="s">
        <v>208</v>
      </c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4">
        <v>1</v>
      </c>
      <c r="P4" s="34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563</v>
      </c>
      <c r="AR4" s="12" t="s">
        <v>247</v>
      </c>
      <c r="AS4" s="12" t="s">
        <v>564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4">
        <v>1</v>
      </c>
      <c r="P5" s="34">
        <v>1</v>
      </c>
      <c r="R5" s="29">
        <v>1</v>
      </c>
      <c r="S5" s="29" t="s">
        <v>821</v>
      </c>
      <c r="T5" s="55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金币总产!N24</f>
        <v>28593</v>
      </c>
      <c r="AK5" s="20">
        <v>0.1</v>
      </c>
      <c r="AL5" s="15">
        <f>INT(AJ$5*AK5)</f>
        <v>2859</v>
      </c>
      <c r="AM5" s="34">
        <v>1</v>
      </c>
      <c r="AN5" s="15">
        <f>INT(AL5/AM5/$S$1/500)*500</f>
        <v>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91">
        <v>2</v>
      </c>
      <c r="S6" s="91" t="s">
        <v>822</v>
      </c>
      <c r="T6" s="91">
        <v>3</v>
      </c>
      <c r="U6" s="91">
        <v>10</v>
      </c>
      <c r="V6" s="91">
        <v>20</v>
      </c>
      <c r="W6" s="20">
        <v>0.1</v>
      </c>
      <c r="X6" s="91"/>
      <c r="Y6" s="91"/>
      <c r="Z6" s="91"/>
      <c r="AA6" s="91"/>
      <c r="AB6" s="91"/>
      <c r="AC6" s="91"/>
      <c r="AD6" s="91"/>
      <c r="AE6" s="91"/>
      <c r="AK6" s="20">
        <v>0.3</v>
      </c>
      <c r="AL6" s="15">
        <f t="shared" ref="AL6:AL7" si="0">INT(AJ$5*AK6)</f>
        <v>8577</v>
      </c>
      <c r="AM6" s="34">
        <v>1</v>
      </c>
      <c r="AN6" s="15">
        <f t="shared" ref="AN6:AN24" si="1">INT(AL6/AM6/$S$1/500)*500</f>
        <v>2500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91">
        <v>3</v>
      </c>
      <c r="S7" s="29" t="s">
        <v>857</v>
      </c>
      <c r="T7" s="55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17155</v>
      </c>
      <c r="AM7" s="34">
        <v>1</v>
      </c>
      <c r="AN7" s="15">
        <f t="shared" si="1"/>
        <v>5500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节奏总表!S5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91">
        <v>4</v>
      </c>
      <c r="S8" s="29" t="s">
        <v>858</v>
      </c>
      <c r="T8" s="55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金币总产!N25</f>
        <v>339442</v>
      </c>
      <c r="AK8" s="20">
        <v>0.1</v>
      </c>
      <c r="AL8" s="15">
        <f>INT(AJ$8*AK8)</f>
        <v>33944</v>
      </c>
      <c r="AM8" s="34">
        <v>1.5</v>
      </c>
      <c r="AN8" s="15">
        <f t="shared" si="1"/>
        <v>7500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节奏总表!S5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91">
        <v>5</v>
      </c>
      <c r="S9" s="29" t="s">
        <v>823</v>
      </c>
      <c r="T9" s="55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84860</v>
      </c>
      <c r="AM9" s="34">
        <v>1.6</v>
      </c>
      <c r="AN9" s="15">
        <f t="shared" si="1"/>
        <v>17500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节奏总表!S6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91">
        <v>6</v>
      </c>
      <c r="S10" s="29" t="s">
        <v>824</v>
      </c>
      <c r="T10" s="84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101832</v>
      </c>
      <c r="AM10" s="34">
        <v>1.7</v>
      </c>
      <c r="AN10" s="15">
        <f t="shared" si="1"/>
        <v>19500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节奏总表!S7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91">
        <v>7</v>
      </c>
      <c r="S11" s="29" t="s">
        <v>825</v>
      </c>
      <c r="T11" s="84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118804</v>
      </c>
      <c r="AM11" s="34">
        <v>1.8</v>
      </c>
      <c r="AN11" s="15">
        <f t="shared" si="1"/>
        <v>22000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节奏总表!S8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91">
        <v>8</v>
      </c>
      <c r="S12" s="29" t="s">
        <v>826</v>
      </c>
      <c r="T12" s="84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金币总产!N26</f>
        <v>625305</v>
      </c>
      <c r="AK12" s="20">
        <v>0.22</v>
      </c>
      <c r="AL12" s="15">
        <f>INT(AJ$12*AK12)</f>
        <v>137567</v>
      </c>
      <c r="AM12" s="34">
        <v>1.8</v>
      </c>
      <c r="AN12" s="15">
        <f t="shared" si="1"/>
        <v>25000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节奏总表!S9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91">
        <v>9</v>
      </c>
      <c r="S13" s="29" t="s">
        <v>827</v>
      </c>
      <c r="T13" s="84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150073</v>
      </c>
      <c r="AM13" s="34">
        <v>1.8</v>
      </c>
      <c r="AN13" s="15">
        <f t="shared" si="1"/>
        <v>27500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节奏总表!S10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91">
        <v>10</v>
      </c>
      <c r="S14" s="29" t="s">
        <v>828</v>
      </c>
      <c r="T14" s="84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162579</v>
      </c>
      <c r="AM14" s="34">
        <v>1.8</v>
      </c>
      <c r="AN14" s="15">
        <f t="shared" si="1"/>
        <v>30000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节奏总表!S11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91">
        <v>11</v>
      </c>
      <c r="S15" s="84" t="s">
        <v>829</v>
      </c>
      <c r="T15" s="84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175085</v>
      </c>
      <c r="AM15" s="34">
        <v>1.8</v>
      </c>
      <c r="AN15" s="15">
        <f t="shared" si="1"/>
        <v>32000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节奏总表!S12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91">
        <v>12</v>
      </c>
      <c r="S16" s="84" t="s">
        <v>830</v>
      </c>
      <c r="T16" s="84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金币总产!N27</f>
        <v>1629532</v>
      </c>
      <c r="AK16" s="20">
        <v>0.15</v>
      </c>
      <c r="AL16" s="15">
        <f>INT(AJ$16*AK16)</f>
        <v>244429</v>
      </c>
      <c r="AM16" s="34">
        <v>2</v>
      </c>
      <c r="AN16" s="15">
        <f t="shared" si="1"/>
        <v>40500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节奏总表!S13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91">
        <v>13</v>
      </c>
      <c r="S17" s="29" t="s">
        <v>831</v>
      </c>
      <c r="T17" s="84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358497</v>
      </c>
      <c r="AM17" s="34">
        <v>2.2000000000000002</v>
      </c>
      <c r="AN17" s="15">
        <f t="shared" si="1"/>
        <v>54000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节奏总表!S14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91">
        <v>14</v>
      </c>
      <c r="S18" s="29" t="s">
        <v>832</v>
      </c>
      <c r="T18" s="84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456268</v>
      </c>
      <c r="AM18" s="34">
        <v>2.4</v>
      </c>
      <c r="AN18" s="15">
        <f t="shared" si="1"/>
        <v>63000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节奏总表!S15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91">
        <v>15</v>
      </c>
      <c r="S19" s="84" t="s">
        <v>833</v>
      </c>
      <c r="T19" s="84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570336</v>
      </c>
      <c r="AM19" s="34">
        <v>2.6</v>
      </c>
      <c r="AN19" s="15">
        <f t="shared" si="1"/>
        <v>73000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节奏总表!S16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91">
        <v>16</v>
      </c>
      <c r="S20" s="84" t="s">
        <v>834</v>
      </c>
      <c r="T20" s="84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金币总产!N28</f>
        <v>6391612</v>
      </c>
      <c r="AK20" s="20">
        <v>0.1</v>
      </c>
      <c r="AL20" s="15">
        <f>INT(AJ$20*AK20)</f>
        <v>639161</v>
      </c>
      <c r="AM20" s="34">
        <v>2.8</v>
      </c>
      <c r="AN20" s="15">
        <f t="shared" si="1"/>
        <v>76000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节奏总表!S17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91">
        <v>17</v>
      </c>
      <c r="S21" s="29" t="s">
        <v>835</v>
      </c>
      <c r="T21" s="84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958741</v>
      </c>
      <c r="AM21" s="34">
        <v>3</v>
      </c>
      <c r="AN21" s="15">
        <f t="shared" si="1"/>
        <v>106500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节奏总表!S18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91">
        <v>18</v>
      </c>
      <c r="S22" s="29" t="s">
        <v>836</v>
      </c>
      <c r="T22" s="84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1278322</v>
      </c>
      <c r="AM22" s="34">
        <v>3</v>
      </c>
      <c r="AN22" s="15">
        <f t="shared" si="1"/>
        <v>142000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91">
        <v>19</v>
      </c>
      <c r="S23" s="84" t="s">
        <v>837</v>
      </c>
      <c r="T23" s="84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1597903</v>
      </c>
      <c r="AM23" s="34">
        <v>3</v>
      </c>
      <c r="AN23" s="15">
        <f t="shared" si="1"/>
        <v>177500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91">
        <v>20</v>
      </c>
      <c r="S24" s="84" t="s">
        <v>838</v>
      </c>
      <c r="T24" s="84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1917483</v>
      </c>
      <c r="AM24" s="34">
        <v>3</v>
      </c>
      <c r="AN24" s="15">
        <f t="shared" si="1"/>
        <v>213000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91">
        <v>21</v>
      </c>
      <c r="S25" s="84" t="s">
        <v>839</v>
      </c>
      <c r="T25" s="84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 t="shared" ref="W26:AE26" si="7">F28</f>
        <v>1200</v>
      </c>
      <c r="X26" s="15">
        <f t="shared" si="7"/>
        <v>3318.75</v>
      </c>
      <c r="Y26" s="15">
        <f t="shared" si="7"/>
        <v>6475</v>
      </c>
      <c r="Z26" s="15">
        <f t="shared" si="7"/>
        <v>10703.125</v>
      </c>
      <c r="AA26" s="15">
        <f t="shared" si="7"/>
        <v>4078.125</v>
      </c>
      <c r="AB26" s="15">
        <f t="shared" si="7"/>
        <v>4030</v>
      </c>
      <c r="AC26" s="15">
        <f t="shared" si="7"/>
        <v>8925</v>
      </c>
      <c r="AD26" s="15">
        <f t="shared" si="7"/>
        <v>8212.5</v>
      </c>
      <c r="AE26" s="15">
        <f t="shared" si="7"/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6">
        <f>INT((INDEX(O$7:O$22,$B35)*(1-$D35)+INDEX(O$7:O$22,$B35+1)*$D35)*O$4*$B$2)</f>
        <v>17</v>
      </c>
      <c r="O35" s="36">
        <f>INT((INDEX(P$7:P$22,$B35)*(1-$D35)+INDEX(P$7:P$22,$B35+1)*$D35)*P$4*$B$2)</f>
        <v>7</v>
      </c>
      <c r="R35" s="91">
        <v>1</v>
      </c>
      <c r="S35" s="91" t="s">
        <v>821</v>
      </c>
      <c r="T35" s="91"/>
      <c r="U35" s="91"/>
      <c r="V35" s="9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6">
        <f t="shared" ref="N36:O36" si="11">INT((INDEX(O$7:O$22,$B36)*(1-$D36)+INDEX(O$7:O$22,$B36+1)*$D36)*O$4*$B$2)</f>
        <v>19</v>
      </c>
      <c r="O36" s="36">
        <f t="shared" si="11"/>
        <v>7</v>
      </c>
      <c r="R36" s="91">
        <v>2</v>
      </c>
      <c r="S36" s="91" t="s">
        <v>822</v>
      </c>
      <c r="T36" s="91">
        <v>3</v>
      </c>
      <c r="U36" s="91">
        <v>10</v>
      </c>
      <c r="V36" s="91">
        <v>20</v>
      </c>
      <c r="W36" s="34">
        <v>1</v>
      </c>
      <c r="X36" s="34"/>
      <c r="Y36" s="34"/>
      <c r="Z36" s="15">
        <f t="shared" ref="Z36:AH36" si="12">INT(W$26*W6/$S$1/$T36/5)*5</f>
        <v>10</v>
      </c>
      <c r="AA36" s="15">
        <f t="shared" si="12"/>
        <v>0</v>
      </c>
      <c r="AB36" s="15">
        <f t="shared" si="12"/>
        <v>0</v>
      </c>
      <c r="AC36" s="15">
        <f t="shared" si="12"/>
        <v>0</v>
      </c>
      <c r="AD36" s="15">
        <f t="shared" si="12"/>
        <v>0</v>
      </c>
      <c r="AE36" s="15">
        <f t="shared" si="12"/>
        <v>0</v>
      </c>
      <c r="AF36" s="15">
        <f t="shared" si="12"/>
        <v>0</v>
      </c>
      <c r="AG36" s="15">
        <f t="shared" si="12"/>
        <v>0</v>
      </c>
      <c r="AH36" s="15">
        <f t="shared" si="12"/>
        <v>0</v>
      </c>
      <c r="AI36" s="15">
        <f t="shared" ref="AI36:AI54" si="13">AN5</f>
        <v>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4">(INDEX(F$7:F$22,$B37)*(1-$D37)+INDEX(F$7:F$22,$B37+1)*$D37)*F$4*$B$2</f>
        <v>0.2</v>
      </c>
      <c r="F37" s="22">
        <f t="shared" si="14"/>
        <v>0</v>
      </c>
      <c r="G37" s="22">
        <f t="shared" si="14"/>
        <v>0</v>
      </c>
      <c r="H37" s="22">
        <f t="shared" si="14"/>
        <v>0</v>
      </c>
      <c r="I37" s="22">
        <f t="shared" si="14"/>
        <v>0</v>
      </c>
      <c r="J37" s="22">
        <f t="shared" si="14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36">
        <f t="shared" ref="N37:O37" si="15">INT((INDEX(O$7:O$22,$B37)*(1-$D37)+INDEX(O$7:O$22,$B37+1)*$D37)*O$4*$B$2)</f>
        <v>22</v>
      </c>
      <c r="O37" s="36">
        <f t="shared" si="15"/>
        <v>8</v>
      </c>
      <c r="R37" s="91">
        <v>3</v>
      </c>
      <c r="S37" s="91" t="s">
        <v>857</v>
      </c>
      <c r="T37" s="91">
        <v>3</v>
      </c>
      <c r="U37" s="91">
        <v>20</v>
      </c>
      <c r="V37" s="91">
        <v>30</v>
      </c>
      <c r="W37" s="34">
        <v>1</v>
      </c>
      <c r="Y37" s="34"/>
      <c r="Z37" s="15">
        <f t="shared" ref="Z37:AH37" si="16">INT(W$26*W7/$S$1/$T37/5)*5</f>
        <v>30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  <c r="AI37" s="15">
        <f t="shared" si="13"/>
        <v>2500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7">(INDEX(F$7:F$22,$B38)*(1-$D38)+INDEX(F$7:F$22,$B38+1)*$D38)*F$4*$B$2</f>
        <v>0.25</v>
      </c>
      <c r="F38" s="22">
        <f t="shared" si="17"/>
        <v>0</v>
      </c>
      <c r="G38" s="22">
        <f t="shared" si="17"/>
        <v>0</v>
      </c>
      <c r="H38" s="22">
        <f t="shared" si="17"/>
        <v>0</v>
      </c>
      <c r="I38" s="22">
        <f t="shared" si="17"/>
        <v>0</v>
      </c>
      <c r="J38" s="22">
        <f t="shared" si="17"/>
        <v>0</v>
      </c>
      <c r="K38" s="22">
        <f t="shared" si="17"/>
        <v>0</v>
      </c>
      <c r="L38" s="22">
        <f t="shared" si="17"/>
        <v>0</v>
      </c>
      <c r="M38" s="22">
        <f t="shared" si="17"/>
        <v>0</v>
      </c>
      <c r="N38" s="36">
        <f t="shared" ref="N38:O38" si="18">INT((INDEX(O$7:O$22,$B38)*(1-$D38)+INDEX(O$7:O$22,$B38+1)*$D38)*O$4*$B$2)</f>
        <v>25</v>
      </c>
      <c r="O38" s="36">
        <f t="shared" si="18"/>
        <v>10</v>
      </c>
      <c r="R38" s="91">
        <v>4</v>
      </c>
      <c r="S38" s="91" t="s">
        <v>858</v>
      </c>
      <c r="T38" s="91">
        <v>3</v>
      </c>
      <c r="U38" s="91">
        <v>30</v>
      </c>
      <c r="V38" s="91">
        <v>40</v>
      </c>
      <c r="W38" s="34">
        <v>1</v>
      </c>
      <c r="X38" s="34">
        <v>1</v>
      </c>
      <c r="Y38" s="34"/>
      <c r="Z38" s="15">
        <f t="shared" ref="Z38:AH38" si="19">INT(W$26*W8/$S$1/$T38/5)*5</f>
        <v>85</v>
      </c>
      <c r="AA38" s="15">
        <f t="shared" si="19"/>
        <v>0</v>
      </c>
      <c r="AB38" s="15">
        <f t="shared" si="19"/>
        <v>0</v>
      </c>
      <c r="AC38" s="15">
        <f t="shared" si="19"/>
        <v>0</v>
      </c>
      <c r="AD38" s="15">
        <f t="shared" si="19"/>
        <v>0</v>
      </c>
      <c r="AE38" s="15">
        <f t="shared" si="19"/>
        <v>40</v>
      </c>
      <c r="AF38" s="15">
        <f t="shared" si="19"/>
        <v>0</v>
      </c>
      <c r="AG38" s="15">
        <f t="shared" si="19"/>
        <v>0</v>
      </c>
      <c r="AH38" s="15">
        <f t="shared" si="19"/>
        <v>0</v>
      </c>
      <c r="AI38" s="15">
        <f t="shared" si="13"/>
        <v>5500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0">(INDEX(F$7:F$22,$B39)*(1-$D39)+INDEX(F$7:F$22,$B39+1)*$D39)*F$4*$B$2</f>
        <v>0.375</v>
      </c>
      <c r="F39" s="22">
        <f t="shared" si="20"/>
        <v>0</v>
      </c>
      <c r="G39" s="22">
        <f t="shared" si="20"/>
        <v>0</v>
      </c>
      <c r="H39" s="22">
        <f t="shared" si="20"/>
        <v>0</v>
      </c>
      <c r="I39" s="22">
        <f t="shared" si="20"/>
        <v>0</v>
      </c>
      <c r="J39" s="22">
        <f t="shared" si="20"/>
        <v>0</v>
      </c>
      <c r="K39" s="22">
        <f t="shared" si="20"/>
        <v>0</v>
      </c>
      <c r="L39" s="22">
        <f t="shared" si="20"/>
        <v>0</v>
      </c>
      <c r="M39" s="22">
        <f t="shared" si="20"/>
        <v>0</v>
      </c>
      <c r="N39" s="36">
        <f t="shared" ref="N39:O39" si="21">INT((INDEX(O$7:O$22,$B39)*(1-$D39)+INDEX(O$7:O$22,$B39+1)*$D39)*O$4*$B$2)</f>
        <v>33</v>
      </c>
      <c r="O39" s="36">
        <f t="shared" si="21"/>
        <v>12</v>
      </c>
      <c r="R39" s="91">
        <v>5</v>
      </c>
      <c r="S39" s="91" t="s">
        <v>823</v>
      </c>
      <c r="T39" s="91">
        <v>3</v>
      </c>
      <c r="U39" s="91">
        <v>40</v>
      </c>
      <c r="V39" s="91">
        <v>50</v>
      </c>
      <c r="W39" s="34">
        <v>2</v>
      </c>
      <c r="X39" s="34">
        <v>1</v>
      </c>
      <c r="Y39" s="34"/>
      <c r="Z39" s="15">
        <f t="shared" ref="Z39:AH39" si="22">INT(W$26*W9/$S$1/$T39/5)*5</f>
        <v>0</v>
      </c>
      <c r="AA39" s="15">
        <f t="shared" si="22"/>
        <v>35</v>
      </c>
      <c r="AB39" s="15">
        <f t="shared" si="22"/>
        <v>0</v>
      </c>
      <c r="AC39" s="15">
        <f t="shared" si="22"/>
        <v>0</v>
      </c>
      <c r="AD39" s="15">
        <f t="shared" si="22"/>
        <v>0</v>
      </c>
      <c r="AE39" s="15">
        <f t="shared" si="22"/>
        <v>65</v>
      </c>
      <c r="AF39" s="15">
        <f t="shared" si="22"/>
        <v>0</v>
      </c>
      <c r="AG39" s="15">
        <f t="shared" si="22"/>
        <v>0</v>
      </c>
      <c r="AH39" s="15">
        <f t="shared" si="22"/>
        <v>0</v>
      </c>
      <c r="AI39" s="15">
        <f t="shared" si="13"/>
        <v>7500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3">(INDEX(F$7:F$22,$B40)*(1-$D40)+INDEX(F$7:F$22,$B40+1)*$D40)*F$4*$B$2</f>
        <v>0.39249999999999996</v>
      </c>
      <c r="F40" s="22">
        <f t="shared" si="23"/>
        <v>0</v>
      </c>
      <c r="G40" s="22">
        <f t="shared" si="23"/>
        <v>0</v>
      </c>
      <c r="H40" s="22">
        <f t="shared" si="23"/>
        <v>0</v>
      </c>
      <c r="I40" s="22">
        <f t="shared" si="23"/>
        <v>0</v>
      </c>
      <c r="J40" s="22">
        <f t="shared" si="23"/>
        <v>0</v>
      </c>
      <c r="K40" s="22">
        <f t="shared" si="23"/>
        <v>0</v>
      </c>
      <c r="L40" s="22">
        <f t="shared" si="23"/>
        <v>0</v>
      </c>
      <c r="M40" s="22">
        <f t="shared" si="23"/>
        <v>0</v>
      </c>
      <c r="N40" s="36">
        <f t="shared" ref="N40:O40" si="24">INT((INDEX(O$7:O$22,$B40)*(1-$D40)+INDEX(O$7:O$22,$B40+1)*$D40)*O$4*$B$2)</f>
        <v>34</v>
      </c>
      <c r="O40" s="36">
        <f t="shared" si="24"/>
        <v>12</v>
      </c>
      <c r="R40" s="91">
        <v>6</v>
      </c>
      <c r="S40" s="91" t="s">
        <v>824</v>
      </c>
      <c r="T40" s="91">
        <v>4</v>
      </c>
      <c r="U40" s="91">
        <v>50</v>
      </c>
      <c r="V40" s="91">
        <v>60</v>
      </c>
      <c r="W40" s="34">
        <v>2</v>
      </c>
      <c r="X40" s="34">
        <v>1</v>
      </c>
      <c r="Y40" s="34"/>
      <c r="Z40" s="15">
        <f t="shared" ref="Z40:AH40" si="25">INT(W$26*W10/$S$1/$T40/5)*5</f>
        <v>0</v>
      </c>
      <c r="AA40" s="15">
        <f t="shared" si="25"/>
        <v>55</v>
      </c>
      <c r="AB40" s="15">
        <f t="shared" si="25"/>
        <v>0</v>
      </c>
      <c r="AC40" s="15">
        <f t="shared" si="25"/>
        <v>0</v>
      </c>
      <c r="AD40" s="15">
        <f t="shared" si="25"/>
        <v>0</v>
      </c>
      <c r="AE40" s="15">
        <f t="shared" si="25"/>
        <v>65</v>
      </c>
      <c r="AF40" s="15">
        <f t="shared" si="25"/>
        <v>0</v>
      </c>
      <c r="AG40" s="15">
        <f t="shared" si="25"/>
        <v>0</v>
      </c>
      <c r="AH40" s="15">
        <f t="shared" si="25"/>
        <v>0</v>
      </c>
      <c r="AI40" s="15">
        <f t="shared" si="13"/>
        <v>17500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6">(INDEX(F$7:F$22,$B41)*(1-$D41)+INDEX(F$7:F$22,$B41+1)*$D41)*F$4*$B$2</f>
        <v>0.41000000000000003</v>
      </c>
      <c r="F41" s="22">
        <f t="shared" si="26"/>
        <v>0</v>
      </c>
      <c r="G41" s="22">
        <f t="shared" si="26"/>
        <v>0</v>
      </c>
      <c r="H41" s="22">
        <f t="shared" si="26"/>
        <v>0</v>
      </c>
      <c r="I41" s="22">
        <f t="shared" si="26"/>
        <v>0</v>
      </c>
      <c r="J41" s="22">
        <f t="shared" si="26"/>
        <v>0</v>
      </c>
      <c r="K41" s="22">
        <f t="shared" si="26"/>
        <v>0</v>
      </c>
      <c r="L41" s="22">
        <f t="shared" si="26"/>
        <v>0</v>
      </c>
      <c r="M41" s="22">
        <f t="shared" si="26"/>
        <v>0</v>
      </c>
      <c r="N41" s="36">
        <f t="shared" ref="N41:O41" si="27">INT((INDEX(O$7:O$22,$B41)*(1-$D41)+INDEX(O$7:O$22,$B41+1)*$D41)*O$4*$B$2)</f>
        <v>35</v>
      </c>
      <c r="O41" s="36">
        <f t="shared" si="27"/>
        <v>13</v>
      </c>
      <c r="R41" s="91">
        <v>7</v>
      </c>
      <c r="S41" s="91" t="s">
        <v>825</v>
      </c>
      <c r="T41" s="91">
        <v>4</v>
      </c>
      <c r="U41" s="91">
        <v>60</v>
      </c>
      <c r="V41" s="91">
        <v>70</v>
      </c>
      <c r="W41" s="34">
        <v>2</v>
      </c>
      <c r="X41" s="34">
        <v>1</v>
      </c>
      <c r="Y41" s="34"/>
      <c r="Z41" s="15">
        <f t="shared" ref="Z41:AH41" si="28">INT(W$26*W11/$S$1/$T41/5)*5</f>
        <v>0</v>
      </c>
      <c r="AA41" s="15">
        <f t="shared" si="28"/>
        <v>80</v>
      </c>
      <c r="AB41" s="15">
        <f t="shared" si="28"/>
        <v>0</v>
      </c>
      <c r="AC41" s="15">
        <f t="shared" si="28"/>
        <v>0</v>
      </c>
      <c r="AD41" s="15">
        <f t="shared" si="28"/>
        <v>0</v>
      </c>
      <c r="AE41" s="15">
        <f t="shared" si="28"/>
        <v>80</v>
      </c>
      <c r="AF41" s="15">
        <f t="shared" si="28"/>
        <v>0</v>
      </c>
      <c r="AG41" s="15">
        <f t="shared" si="28"/>
        <v>0</v>
      </c>
      <c r="AH41" s="15">
        <f t="shared" si="28"/>
        <v>0</v>
      </c>
      <c r="AI41" s="15">
        <f t="shared" si="13"/>
        <v>19500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9">(INDEX(F$7:F$22,$B42)*(1-$D42)+INDEX(F$7:F$22,$B42+1)*$D42)*F$4*$B$2</f>
        <v>0.42749999999999999</v>
      </c>
      <c r="F42" s="22">
        <f t="shared" si="29"/>
        <v>0</v>
      </c>
      <c r="G42" s="22">
        <f t="shared" si="29"/>
        <v>0</v>
      </c>
      <c r="H42" s="22">
        <f t="shared" si="29"/>
        <v>0</v>
      </c>
      <c r="I42" s="22">
        <f t="shared" si="29"/>
        <v>0</v>
      </c>
      <c r="J42" s="22">
        <f t="shared" si="29"/>
        <v>0</v>
      </c>
      <c r="K42" s="22">
        <f t="shared" si="29"/>
        <v>0</v>
      </c>
      <c r="L42" s="22">
        <f t="shared" si="29"/>
        <v>0</v>
      </c>
      <c r="M42" s="22">
        <f t="shared" si="29"/>
        <v>0</v>
      </c>
      <c r="N42" s="36">
        <f t="shared" ref="N42:O42" si="30">INT((INDEX(O$7:O$22,$B42)*(1-$D42)+INDEX(O$7:O$22,$B42+1)*$D42)*O$4*$B$2)</f>
        <v>37</v>
      </c>
      <c r="O42" s="36">
        <f t="shared" si="30"/>
        <v>13</v>
      </c>
      <c r="R42" s="91">
        <v>8</v>
      </c>
      <c r="S42" s="91" t="s">
        <v>826</v>
      </c>
      <c r="T42" s="91">
        <v>5</v>
      </c>
      <c r="U42" s="91">
        <v>70</v>
      </c>
      <c r="V42" s="91">
        <v>80</v>
      </c>
      <c r="W42" s="34">
        <v>2</v>
      </c>
      <c r="X42" s="34">
        <v>1</v>
      </c>
      <c r="Y42" s="34"/>
      <c r="Z42" s="15">
        <f t="shared" ref="Z42:AH42" si="31">INT(W$26*W12/$S$1/$T42/5)*5</f>
        <v>0</v>
      </c>
      <c r="AA42" s="15">
        <f t="shared" si="31"/>
        <v>85</v>
      </c>
      <c r="AB42" s="15">
        <f t="shared" si="31"/>
        <v>0</v>
      </c>
      <c r="AC42" s="15">
        <f t="shared" si="31"/>
        <v>0</v>
      </c>
      <c r="AD42" s="15">
        <f t="shared" si="31"/>
        <v>0</v>
      </c>
      <c r="AE42" s="15">
        <f t="shared" si="31"/>
        <v>80</v>
      </c>
      <c r="AF42" s="15">
        <f t="shared" si="31"/>
        <v>0</v>
      </c>
      <c r="AG42" s="15">
        <f t="shared" si="31"/>
        <v>0</v>
      </c>
      <c r="AH42" s="15">
        <f t="shared" si="31"/>
        <v>0</v>
      </c>
      <c r="AI42" s="15">
        <f t="shared" si="13"/>
        <v>22000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2">(INDEX(F$7:F$22,$B43)*(1-$D43)+INDEX(F$7:F$22,$B43+1)*$D43)*F$4*$B$2</f>
        <v>0.44500000000000001</v>
      </c>
      <c r="F43" s="22">
        <f t="shared" si="32"/>
        <v>0</v>
      </c>
      <c r="G43" s="22">
        <f t="shared" si="32"/>
        <v>0</v>
      </c>
      <c r="H43" s="22">
        <f t="shared" si="32"/>
        <v>0</v>
      </c>
      <c r="I43" s="22">
        <f t="shared" si="32"/>
        <v>0</v>
      </c>
      <c r="J43" s="22">
        <f t="shared" si="32"/>
        <v>0</v>
      </c>
      <c r="K43" s="22">
        <f t="shared" si="32"/>
        <v>0</v>
      </c>
      <c r="L43" s="22">
        <f t="shared" si="32"/>
        <v>0</v>
      </c>
      <c r="M43" s="22">
        <f t="shared" si="32"/>
        <v>0</v>
      </c>
      <c r="N43" s="36">
        <f t="shared" ref="N43:O43" si="33">INT((INDEX(O$7:O$22,$B43)*(1-$D43)+INDEX(O$7:O$22,$B43+1)*$D43)*O$4*$B$2)</f>
        <v>38</v>
      </c>
      <c r="O43" s="36">
        <f t="shared" si="33"/>
        <v>13</v>
      </c>
      <c r="R43" s="91">
        <v>9</v>
      </c>
      <c r="S43" s="91" t="s">
        <v>827</v>
      </c>
      <c r="T43" s="91">
        <v>5</v>
      </c>
      <c r="U43" s="91">
        <v>80</v>
      </c>
      <c r="V43" s="91">
        <v>85</v>
      </c>
      <c r="W43" s="34">
        <v>3</v>
      </c>
      <c r="X43" s="34">
        <v>2</v>
      </c>
      <c r="Y43" s="34"/>
      <c r="Z43" s="15">
        <f t="shared" ref="Z43:AH43" si="34">INT(W$26*W13/$S$1/$T43/5)*5</f>
        <v>0</v>
      </c>
      <c r="AA43" s="15">
        <f t="shared" si="34"/>
        <v>0</v>
      </c>
      <c r="AB43" s="15">
        <f t="shared" si="34"/>
        <v>40</v>
      </c>
      <c r="AC43" s="15">
        <f t="shared" si="34"/>
        <v>0</v>
      </c>
      <c r="AD43" s="15">
        <f t="shared" si="34"/>
        <v>0</v>
      </c>
      <c r="AE43" s="15">
        <f t="shared" si="34"/>
        <v>0</v>
      </c>
      <c r="AF43" s="15">
        <f t="shared" si="34"/>
        <v>35</v>
      </c>
      <c r="AG43" s="15">
        <f t="shared" si="34"/>
        <v>0</v>
      </c>
      <c r="AH43" s="15">
        <f t="shared" si="34"/>
        <v>0</v>
      </c>
      <c r="AI43" s="15">
        <f t="shared" si="13"/>
        <v>25000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5">(INDEX(F$7:F$22,$B44)*(1-$D44)+INDEX(F$7:F$22,$B44+1)*$D44)*F$4*$B$2</f>
        <v>0.46250000000000002</v>
      </c>
      <c r="F44" s="22">
        <f t="shared" si="35"/>
        <v>0</v>
      </c>
      <c r="G44" s="22">
        <f t="shared" si="35"/>
        <v>0</v>
      </c>
      <c r="H44" s="22">
        <f t="shared" si="35"/>
        <v>0</v>
      </c>
      <c r="I44" s="22">
        <f t="shared" si="35"/>
        <v>0</v>
      </c>
      <c r="J44" s="22">
        <f t="shared" si="35"/>
        <v>0</v>
      </c>
      <c r="K44" s="22">
        <f t="shared" si="35"/>
        <v>0</v>
      </c>
      <c r="L44" s="22">
        <f t="shared" si="35"/>
        <v>0</v>
      </c>
      <c r="M44" s="22">
        <f t="shared" si="35"/>
        <v>0</v>
      </c>
      <c r="N44" s="36">
        <f t="shared" ref="N44:O44" si="36">INT((INDEX(O$7:O$22,$B44)*(1-$D44)+INDEX(O$7:O$22,$B44+1)*$D44)*O$4*$B$2)</f>
        <v>39</v>
      </c>
      <c r="O44" s="36">
        <f t="shared" si="36"/>
        <v>14</v>
      </c>
      <c r="R44" s="91">
        <v>10</v>
      </c>
      <c r="S44" s="91" t="s">
        <v>828</v>
      </c>
      <c r="T44" s="91">
        <v>6</v>
      </c>
      <c r="U44" s="91">
        <v>85</v>
      </c>
      <c r="V44" s="91">
        <v>90</v>
      </c>
      <c r="W44" s="34">
        <v>3</v>
      </c>
      <c r="X44" s="34">
        <v>2</v>
      </c>
      <c r="Y44" s="34"/>
      <c r="Z44" s="15">
        <f t="shared" ref="Z44:AH44" si="37">INT(W$26*W14/$S$1/$T44/5)*5</f>
        <v>0</v>
      </c>
      <c r="AA44" s="15">
        <f t="shared" si="37"/>
        <v>0</v>
      </c>
      <c r="AB44" s="15">
        <f t="shared" si="37"/>
        <v>70</v>
      </c>
      <c r="AC44" s="15">
        <f t="shared" si="37"/>
        <v>0</v>
      </c>
      <c r="AD44" s="15">
        <f t="shared" si="37"/>
        <v>0</v>
      </c>
      <c r="AE44" s="15">
        <f t="shared" si="37"/>
        <v>0</v>
      </c>
      <c r="AF44" s="15">
        <f t="shared" si="37"/>
        <v>45</v>
      </c>
      <c r="AG44" s="15">
        <f t="shared" si="37"/>
        <v>0</v>
      </c>
      <c r="AH44" s="15">
        <f t="shared" si="37"/>
        <v>0</v>
      </c>
      <c r="AI44" s="15">
        <f t="shared" si="13"/>
        <v>27500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8">(INDEX(F$7:F$22,$B45)*(1-$D45)+INDEX(F$7:F$22,$B45+1)*$D45)*F$4*$B$2</f>
        <v>0.48</v>
      </c>
      <c r="F45" s="22">
        <f t="shared" si="38"/>
        <v>0</v>
      </c>
      <c r="G45" s="22">
        <f t="shared" si="38"/>
        <v>0</v>
      </c>
      <c r="H45" s="22">
        <f t="shared" si="38"/>
        <v>0</v>
      </c>
      <c r="I45" s="22">
        <f t="shared" si="38"/>
        <v>0</v>
      </c>
      <c r="J45" s="22">
        <f t="shared" si="38"/>
        <v>0</v>
      </c>
      <c r="K45" s="22">
        <f t="shared" si="38"/>
        <v>0</v>
      </c>
      <c r="L45" s="22">
        <f t="shared" si="38"/>
        <v>0</v>
      </c>
      <c r="M45" s="22">
        <f t="shared" si="38"/>
        <v>0</v>
      </c>
      <c r="N45" s="36">
        <f t="shared" ref="N45:O45" si="39">INT((INDEX(O$7:O$22,$B45)*(1-$D45)+INDEX(O$7:O$22,$B45+1)*$D45)*O$4*$B$2)</f>
        <v>40</v>
      </c>
      <c r="O45" s="36">
        <f t="shared" si="39"/>
        <v>14</v>
      </c>
      <c r="R45" s="91">
        <v>11</v>
      </c>
      <c r="S45" s="91" t="s">
        <v>829</v>
      </c>
      <c r="T45" s="91">
        <v>6</v>
      </c>
      <c r="U45" s="91">
        <v>90</v>
      </c>
      <c r="V45" s="91">
        <v>95</v>
      </c>
      <c r="W45" s="34">
        <v>3</v>
      </c>
      <c r="X45" s="34">
        <v>2</v>
      </c>
      <c r="Y45" s="34"/>
      <c r="Z45" s="15">
        <f t="shared" ref="Z45:AH45" si="40">INT(W$26*W15/$S$1/$T45/5)*5</f>
        <v>0</v>
      </c>
      <c r="AA45" s="15">
        <f t="shared" si="40"/>
        <v>0</v>
      </c>
      <c r="AB45" s="15">
        <f t="shared" si="40"/>
        <v>105</v>
      </c>
      <c r="AC45" s="15">
        <f t="shared" si="40"/>
        <v>0</v>
      </c>
      <c r="AD45" s="15">
        <f t="shared" si="40"/>
        <v>0</v>
      </c>
      <c r="AE45" s="15">
        <f t="shared" si="40"/>
        <v>0</v>
      </c>
      <c r="AF45" s="15">
        <f t="shared" si="40"/>
        <v>70</v>
      </c>
      <c r="AG45" s="15">
        <f t="shared" si="40"/>
        <v>0</v>
      </c>
      <c r="AH45" s="15">
        <f t="shared" si="40"/>
        <v>0</v>
      </c>
      <c r="AI45" s="15">
        <f t="shared" si="13"/>
        <v>30000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6">
        <f t="shared" ref="N46:O46" si="42">INT((INDEX(O$7:O$22,$B46)*(1-$D46)+INDEX(O$7:O$22,$B46+1)*$D46)*O$4*$B$2)</f>
        <v>42</v>
      </c>
      <c r="O46" s="36">
        <f t="shared" si="42"/>
        <v>15</v>
      </c>
      <c r="R46" s="91">
        <v>12</v>
      </c>
      <c r="S46" s="91" t="s">
        <v>830</v>
      </c>
      <c r="T46" s="91">
        <v>7</v>
      </c>
      <c r="U46" s="91">
        <v>95</v>
      </c>
      <c r="V46" s="91">
        <v>100</v>
      </c>
      <c r="W46" s="34">
        <v>3</v>
      </c>
      <c r="X46" s="34">
        <v>2</v>
      </c>
      <c r="Y46" s="34"/>
      <c r="Z46" s="15">
        <f t="shared" ref="Z46:AH46" si="43">INT(W$26*W16/$S$1/$T46/5)*5</f>
        <v>0</v>
      </c>
      <c r="AA46" s="15">
        <f t="shared" si="43"/>
        <v>0</v>
      </c>
      <c r="AB46" s="15">
        <f t="shared" si="43"/>
        <v>120</v>
      </c>
      <c r="AC46" s="15">
        <f t="shared" si="43"/>
        <v>0</v>
      </c>
      <c r="AD46" s="15">
        <f t="shared" si="43"/>
        <v>0</v>
      </c>
      <c r="AE46" s="15">
        <f t="shared" si="43"/>
        <v>0</v>
      </c>
      <c r="AF46" s="15">
        <f t="shared" si="43"/>
        <v>80</v>
      </c>
      <c r="AG46" s="15">
        <f t="shared" si="43"/>
        <v>0</v>
      </c>
      <c r="AH46" s="15">
        <f t="shared" si="43"/>
        <v>0</v>
      </c>
      <c r="AI46" s="15">
        <f t="shared" si="13"/>
        <v>32000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4">(INDEX(F$7:F$22,$B47)*(1-$D47)+INDEX(F$7:F$22,$B47+1)*$D47)*F$4*$B$2</f>
        <v>0.625</v>
      </c>
      <c r="F47" s="22">
        <f t="shared" si="44"/>
        <v>0</v>
      </c>
      <c r="G47" s="22">
        <f t="shared" si="44"/>
        <v>0</v>
      </c>
      <c r="H47" s="22">
        <f t="shared" si="44"/>
        <v>0</v>
      </c>
      <c r="I47" s="22">
        <f t="shared" si="44"/>
        <v>0</v>
      </c>
      <c r="J47" s="22">
        <f t="shared" si="44"/>
        <v>0</v>
      </c>
      <c r="K47" s="22">
        <f t="shared" si="44"/>
        <v>0</v>
      </c>
      <c r="L47" s="22">
        <f t="shared" si="44"/>
        <v>0</v>
      </c>
      <c r="M47" s="22">
        <f t="shared" si="44"/>
        <v>0</v>
      </c>
      <c r="N47" s="36">
        <f t="shared" ref="N47:O47" si="45">INT((INDEX(O$7:O$22,$B47)*(1-$D47)+INDEX(O$7:O$22,$B47+1)*$D47)*O$4*$B$2)</f>
        <v>56</v>
      </c>
      <c r="O47" s="36">
        <f t="shared" si="45"/>
        <v>17</v>
      </c>
      <c r="R47" s="91">
        <v>13</v>
      </c>
      <c r="S47" s="91" t="s">
        <v>831</v>
      </c>
      <c r="T47" s="91">
        <v>7</v>
      </c>
      <c r="U47" s="91">
        <v>100</v>
      </c>
      <c r="V47" s="91">
        <v>105</v>
      </c>
      <c r="W47" s="34">
        <v>4</v>
      </c>
      <c r="X47" s="34">
        <v>2</v>
      </c>
      <c r="Y47" s="34"/>
      <c r="Z47" s="15">
        <f t="shared" ref="Z47:AH47" si="46">INT(W$26*W17/$S$1/$T47/5)*5</f>
        <v>0</v>
      </c>
      <c r="AA47" s="15">
        <f t="shared" si="46"/>
        <v>0</v>
      </c>
      <c r="AB47" s="15">
        <f t="shared" si="46"/>
        <v>0</v>
      </c>
      <c r="AC47" s="15">
        <f t="shared" si="46"/>
        <v>50</v>
      </c>
      <c r="AD47" s="15">
        <f t="shared" si="46"/>
        <v>0</v>
      </c>
      <c r="AE47" s="15">
        <f t="shared" si="46"/>
        <v>0</v>
      </c>
      <c r="AF47" s="15">
        <f t="shared" si="46"/>
        <v>95</v>
      </c>
      <c r="AG47" s="15">
        <f t="shared" si="46"/>
        <v>0</v>
      </c>
      <c r="AH47" s="15">
        <f t="shared" si="46"/>
        <v>0</v>
      </c>
      <c r="AI47" s="15">
        <f t="shared" si="13"/>
        <v>40500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7">(INDEX(F$7:F$22,$B48)*(1-$D48)+INDEX(F$7:F$22,$B48+1)*$D48)*F$4*$B$2</f>
        <v>0.64</v>
      </c>
      <c r="F48" s="22">
        <f t="shared" si="47"/>
        <v>0</v>
      </c>
      <c r="G48" s="22">
        <f t="shared" si="47"/>
        <v>0</v>
      </c>
      <c r="H48" s="22">
        <f t="shared" si="47"/>
        <v>0</v>
      </c>
      <c r="I48" s="22">
        <f t="shared" si="47"/>
        <v>0</v>
      </c>
      <c r="J48" s="22">
        <f t="shared" si="47"/>
        <v>0</v>
      </c>
      <c r="K48" s="22">
        <f t="shared" si="47"/>
        <v>0</v>
      </c>
      <c r="L48" s="22">
        <f t="shared" si="47"/>
        <v>0</v>
      </c>
      <c r="M48" s="22">
        <f t="shared" si="47"/>
        <v>0</v>
      </c>
      <c r="N48" s="36">
        <f t="shared" ref="N48:O48" si="48">INT((INDEX(O$7:O$22,$B48)*(1-$D48)+INDEX(O$7:O$22,$B48+1)*$D48)*O$4*$B$2)</f>
        <v>57</v>
      </c>
      <c r="O48" s="36">
        <f t="shared" si="48"/>
        <v>17</v>
      </c>
      <c r="R48" s="91">
        <v>14</v>
      </c>
      <c r="S48" s="91" t="s">
        <v>832</v>
      </c>
      <c r="T48" s="91">
        <v>8</v>
      </c>
      <c r="U48" s="91">
        <v>105</v>
      </c>
      <c r="V48" s="91">
        <v>110</v>
      </c>
      <c r="W48" s="34">
        <v>4</v>
      </c>
      <c r="X48" s="34">
        <v>2</v>
      </c>
      <c r="Y48" s="34"/>
      <c r="Z48" s="15">
        <f t="shared" ref="Z48:AH48" si="49">INT(W$26*W18/$S$1/$T48/5)*5</f>
        <v>0</v>
      </c>
      <c r="AA48" s="15">
        <f t="shared" si="49"/>
        <v>0</v>
      </c>
      <c r="AB48" s="15">
        <f t="shared" si="49"/>
        <v>0</v>
      </c>
      <c r="AC48" s="15">
        <f t="shared" si="49"/>
        <v>85</v>
      </c>
      <c r="AD48" s="15">
        <f t="shared" si="49"/>
        <v>0</v>
      </c>
      <c r="AE48" s="15">
        <f t="shared" si="49"/>
        <v>0</v>
      </c>
      <c r="AF48" s="15">
        <f t="shared" si="49"/>
        <v>100</v>
      </c>
      <c r="AG48" s="15">
        <f t="shared" si="49"/>
        <v>0</v>
      </c>
      <c r="AH48" s="15">
        <f t="shared" si="49"/>
        <v>0</v>
      </c>
      <c r="AI48" s="15">
        <f t="shared" si="13"/>
        <v>54000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50">(INDEX(F$7:F$22,$B49)*(1-$D49)+INDEX(F$7:F$22,$B49+1)*$D49)*F$4*$B$2</f>
        <v>0.65500000000000003</v>
      </c>
      <c r="F49" s="22">
        <f t="shared" si="50"/>
        <v>0</v>
      </c>
      <c r="G49" s="22">
        <f t="shared" si="50"/>
        <v>0</v>
      </c>
      <c r="H49" s="22">
        <f t="shared" si="50"/>
        <v>0</v>
      </c>
      <c r="I49" s="22">
        <f t="shared" si="50"/>
        <v>0</v>
      </c>
      <c r="J49" s="22">
        <f t="shared" si="50"/>
        <v>0</v>
      </c>
      <c r="K49" s="22">
        <f t="shared" si="50"/>
        <v>0</v>
      </c>
      <c r="L49" s="22">
        <f t="shared" si="50"/>
        <v>0</v>
      </c>
      <c r="M49" s="22">
        <f t="shared" si="50"/>
        <v>0</v>
      </c>
      <c r="N49" s="36">
        <f t="shared" ref="N49:O49" si="51">INT((INDEX(O$7:O$22,$B49)*(1-$D49)+INDEX(O$7:O$22,$B49+1)*$D49)*O$4*$B$2)</f>
        <v>59</v>
      </c>
      <c r="O49" s="36">
        <f t="shared" si="51"/>
        <v>18</v>
      </c>
      <c r="R49" s="91">
        <v>15</v>
      </c>
      <c r="S49" s="91" t="s">
        <v>833</v>
      </c>
      <c r="T49" s="91">
        <v>8</v>
      </c>
      <c r="U49" s="91">
        <v>110</v>
      </c>
      <c r="V49" s="91">
        <v>115</v>
      </c>
      <c r="W49" s="34">
        <v>4</v>
      </c>
      <c r="X49" s="34">
        <v>3</v>
      </c>
      <c r="Y49" s="34"/>
      <c r="Z49" s="15">
        <f t="shared" ref="Z49:AH49" si="52">INT(W$26*W19/$S$1/$T49/5)*5</f>
        <v>0</v>
      </c>
      <c r="AA49" s="15">
        <f t="shared" si="52"/>
        <v>0</v>
      </c>
      <c r="AB49" s="15">
        <f t="shared" si="52"/>
        <v>0</v>
      </c>
      <c r="AC49" s="15">
        <f t="shared" si="52"/>
        <v>130</v>
      </c>
      <c r="AD49" s="15">
        <f t="shared" si="52"/>
        <v>0</v>
      </c>
      <c r="AE49" s="15">
        <f t="shared" si="52"/>
        <v>0</v>
      </c>
      <c r="AF49" s="15">
        <f t="shared" si="52"/>
        <v>0</v>
      </c>
      <c r="AG49" s="15">
        <f t="shared" si="52"/>
        <v>15</v>
      </c>
      <c r="AH49" s="15">
        <f t="shared" si="52"/>
        <v>0</v>
      </c>
      <c r="AI49" s="15">
        <f t="shared" si="13"/>
        <v>63000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3">(INDEX(F$7:F$22,$B50)*(1-$D50)+INDEX(F$7:F$22,$B50+1)*$D50)*F$4*$B$2</f>
        <v>0.66999999999999993</v>
      </c>
      <c r="F50" s="22">
        <f t="shared" si="53"/>
        <v>0</v>
      </c>
      <c r="G50" s="22">
        <f t="shared" si="53"/>
        <v>0</v>
      </c>
      <c r="H50" s="22">
        <f t="shared" si="53"/>
        <v>0</v>
      </c>
      <c r="I50" s="22">
        <f t="shared" si="53"/>
        <v>0</v>
      </c>
      <c r="J50" s="22">
        <f t="shared" si="53"/>
        <v>0</v>
      </c>
      <c r="K50" s="22">
        <f t="shared" si="53"/>
        <v>0</v>
      </c>
      <c r="L50" s="22">
        <f t="shared" si="53"/>
        <v>0</v>
      </c>
      <c r="M50" s="22">
        <f t="shared" si="53"/>
        <v>0</v>
      </c>
      <c r="N50" s="36">
        <f t="shared" ref="N50:O50" si="54">INT((INDEX(O$7:O$22,$B50)*(1-$D50)+INDEX(O$7:O$22,$B50+1)*$D50)*O$4*$B$2)</f>
        <v>61</v>
      </c>
      <c r="O50" s="36">
        <f t="shared" si="54"/>
        <v>18</v>
      </c>
      <c r="R50" s="91">
        <v>16</v>
      </c>
      <c r="S50" s="91" t="s">
        <v>834</v>
      </c>
      <c r="T50" s="91">
        <v>9</v>
      </c>
      <c r="U50" s="91">
        <v>115</v>
      </c>
      <c r="V50" s="91">
        <v>120</v>
      </c>
      <c r="W50" s="34">
        <v>4</v>
      </c>
      <c r="X50" s="34">
        <v>3</v>
      </c>
      <c r="Y50" s="34"/>
      <c r="Z50" s="15">
        <f t="shared" ref="Z50:AH50" si="55">INT(W$26*W20/$S$1/$T50/5)*5</f>
        <v>0</v>
      </c>
      <c r="AA50" s="15">
        <f t="shared" si="55"/>
        <v>0</v>
      </c>
      <c r="AB50" s="15">
        <f t="shared" si="55"/>
        <v>0</v>
      </c>
      <c r="AC50" s="15">
        <f t="shared" si="55"/>
        <v>155</v>
      </c>
      <c r="AD50" s="15">
        <f t="shared" si="55"/>
        <v>0</v>
      </c>
      <c r="AE50" s="15">
        <f t="shared" si="55"/>
        <v>0</v>
      </c>
      <c r="AF50" s="15">
        <f t="shared" si="55"/>
        <v>0</v>
      </c>
      <c r="AG50" s="15">
        <f t="shared" si="55"/>
        <v>20</v>
      </c>
      <c r="AH50" s="15">
        <f t="shared" si="55"/>
        <v>0</v>
      </c>
      <c r="AI50" s="15">
        <f t="shared" si="13"/>
        <v>73000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6">(INDEX(F$7:F$22,$B51)*(1-$D51)+INDEX(F$7:F$22,$B51+1)*$D51)*F$4*$B$2</f>
        <v>0.68499999999999994</v>
      </c>
      <c r="F51" s="22">
        <f t="shared" si="56"/>
        <v>0</v>
      </c>
      <c r="G51" s="22">
        <f t="shared" si="56"/>
        <v>0</v>
      </c>
      <c r="H51" s="22">
        <f t="shared" si="56"/>
        <v>0</v>
      </c>
      <c r="I51" s="22">
        <f t="shared" si="56"/>
        <v>0</v>
      </c>
      <c r="J51" s="22">
        <f t="shared" si="56"/>
        <v>0</v>
      </c>
      <c r="K51" s="22">
        <f t="shared" si="56"/>
        <v>0</v>
      </c>
      <c r="L51" s="22">
        <f t="shared" si="56"/>
        <v>0</v>
      </c>
      <c r="M51" s="22">
        <f t="shared" si="56"/>
        <v>0</v>
      </c>
      <c r="N51" s="36">
        <f t="shared" ref="N51:O51" si="57">INT((INDEX(O$7:O$22,$B51)*(1-$D51)+INDEX(O$7:O$22,$B51+1)*$D51)*O$4*$B$2)</f>
        <v>62</v>
      </c>
      <c r="O51" s="36">
        <f t="shared" si="57"/>
        <v>18</v>
      </c>
      <c r="R51" s="91">
        <v>17</v>
      </c>
      <c r="S51" s="91" t="s">
        <v>835</v>
      </c>
      <c r="T51" s="91">
        <v>9</v>
      </c>
      <c r="U51" s="91">
        <v>120</v>
      </c>
      <c r="V51" s="91">
        <v>125</v>
      </c>
      <c r="W51" s="34">
        <v>5</v>
      </c>
      <c r="X51" s="34">
        <v>3</v>
      </c>
      <c r="Y51" s="34">
        <v>1</v>
      </c>
      <c r="Z51" s="15">
        <f t="shared" ref="Z51:AH51" si="58">INT(W$26*W21/$S$1/$T51/5)*5</f>
        <v>0</v>
      </c>
      <c r="AA51" s="15">
        <f t="shared" si="58"/>
        <v>0</v>
      </c>
      <c r="AB51" s="15">
        <f t="shared" si="58"/>
        <v>0</v>
      </c>
      <c r="AC51" s="15">
        <f t="shared" si="58"/>
        <v>0</v>
      </c>
      <c r="AD51" s="15">
        <f t="shared" si="58"/>
        <v>15</v>
      </c>
      <c r="AE51" s="15">
        <f t="shared" si="58"/>
        <v>0</v>
      </c>
      <c r="AF51" s="15">
        <f t="shared" si="58"/>
        <v>0</v>
      </c>
      <c r="AG51" s="15">
        <f t="shared" si="58"/>
        <v>30</v>
      </c>
      <c r="AH51" s="15">
        <f t="shared" si="58"/>
        <v>5</v>
      </c>
      <c r="AI51" s="15">
        <f t="shared" si="13"/>
        <v>76000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9">(INDEX(F$7:F$22,$B52)*(1-$D52)+INDEX(F$7:F$22,$B52+1)*$D52)*F$4*$B$2</f>
        <v>0.70000000000000007</v>
      </c>
      <c r="F52" s="22">
        <f t="shared" si="59"/>
        <v>0</v>
      </c>
      <c r="G52" s="22">
        <f t="shared" si="59"/>
        <v>0</v>
      </c>
      <c r="H52" s="22">
        <f t="shared" si="59"/>
        <v>0</v>
      </c>
      <c r="I52" s="22">
        <f t="shared" si="59"/>
        <v>0</v>
      </c>
      <c r="J52" s="22">
        <f t="shared" si="59"/>
        <v>0</v>
      </c>
      <c r="K52" s="22">
        <f t="shared" si="59"/>
        <v>0</v>
      </c>
      <c r="L52" s="22">
        <f t="shared" si="59"/>
        <v>0</v>
      </c>
      <c r="M52" s="22">
        <f t="shared" si="59"/>
        <v>0</v>
      </c>
      <c r="N52" s="36">
        <f t="shared" ref="N52:O52" si="60">INT((INDEX(O$7:O$22,$B52)*(1-$D52)+INDEX(O$7:O$22,$B52+1)*$D52)*O$4*$B$2)</f>
        <v>64</v>
      </c>
      <c r="O52" s="36">
        <f t="shared" si="60"/>
        <v>19</v>
      </c>
      <c r="R52" s="91">
        <v>18</v>
      </c>
      <c r="S52" s="91" t="s">
        <v>836</v>
      </c>
      <c r="T52" s="91">
        <v>9</v>
      </c>
      <c r="U52" s="91">
        <v>125</v>
      </c>
      <c r="V52" s="91">
        <v>130</v>
      </c>
      <c r="W52" s="34">
        <v>5</v>
      </c>
      <c r="X52" s="34">
        <v>3</v>
      </c>
      <c r="Y52" s="34">
        <v>1</v>
      </c>
      <c r="Z52" s="15">
        <f t="shared" ref="Z52:AH52" si="61">INT(W$26*W22/$S$1/$T52/5)*5</f>
        <v>0</v>
      </c>
      <c r="AA52" s="15">
        <f t="shared" si="61"/>
        <v>0</v>
      </c>
      <c r="AB52" s="15">
        <f t="shared" si="61"/>
        <v>0</v>
      </c>
      <c r="AC52" s="15">
        <f t="shared" si="61"/>
        <v>0</v>
      </c>
      <c r="AD52" s="15">
        <f t="shared" si="61"/>
        <v>20</v>
      </c>
      <c r="AE52" s="15">
        <f t="shared" si="61"/>
        <v>0</v>
      </c>
      <c r="AF52" s="15">
        <f t="shared" si="61"/>
        <v>0</v>
      </c>
      <c r="AG52" s="15">
        <f t="shared" si="61"/>
        <v>40</v>
      </c>
      <c r="AH52" s="15">
        <f t="shared" si="61"/>
        <v>10</v>
      </c>
      <c r="AI52" s="15">
        <f t="shared" si="13"/>
        <v>106500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2">(INDEX(F$7:F$22,$B53)*(1-$D53)+INDEX(F$7:F$22,$B53+1)*$D53)*F$4*$B$2</f>
        <v>0.71500000000000008</v>
      </c>
      <c r="F53" s="22">
        <f t="shared" si="62"/>
        <v>0</v>
      </c>
      <c r="G53" s="22">
        <f t="shared" si="62"/>
        <v>0</v>
      </c>
      <c r="H53" s="22">
        <f t="shared" si="62"/>
        <v>0</v>
      </c>
      <c r="I53" s="22">
        <f t="shared" si="62"/>
        <v>0</v>
      </c>
      <c r="J53" s="22">
        <f t="shared" si="62"/>
        <v>0</v>
      </c>
      <c r="K53" s="22">
        <f t="shared" si="62"/>
        <v>0</v>
      </c>
      <c r="L53" s="22">
        <f t="shared" si="62"/>
        <v>0</v>
      </c>
      <c r="M53" s="22">
        <f t="shared" si="62"/>
        <v>0</v>
      </c>
      <c r="N53" s="36">
        <f t="shared" ref="N53:O53" si="63">INT((INDEX(O$7:O$22,$B53)*(1-$D53)+INDEX(O$7:O$22,$B53+1)*$D53)*O$4*$B$2)</f>
        <v>66</v>
      </c>
      <c r="O53" s="36">
        <f t="shared" si="63"/>
        <v>19</v>
      </c>
      <c r="R53" s="91">
        <v>19</v>
      </c>
      <c r="S53" s="91" t="s">
        <v>837</v>
      </c>
      <c r="T53" s="91">
        <v>9</v>
      </c>
      <c r="U53" s="91">
        <v>130</v>
      </c>
      <c r="V53" s="91">
        <v>135</v>
      </c>
      <c r="W53" s="34">
        <v>5</v>
      </c>
      <c r="X53" s="34">
        <v>3</v>
      </c>
      <c r="Y53" s="34">
        <v>1</v>
      </c>
      <c r="Z53" s="15">
        <f t="shared" ref="Z53:AH53" si="64">INT(W$26*W23/$S$1/$T53/5)*5</f>
        <v>0</v>
      </c>
      <c r="AA53" s="15">
        <f t="shared" si="64"/>
        <v>0</v>
      </c>
      <c r="AB53" s="15">
        <f t="shared" si="64"/>
        <v>0</v>
      </c>
      <c r="AC53" s="15">
        <f t="shared" si="64"/>
        <v>0</v>
      </c>
      <c r="AD53" s="15">
        <f t="shared" si="64"/>
        <v>30</v>
      </c>
      <c r="AE53" s="15">
        <f t="shared" si="64"/>
        <v>0</v>
      </c>
      <c r="AF53" s="15">
        <f t="shared" si="64"/>
        <v>0</v>
      </c>
      <c r="AG53" s="15">
        <f t="shared" si="64"/>
        <v>50</v>
      </c>
      <c r="AH53" s="15">
        <f t="shared" si="64"/>
        <v>15</v>
      </c>
      <c r="AI53" s="15">
        <f t="shared" si="13"/>
        <v>142000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5">(INDEX(F$7:F$22,$B54)*(1-$D54)+INDEX(F$7:F$22,$B54+1)*$D54)*F$4*$B$2</f>
        <v>0.73</v>
      </c>
      <c r="F54" s="22">
        <f t="shared" si="65"/>
        <v>0</v>
      </c>
      <c r="G54" s="22">
        <f t="shared" si="65"/>
        <v>0</v>
      </c>
      <c r="H54" s="22">
        <f t="shared" si="65"/>
        <v>0</v>
      </c>
      <c r="I54" s="22">
        <f t="shared" si="65"/>
        <v>0</v>
      </c>
      <c r="J54" s="22">
        <f t="shared" si="65"/>
        <v>0</v>
      </c>
      <c r="K54" s="22">
        <f t="shared" si="65"/>
        <v>0</v>
      </c>
      <c r="L54" s="22">
        <f t="shared" si="65"/>
        <v>0</v>
      </c>
      <c r="M54" s="22">
        <f t="shared" si="65"/>
        <v>0</v>
      </c>
      <c r="N54" s="36">
        <f t="shared" ref="N54:O54" si="66">INT((INDEX(O$7:O$22,$B54)*(1-$D54)+INDEX(O$7:O$22,$B54+1)*$D54)*O$4*$B$2)</f>
        <v>67</v>
      </c>
      <c r="O54" s="36">
        <f t="shared" si="66"/>
        <v>19</v>
      </c>
      <c r="R54" s="91">
        <v>20</v>
      </c>
      <c r="S54" s="91" t="s">
        <v>838</v>
      </c>
      <c r="T54" s="91">
        <v>9</v>
      </c>
      <c r="U54" s="91">
        <v>135</v>
      </c>
      <c r="V54" s="91">
        <v>140</v>
      </c>
      <c r="W54" s="34">
        <v>5</v>
      </c>
      <c r="X54" s="34">
        <v>3</v>
      </c>
      <c r="Y54" s="34">
        <v>1</v>
      </c>
      <c r="Z54" s="15">
        <f t="shared" ref="Z54:AH54" si="67">INT(W$26*W24/$S$1/$T54/5)*5</f>
        <v>0</v>
      </c>
      <c r="AA54" s="15">
        <f t="shared" si="67"/>
        <v>0</v>
      </c>
      <c r="AB54" s="15">
        <f t="shared" si="67"/>
        <v>0</v>
      </c>
      <c r="AC54" s="15">
        <f t="shared" si="67"/>
        <v>0</v>
      </c>
      <c r="AD54" s="15">
        <f t="shared" si="67"/>
        <v>35</v>
      </c>
      <c r="AE54" s="15">
        <f t="shared" si="67"/>
        <v>0</v>
      </c>
      <c r="AF54" s="15">
        <f t="shared" si="67"/>
        <v>0</v>
      </c>
      <c r="AG54" s="15">
        <f t="shared" si="67"/>
        <v>60</v>
      </c>
      <c r="AH54" s="15">
        <f t="shared" si="67"/>
        <v>20</v>
      </c>
      <c r="AI54" s="15">
        <f t="shared" si="13"/>
        <v>177500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8">(INDEX(F$7:F$22,$B55)*(1-$D55)+INDEX(F$7:F$22,$B55+1)*$D55)*F$4*$B$2</f>
        <v>0.75</v>
      </c>
      <c r="F55" s="22">
        <f t="shared" si="68"/>
        <v>0</v>
      </c>
      <c r="G55" s="22">
        <f t="shared" si="68"/>
        <v>0</v>
      </c>
      <c r="H55" s="22">
        <f t="shared" si="68"/>
        <v>0</v>
      </c>
      <c r="I55" s="22">
        <f t="shared" si="68"/>
        <v>0</v>
      </c>
      <c r="J55" s="22">
        <f t="shared" si="68"/>
        <v>0</v>
      </c>
      <c r="K55" s="22">
        <f t="shared" si="68"/>
        <v>0</v>
      </c>
      <c r="L55" s="22">
        <f t="shared" si="68"/>
        <v>0</v>
      </c>
      <c r="M55" s="22">
        <f t="shared" si="68"/>
        <v>0</v>
      </c>
      <c r="N55" s="36">
        <f t="shared" ref="N55:O55" si="69">INT((INDEX(O$7:O$22,$B55)*(1-$D55)+INDEX(O$7:O$22,$B55+1)*$D55)*O$4*$B$2)</f>
        <v>70</v>
      </c>
      <c r="O55" s="36">
        <f t="shared" si="69"/>
        <v>20</v>
      </c>
      <c r="R55" s="91">
        <v>21</v>
      </c>
      <c r="S55" s="91" t="s">
        <v>839</v>
      </c>
      <c r="T55" s="91">
        <v>9</v>
      </c>
      <c r="U55" s="91">
        <v>140</v>
      </c>
      <c r="V55" s="91">
        <v>150</v>
      </c>
      <c r="W55" s="91">
        <v>5</v>
      </c>
      <c r="X55" s="34">
        <v>3</v>
      </c>
      <c r="Y55" s="91">
        <v>1</v>
      </c>
      <c r="Z55" s="15">
        <f t="shared" ref="Z55:AH55" si="70">INT(W$26*W25/$S$1/$T55/5)*5</f>
        <v>0</v>
      </c>
      <c r="AA55" s="15">
        <f t="shared" si="70"/>
        <v>0</v>
      </c>
      <c r="AB55" s="15">
        <f t="shared" si="70"/>
        <v>0</v>
      </c>
      <c r="AC55" s="15">
        <f t="shared" si="70"/>
        <v>0</v>
      </c>
      <c r="AD55" s="15">
        <f t="shared" si="70"/>
        <v>45</v>
      </c>
      <c r="AE55" s="15">
        <f t="shared" si="70"/>
        <v>0</v>
      </c>
      <c r="AF55" s="15">
        <f t="shared" si="70"/>
        <v>0</v>
      </c>
      <c r="AG55" s="15">
        <f t="shared" si="70"/>
        <v>75</v>
      </c>
      <c r="AH55" s="15">
        <f t="shared" si="70"/>
        <v>25</v>
      </c>
      <c r="AI55" s="15">
        <f t="shared" ref="AI55" si="71">AN24</f>
        <v>213000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2">(INDEX(F$7:F$22,$B56)*(1-$D56)+INDEX(F$7:F$22,$B56+1)*$D56)*F$4*$B$2</f>
        <v>0.875</v>
      </c>
      <c r="F56" s="22">
        <f t="shared" si="72"/>
        <v>6.25E-2</v>
      </c>
      <c r="G56" s="22">
        <f t="shared" si="72"/>
        <v>0</v>
      </c>
      <c r="H56" s="22">
        <f t="shared" si="72"/>
        <v>0</v>
      </c>
      <c r="I56" s="22">
        <f t="shared" si="72"/>
        <v>0</v>
      </c>
      <c r="J56" s="22">
        <f t="shared" si="72"/>
        <v>6.25E-2</v>
      </c>
      <c r="K56" s="22">
        <f t="shared" si="72"/>
        <v>0</v>
      </c>
      <c r="L56" s="22">
        <f t="shared" si="72"/>
        <v>0</v>
      </c>
      <c r="M56" s="22">
        <f t="shared" si="72"/>
        <v>0</v>
      </c>
      <c r="N56" s="36">
        <f t="shared" ref="N56:O56" si="73">INT((INDEX(O$7:O$22,$B56)*(1-$D56)+INDEX(O$7:O$22,$B56+1)*$D56)*O$4*$B$2)</f>
        <v>87</v>
      </c>
      <c r="O56" s="36">
        <f t="shared" si="73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4">(INDEX(F$7:F$22,$B57)*(1-$D57)+INDEX(F$7:F$22,$B57+1)*$D57)*F$4*$B$2</f>
        <v>0.89</v>
      </c>
      <c r="F57" s="22">
        <f t="shared" si="74"/>
        <v>7.0000000000000007E-2</v>
      </c>
      <c r="G57" s="22">
        <f t="shared" si="74"/>
        <v>0</v>
      </c>
      <c r="H57" s="22">
        <f t="shared" si="74"/>
        <v>0</v>
      </c>
      <c r="I57" s="22">
        <f t="shared" si="74"/>
        <v>0</v>
      </c>
      <c r="J57" s="22">
        <f t="shared" si="74"/>
        <v>7.0000000000000007E-2</v>
      </c>
      <c r="K57" s="22">
        <f t="shared" si="74"/>
        <v>0</v>
      </c>
      <c r="L57" s="22">
        <f t="shared" si="74"/>
        <v>0</v>
      </c>
      <c r="M57" s="22">
        <f t="shared" si="74"/>
        <v>0</v>
      </c>
      <c r="N57" s="36">
        <f t="shared" ref="N57:O57" si="75">INT((INDEX(O$7:O$22,$B57)*(1-$D57)+INDEX(O$7:O$22,$B57+1)*$D57)*O$4*$B$2)</f>
        <v>89</v>
      </c>
      <c r="O57" s="36">
        <f t="shared" si="75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6">(INDEX(F$7:F$22,$B58)*(1-$D58)+INDEX(F$7:F$22,$B58+1)*$D58)*F$4*$B$2</f>
        <v>0.90500000000000003</v>
      </c>
      <c r="F58" s="22">
        <f t="shared" si="76"/>
        <v>7.7499999999999999E-2</v>
      </c>
      <c r="G58" s="22">
        <f t="shared" si="76"/>
        <v>0</v>
      </c>
      <c r="H58" s="22">
        <f t="shared" si="76"/>
        <v>0</v>
      </c>
      <c r="I58" s="22">
        <f t="shared" si="76"/>
        <v>0</v>
      </c>
      <c r="J58" s="22">
        <f t="shared" si="76"/>
        <v>7.7499999999999999E-2</v>
      </c>
      <c r="K58" s="22">
        <f t="shared" si="76"/>
        <v>0</v>
      </c>
      <c r="L58" s="22">
        <f t="shared" si="76"/>
        <v>0</v>
      </c>
      <c r="M58" s="22">
        <f t="shared" si="76"/>
        <v>0</v>
      </c>
      <c r="N58" s="36">
        <f t="shared" ref="N58:O58" si="77">INT((INDEX(O$7:O$22,$B58)*(1-$D58)+INDEX(O$7:O$22,$B58+1)*$D58)*O$4*$B$2)</f>
        <v>91</v>
      </c>
      <c r="O58" s="36">
        <f t="shared" si="77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8">(INDEX(F$7:F$22,$B59)*(1-$D59)+INDEX(F$7:F$22,$B59+1)*$D59)*F$4*$B$2</f>
        <v>0.92</v>
      </c>
      <c r="F59" s="22">
        <f t="shared" si="78"/>
        <v>8.5000000000000006E-2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8.5000000000000006E-2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36">
        <f t="shared" ref="N59:O59" si="79">INT((INDEX(O$7:O$22,$B59)*(1-$D59)+INDEX(O$7:O$22,$B59+1)*$D59)*O$4*$B$2)</f>
        <v>93</v>
      </c>
      <c r="O59" s="36">
        <f t="shared" si="79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80">(INDEX(F$7:F$22,$B60)*(1-$D60)+INDEX(F$7:F$22,$B60+1)*$D60)*F$4*$B$2</f>
        <v>0.93500000000000005</v>
      </c>
      <c r="F60" s="22">
        <f t="shared" si="80"/>
        <v>9.2499999999999999E-2</v>
      </c>
      <c r="G60" s="22">
        <f t="shared" si="80"/>
        <v>0</v>
      </c>
      <c r="H60" s="22">
        <f t="shared" si="80"/>
        <v>0</v>
      </c>
      <c r="I60" s="22">
        <f t="shared" si="80"/>
        <v>0</v>
      </c>
      <c r="J60" s="22">
        <f t="shared" si="80"/>
        <v>9.2499999999999999E-2</v>
      </c>
      <c r="K60" s="22">
        <f t="shared" si="80"/>
        <v>0</v>
      </c>
      <c r="L60" s="22">
        <f t="shared" si="80"/>
        <v>0</v>
      </c>
      <c r="M60" s="22">
        <f t="shared" si="80"/>
        <v>0</v>
      </c>
      <c r="N60" s="36">
        <f t="shared" ref="N60:O60" si="81">INT((INDEX(O$7:O$22,$B60)*(1-$D60)+INDEX(O$7:O$22,$B60+1)*$D60)*O$4*$B$2)</f>
        <v>95</v>
      </c>
      <c r="O60" s="36">
        <f t="shared" si="81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2">(INDEX(F$7:F$22,$B61)*(1-$D61)+INDEX(F$7:F$22,$B61+1)*$D61)*F$4*$B$2</f>
        <v>0.95</v>
      </c>
      <c r="F61" s="22">
        <f t="shared" si="82"/>
        <v>0.1</v>
      </c>
      <c r="G61" s="22">
        <f t="shared" si="82"/>
        <v>0</v>
      </c>
      <c r="H61" s="22">
        <f t="shared" si="82"/>
        <v>0</v>
      </c>
      <c r="I61" s="22">
        <f t="shared" si="82"/>
        <v>0</v>
      </c>
      <c r="J61" s="22">
        <f t="shared" si="82"/>
        <v>0.1</v>
      </c>
      <c r="K61" s="22">
        <f t="shared" si="82"/>
        <v>0</v>
      </c>
      <c r="L61" s="22">
        <f t="shared" si="82"/>
        <v>0</v>
      </c>
      <c r="M61" s="22">
        <f t="shared" si="82"/>
        <v>0</v>
      </c>
      <c r="N61" s="36">
        <f t="shared" ref="N61:O61" si="83">INT((INDEX(O$7:O$22,$B61)*(1-$D61)+INDEX(O$7:O$22,$B61+1)*$D61)*O$4*$B$2)</f>
        <v>97</v>
      </c>
      <c r="O61" s="36">
        <f t="shared" si="83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4">(INDEX(F$7:F$22,$B62)*(1-$D62)+INDEX(F$7:F$22,$B62+1)*$D62)*F$4*$B$2</f>
        <v>0.96499999999999997</v>
      </c>
      <c r="F62" s="22">
        <f t="shared" si="84"/>
        <v>0.1075</v>
      </c>
      <c r="G62" s="22">
        <f t="shared" si="84"/>
        <v>0</v>
      </c>
      <c r="H62" s="22">
        <f t="shared" si="84"/>
        <v>0</v>
      </c>
      <c r="I62" s="22">
        <f t="shared" si="84"/>
        <v>0</v>
      </c>
      <c r="J62" s="22">
        <f t="shared" si="84"/>
        <v>0.1075</v>
      </c>
      <c r="K62" s="22">
        <f t="shared" si="84"/>
        <v>0</v>
      </c>
      <c r="L62" s="22">
        <f t="shared" si="84"/>
        <v>0</v>
      </c>
      <c r="M62" s="22">
        <f t="shared" si="84"/>
        <v>0</v>
      </c>
      <c r="N62" s="36">
        <f t="shared" ref="N62:O62" si="85">INT((INDEX(O$7:O$22,$B62)*(1-$D62)+INDEX(O$7:O$22,$B62+1)*$D62)*O$4*$B$2)</f>
        <v>99</v>
      </c>
      <c r="O62" s="36">
        <f t="shared" si="85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6">(INDEX(F$7:F$22,$B63)*(1-$D63)+INDEX(F$7:F$22,$B63+1)*$D63)*F$4*$B$2</f>
        <v>0.98</v>
      </c>
      <c r="F63" s="22">
        <f t="shared" si="86"/>
        <v>0.115</v>
      </c>
      <c r="G63" s="22">
        <f t="shared" si="86"/>
        <v>0</v>
      </c>
      <c r="H63" s="22">
        <f t="shared" si="86"/>
        <v>0</v>
      </c>
      <c r="I63" s="22">
        <f t="shared" si="86"/>
        <v>0</v>
      </c>
      <c r="J63" s="22">
        <f t="shared" si="86"/>
        <v>0.115</v>
      </c>
      <c r="K63" s="22">
        <f t="shared" si="86"/>
        <v>0</v>
      </c>
      <c r="L63" s="22">
        <f t="shared" si="86"/>
        <v>0</v>
      </c>
      <c r="M63" s="22">
        <f t="shared" si="86"/>
        <v>0</v>
      </c>
      <c r="N63" s="36">
        <f t="shared" ref="N63:O63" si="87">INT((INDEX(O$7:O$22,$B63)*(1-$D63)+INDEX(O$7:O$22,$B63+1)*$D63)*O$4*$B$2)</f>
        <v>101</v>
      </c>
      <c r="O63" s="36">
        <f t="shared" si="87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8">(INDEX(F$7:F$22,$B64)*(1-$D64)+INDEX(F$7:F$22,$B64+1)*$D64)*F$4*$B$2</f>
        <v>1</v>
      </c>
      <c r="F64" s="22">
        <f t="shared" si="88"/>
        <v>0.125</v>
      </c>
      <c r="G64" s="22">
        <f t="shared" si="88"/>
        <v>0</v>
      </c>
      <c r="H64" s="22">
        <f t="shared" si="88"/>
        <v>0</v>
      </c>
      <c r="I64" s="22">
        <f t="shared" si="88"/>
        <v>0</v>
      </c>
      <c r="J64" s="22">
        <f t="shared" si="88"/>
        <v>0.125</v>
      </c>
      <c r="K64" s="22">
        <f t="shared" si="88"/>
        <v>0</v>
      </c>
      <c r="L64" s="22">
        <f t="shared" si="88"/>
        <v>0</v>
      </c>
      <c r="M64" s="22">
        <f t="shared" si="88"/>
        <v>0</v>
      </c>
      <c r="N64" s="36">
        <f t="shared" ref="N64:O64" si="89">INT((INDEX(O$7:O$22,$B64)*(1-$D64)+INDEX(O$7:O$22,$B64+1)*$D64)*O$4*$B$2)</f>
        <v>104</v>
      </c>
      <c r="O64" s="36">
        <f t="shared" si="89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90">(INDEX(F$7:F$22,$B65)*(1-$D65)+INDEX(F$7:F$22,$B65+1)*$D65)*F$4*$B$2</f>
        <v>0.92499999999999993</v>
      </c>
      <c r="F65" s="22">
        <f t="shared" si="90"/>
        <v>0.16249999999999998</v>
      </c>
      <c r="G65" s="22">
        <f t="shared" si="90"/>
        <v>0</v>
      </c>
      <c r="H65" s="22">
        <f t="shared" si="90"/>
        <v>0</v>
      </c>
      <c r="I65" s="22">
        <f t="shared" si="90"/>
        <v>0</v>
      </c>
      <c r="J65" s="22">
        <f t="shared" si="90"/>
        <v>0.14749999999999999</v>
      </c>
      <c r="K65" s="22">
        <f t="shared" si="90"/>
        <v>0</v>
      </c>
      <c r="L65" s="22">
        <f t="shared" si="90"/>
        <v>0</v>
      </c>
      <c r="M65" s="22">
        <f t="shared" si="90"/>
        <v>0</v>
      </c>
      <c r="N65" s="36">
        <f t="shared" ref="N65:O65" si="91">INT((INDEX(O$7:O$22,$B65)*(1-$D65)+INDEX(O$7:O$22,$B65+1)*$D65)*O$4*$B$2)</f>
        <v>116</v>
      </c>
      <c r="O65" s="36">
        <f t="shared" si="91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2">(INDEX(F$7:F$22,$B66)*(1-$D66)+INDEX(F$7:F$22,$B66+1)*$D66)*F$4*$B$2</f>
        <v>0.91249999999999998</v>
      </c>
      <c r="F66" s="22">
        <f t="shared" si="92"/>
        <v>0.16875000000000001</v>
      </c>
      <c r="G66" s="22">
        <f t="shared" si="92"/>
        <v>0</v>
      </c>
      <c r="H66" s="22">
        <f t="shared" si="92"/>
        <v>0</v>
      </c>
      <c r="I66" s="22">
        <f t="shared" si="92"/>
        <v>0</v>
      </c>
      <c r="J66" s="22">
        <f t="shared" si="92"/>
        <v>0.15125</v>
      </c>
      <c r="K66" s="22">
        <f t="shared" si="92"/>
        <v>0</v>
      </c>
      <c r="L66" s="22">
        <f t="shared" si="92"/>
        <v>0</v>
      </c>
      <c r="M66" s="22">
        <f t="shared" si="92"/>
        <v>0</v>
      </c>
      <c r="N66" s="36">
        <f t="shared" ref="N66:O66" si="93">INT((INDEX(O$7:O$22,$B66)*(1-$D66)+INDEX(O$7:O$22,$B66+1)*$D66)*O$4*$B$2)</f>
        <v>118</v>
      </c>
      <c r="O66" s="36">
        <f t="shared" si="93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4">(INDEX(F$7:F$22,$B67)*(1-$D67)+INDEX(F$7:F$22,$B67+1)*$D67)*F$4*$B$2</f>
        <v>0.9</v>
      </c>
      <c r="F67" s="22">
        <f t="shared" si="94"/>
        <v>0.17499999999999999</v>
      </c>
      <c r="G67" s="22">
        <f t="shared" si="94"/>
        <v>0</v>
      </c>
      <c r="H67" s="22">
        <f t="shared" si="94"/>
        <v>0</v>
      </c>
      <c r="I67" s="22">
        <f t="shared" si="94"/>
        <v>0</v>
      </c>
      <c r="J67" s="22">
        <f t="shared" si="94"/>
        <v>0.15500000000000003</v>
      </c>
      <c r="K67" s="22">
        <f t="shared" si="94"/>
        <v>0</v>
      </c>
      <c r="L67" s="22">
        <f t="shared" si="94"/>
        <v>0</v>
      </c>
      <c r="M67" s="22">
        <f t="shared" si="94"/>
        <v>0</v>
      </c>
      <c r="N67" s="36">
        <f t="shared" ref="N67:O67" si="95">INT((INDEX(O$7:O$22,$B67)*(1-$D67)+INDEX(O$7:O$22,$B67+1)*$D67)*O$4*$B$2)</f>
        <v>120</v>
      </c>
      <c r="O67" s="36">
        <f t="shared" si="95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6">(INDEX(F$7:F$22,$B68)*(1-$D68)+INDEX(F$7:F$22,$B68+1)*$D68)*F$4*$B$2</f>
        <v>0.88750000000000007</v>
      </c>
      <c r="F68" s="22">
        <f t="shared" si="96"/>
        <v>0.18125000000000002</v>
      </c>
      <c r="G68" s="22">
        <f t="shared" si="96"/>
        <v>0</v>
      </c>
      <c r="H68" s="22">
        <f t="shared" si="96"/>
        <v>0</v>
      </c>
      <c r="I68" s="22">
        <f t="shared" si="96"/>
        <v>0</v>
      </c>
      <c r="J68" s="22">
        <f t="shared" si="96"/>
        <v>0.15875</v>
      </c>
      <c r="K68" s="22">
        <f t="shared" si="96"/>
        <v>0</v>
      </c>
      <c r="L68" s="22">
        <f t="shared" si="96"/>
        <v>0</v>
      </c>
      <c r="M68" s="22">
        <f t="shared" si="96"/>
        <v>0</v>
      </c>
      <c r="N68" s="36">
        <f t="shared" ref="N68:O68" si="97">INT((INDEX(O$7:O$22,$B68)*(1-$D68)+INDEX(O$7:O$22,$B68+1)*$D68)*O$4*$B$2)</f>
        <v>122</v>
      </c>
      <c r="O68" s="36">
        <f t="shared" si="97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8">(INDEX(F$7:F$22,$B69)*(1-$D69)+INDEX(F$7:F$22,$B69+1)*$D69)*F$4*$B$2</f>
        <v>0.875</v>
      </c>
      <c r="F69" s="22">
        <f t="shared" si="98"/>
        <v>0.1875</v>
      </c>
      <c r="G69" s="22">
        <f t="shared" si="98"/>
        <v>0</v>
      </c>
      <c r="H69" s="22">
        <f t="shared" si="98"/>
        <v>0</v>
      </c>
      <c r="I69" s="22">
        <f t="shared" si="98"/>
        <v>0</v>
      </c>
      <c r="J69" s="22">
        <f t="shared" si="98"/>
        <v>0.16250000000000001</v>
      </c>
      <c r="K69" s="22">
        <f t="shared" si="98"/>
        <v>0</v>
      </c>
      <c r="L69" s="22">
        <f t="shared" si="98"/>
        <v>0</v>
      </c>
      <c r="M69" s="22">
        <f t="shared" si="98"/>
        <v>0</v>
      </c>
      <c r="N69" s="36">
        <f t="shared" ref="N69:O69" si="99">INT((INDEX(O$7:O$22,$B69)*(1-$D69)+INDEX(O$7:O$22,$B69+1)*$D69)*O$4*$B$2)</f>
        <v>124</v>
      </c>
      <c r="O69" s="36">
        <f t="shared" si="99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100">(INDEX(F$7:F$22,$B70)*(1-$D70)+INDEX(F$7:F$22,$B70+1)*$D70)*F$4*$B$2</f>
        <v>0.86250000000000004</v>
      </c>
      <c r="F70" s="22">
        <f t="shared" si="100"/>
        <v>0.19375000000000001</v>
      </c>
      <c r="G70" s="22">
        <f t="shared" si="100"/>
        <v>0</v>
      </c>
      <c r="H70" s="22">
        <f t="shared" si="100"/>
        <v>0</v>
      </c>
      <c r="I70" s="22">
        <f t="shared" si="100"/>
        <v>0</v>
      </c>
      <c r="J70" s="22">
        <f t="shared" si="100"/>
        <v>0.16625000000000001</v>
      </c>
      <c r="K70" s="22">
        <f t="shared" si="100"/>
        <v>0</v>
      </c>
      <c r="L70" s="22">
        <f t="shared" si="100"/>
        <v>0</v>
      </c>
      <c r="M70" s="22">
        <f t="shared" si="100"/>
        <v>0</v>
      </c>
      <c r="N70" s="36">
        <f t="shared" ref="N70:O70" si="101">INT((INDEX(O$7:O$22,$B70)*(1-$D70)+INDEX(O$7:O$22,$B70+1)*$D70)*O$4*$B$2)</f>
        <v>126</v>
      </c>
      <c r="O70" s="36">
        <f t="shared" si="101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2">(INDEX(F$7:F$22,$B71)*(1-$D71)+INDEX(F$7:F$22,$B71+1)*$D71)*F$4*$B$2</f>
        <v>0.85</v>
      </c>
      <c r="F71" s="22">
        <f t="shared" si="102"/>
        <v>0.2</v>
      </c>
      <c r="G71" s="22">
        <f t="shared" si="102"/>
        <v>0</v>
      </c>
      <c r="H71" s="22">
        <f t="shared" si="102"/>
        <v>0</v>
      </c>
      <c r="I71" s="22">
        <f t="shared" si="102"/>
        <v>0</v>
      </c>
      <c r="J71" s="22">
        <f t="shared" si="102"/>
        <v>0.16999999999999998</v>
      </c>
      <c r="K71" s="22">
        <f t="shared" si="102"/>
        <v>0</v>
      </c>
      <c r="L71" s="22">
        <f t="shared" si="102"/>
        <v>0</v>
      </c>
      <c r="M71" s="22">
        <f t="shared" si="102"/>
        <v>0</v>
      </c>
      <c r="N71" s="36">
        <f t="shared" ref="N71:O71" si="103">INT((INDEX(O$7:O$22,$B71)*(1-$D71)+INDEX(O$7:O$22,$B71+1)*$D71)*O$4*$B$2)</f>
        <v>128</v>
      </c>
      <c r="O71" s="36">
        <f t="shared" si="103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4">(INDEX(F$7:F$22,$B72)*(1-$D72)+INDEX(F$7:F$22,$B72+1)*$D72)*F$4*$B$2</f>
        <v>0.83750000000000002</v>
      </c>
      <c r="F72" s="22">
        <f t="shared" si="104"/>
        <v>0.20624999999999999</v>
      </c>
      <c r="G72" s="22">
        <f t="shared" si="104"/>
        <v>0</v>
      </c>
      <c r="H72" s="22">
        <f t="shared" si="104"/>
        <v>0</v>
      </c>
      <c r="I72" s="22">
        <f t="shared" si="104"/>
        <v>0</v>
      </c>
      <c r="J72" s="22">
        <f t="shared" si="104"/>
        <v>0.17375000000000002</v>
      </c>
      <c r="K72" s="22">
        <f t="shared" si="104"/>
        <v>0</v>
      </c>
      <c r="L72" s="22">
        <f t="shared" si="104"/>
        <v>0</v>
      </c>
      <c r="M72" s="22">
        <f t="shared" si="104"/>
        <v>0</v>
      </c>
      <c r="N72" s="36">
        <f t="shared" ref="N72:O72" si="105">INT((INDEX(O$7:O$22,$B72)*(1-$D72)+INDEX(O$7:O$22,$B72+1)*$D72)*O$4*$B$2)</f>
        <v>130</v>
      </c>
      <c r="O72" s="36">
        <f t="shared" si="105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6">(INDEX(F$7:F$22,$B73)*(1-$D73)+INDEX(F$7:F$22,$B73+1)*$D73)*F$4*$B$2</f>
        <v>0.82499999999999996</v>
      </c>
      <c r="F73" s="22">
        <f t="shared" si="106"/>
        <v>0.21249999999999999</v>
      </c>
      <c r="G73" s="22">
        <f t="shared" si="106"/>
        <v>0</v>
      </c>
      <c r="H73" s="22">
        <f t="shared" si="106"/>
        <v>0</v>
      </c>
      <c r="I73" s="22">
        <f t="shared" si="106"/>
        <v>0</v>
      </c>
      <c r="J73" s="22">
        <f t="shared" si="106"/>
        <v>0.17749999999999999</v>
      </c>
      <c r="K73" s="22">
        <f t="shared" si="106"/>
        <v>0</v>
      </c>
      <c r="L73" s="22">
        <f t="shared" si="106"/>
        <v>0</v>
      </c>
      <c r="M73" s="22">
        <f t="shared" si="106"/>
        <v>0</v>
      </c>
      <c r="N73" s="36">
        <f t="shared" ref="N73:O73" si="107">INT((INDEX(O$7:O$22,$B73)*(1-$D73)+INDEX(O$7:O$22,$B73+1)*$D73)*O$4*$B$2)</f>
        <v>132</v>
      </c>
      <c r="O73" s="36">
        <f t="shared" si="107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8">(INDEX(F$7:F$22,$B74)*(1-$D74)+INDEX(F$7:F$22,$B74+1)*$D74)*F$4*$B$2</f>
        <v>0.8125</v>
      </c>
      <c r="F74" s="22">
        <f t="shared" si="108"/>
        <v>0.21875</v>
      </c>
      <c r="G74" s="22">
        <f t="shared" si="108"/>
        <v>0</v>
      </c>
      <c r="H74" s="22">
        <f t="shared" si="108"/>
        <v>0</v>
      </c>
      <c r="I74" s="22">
        <f t="shared" si="108"/>
        <v>0</v>
      </c>
      <c r="J74" s="22">
        <f t="shared" si="108"/>
        <v>0.18125000000000002</v>
      </c>
      <c r="K74" s="22">
        <f t="shared" si="108"/>
        <v>0</v>
      </c>
      <c r="L74" s="22">
        <f t="shared" si="108"/>
        <v>0</v>
      </c>
      <c r="M74" s="22">
        <f t="shared" si="108"/>
        <v>0</v>
      </c>
      <c r="N74" s="36">
        <f t="shared" ref="N74:O74" si="109">INT((INDEX(O$7:O$22,$B74)*(1-$D74)+INDEX(O$7:O$22,$B74+1)*$D74)*O$4*$B$2)</f>
        <v>134</v>
      </c>
      <c r="O74" s="36">
        <f t="shared" si="109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10">(INDEX(F$7:F$22,$B75)*(1-$D75)+INDEX(F$7:F$22,$B75+1)*$D75)*F$4*$B$2</f>
        <v>0.8</v>
      </c>
      <c r="F75" s="22">
        <f t="shared" si="110"/>
        <v>0.22500000000000001</v>
      </c>
      <c r="G75" s="22">
        <f t="shared" si="110"/>
        <v>0</v>
      </c>
      <c r="H75" s="22">
        <f t="shared" si="110"/>
        <v>0</v>
      </c>
      <c r="I75" s="22">
        <f t="shared" si="110"/>
        <v>0</v>
      </c>
      <c r="J75" s="22">
        <f t="shared" si="110"/>
        <v>0.18500000000000003</v>
      </c>
      <c r="K75" s="22">
        <f t="shared" si="110"/>
        <v>0</v>
      </c>
      <c r="L75" s="22">
        <f t="shared" si="110"/>
        <v>0</v>
      </c>
      <c r="M75" s="22">
        <f t="shared" si="110"/>
        <v>0</v>
      </c>
      <c r="N75" s="36">
        <f t="shared" ref="N75:O75" si="111">INT((INDEX(O$7:O$22,$B75)*(1-$D75)+INDEX(O$7:O$22,$B75+1)*$D75)*O$4*$B$2)</f>
        <v>136</v>
      </c>
      <c r="O75" s="36">
        <f t="shared" si="111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2">(INDEX(F$7:F$22,$B76)*(1-$D76)+INDEX(F$7:F$22,$B76+1)*$D76)*F$4*$B$2</f>
        <v>0.78749999999999998</v>
      </c>
      <c r="F76" s="22">
        <f t="shared" si="112"/>
        <v>0.23125000000000001</v>
      </c>
      <c r="G76" s="22">
        <f t="shared" si="112"/>
        <v>0</v>
      </c>
      <c r="H76" s="22">
        <f t="shared" si="112"/>
        <v>0</v>
      </c>
      <c r="I76" s="22">
        <f t="shared" si="112"/>
        <v>0</v>
      </c>
      <c r="J76" s="22">
        <f t="shared" si="112"/>
        <v>0.18875000000000003</v>
      </c>
      <c r="K76" s="22">
        <f t="shared" si="112"/>
        <v>0</v>
      </c>
      <c r="L76" s="22">
        <f t="shared" si="112"/>
        <v>0</v>
      </c>
      <c r="M76" s="22">
        <f t="shared" si="112"/>
        <v>0</v>
      </c>
      <c r="N76" s="36">
        <f t="shared" ref="N76:O76" si="113">INT((INDEX(O$7:O$22,$B76)*(1-$D76)+INDEX(O$7:O$22,$B76+1)*$D76)*O$4*$B$2)</f>
        <v>138</v>
      </c>
      <c r="O76" s="36">
        <f t="shared" si="113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4">(INDEX(F$7:F$22,$B77)*(1-$D77)+INDEX(F$7:F$22,$B77+1)*$D77)*F$4*$B$2</f>
        <v>0.77500000000000002</v>
      </c>
      <c r="F77" s="22">
        <f t="shared" si="114"/>
        <v>0.23749999999999999</v>
      </c>
      <c r="G77" s="22">
        <f t="shared" si="114"/>
        <v>0</v>
      </c>
      <c r="H77" s="22">
        <f t="shared" si="114"/>
        <v>0</v>
      </c>
      <c r="I77" s="22">
        <f t="shared" si="114"/>
        <v>0</v>
      </c>
      <c r="J77" s="22">
        <f t="shared" si="114"/>
        <v>0.1925</v>
      </c>
      <c r="K77" s="22">
        <f t="shared" si="114"/>
        <v>0</v>
      </c>
      <c r="L77" s="22">
        <f t="shared" si="114"/>
        <v>0</v>
      </c>
      <c r="M77" s="22">
        <f t="shared" si="114"/>
        <v>0</v>
      </c>
      <c r="N77" s="36">
        <f t="shared" ref="N77:O77" si="115">INT((INDEX(O$7:O$22,$B77)*(1-$D77)+INDEX(O$7:O$22,$B77+1)*$D77)*O$4*$B$2)</f>
        <v>140</v>
      </c>
      <c r="O77" s="36">
        <f t="shared" si="115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6">(INDEX(F$7:F$22,$B78)*(1-$D78)+INDEX(F$7:F$22,$B78+1)*$D78)*F$4*$B$2</f>
        <v>0.76249999999999996</v>
      </c>
      <c r="F78" s="22">
        <f t="shared" si="116"/>
        <v>0.24374999999999999</v>
      </c>
      <c r="G78" s="22">
        <f t="shared" si="116"/>
        <v>0</v>
      </c>
      <c r="H78" s="22">
        <f t="shared" si="116"/>
        <v>0</v>
      </c>
      <c r="I78" s="22">
        <f t="shared" si="116"/>
        <v>0</v>
      </c>
      <c r="J78" s="22">
        <f t="shared" si="116"/>
        <v>0.19625000000000001</v>
      </c>
      <c r="K78" s="22">
        <f t="shared" si="116"/>
        <v>0</v>
      </c>
      <c r="L78" s="22">
        <f t="shared" si="116"/>
        <v>0</v>
      </c>
      <c r="M78" s="22">
        <f t="shared" si="116"/>
        <v>0</v>
      </c>
      <c r="N78" s="36">
        <f t="shared" ref="N78:O78" si="117">INT((INDEX(O$7:O$22,$B78)*(1-$D78)+INDEX(O$7:O$22,$B78+1)*$D78)*O$4*$B$2)</f>
        <v>142</v>
      </c>
      <c r="O78" s="36">
        <f t="shared" si="117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8">(INDEX(F$7:F$22,$B79)*(1-$D79)+INDEX(F$7:F$22,$B79+1)*$D79)*F$4*$B$2</f>
        <v>0.75</v>
      </c>
      <c r="F79" s="22">
        <f t="shared" si="118"/>
        <v>0.25</v>
      </c>
      <c r="G79" s="22">
        <f t="shared" si="118"/>
        <v>0</v>
      </c>
      <c r="H79" s="22">
        <f t="shared" si="118"/>
        <v>0</v>
      </c>
      <c r="I79" s="22">
        <f t="shared" si="118"/>
        <v>0</v>
      </c>
      <c r="J79" s="22">
        <f t="shared" si="118"/>
        <v>0.2</v>
      </c>
      <c r="K79" s="22">
        <f t="shared" si="118"/>
        <v>0</v>
      </c>
      <c r="L79" s="22">
        <f t="shared" si="118"/>
        <v>0</v>
      </c>
      <c r="M79" s="22">
        <f t="shared" si="118"/>
        <v>0</v>
      </c>
      <c r="N79" s="36">
        <f t="shared" ref="N79:O79" si="119">INT((INDEX(O$7:O$22,$B79)*(1-$D79)+INDEX(O$7:O$22,$B79+1)*$D79)*O$4*$B$2)</f>
        <v>144</v>
      </c>
      <c r="O79" s="36">
        <f t="shared" si="119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20">(INDEX(F$7:F$22,$B80)*(1-$D80)+INDEX(F$7:F$22,$B80+1)*$D80)*F$4*$B$2</f>
        <v>0.67499999999999993</v>
      </c>
      <c r="F80" s="22">
        <f t="shared" si="120"/>
        <v>0.28749999999999998</v>
      </c>
      <c r="G80" s="22">
        <f t="shared" si="120"/>
        <v>0</v>
      </c>
      <c r="H80" s="22">
        <f t="shared" si="120"/>
        <v>0</v>
      </c>
      <c r="I80" s="22">
        <f t="shared" si="120"/>
        <v>0</v>
      </c>
      <c r="J80" s="22">
        <f t="shared" si="120"/>
        <v>0.22249999999999998</v>
      </c>
      <c r="K80" s="22">
        <f t="shared" si="120"/>
        <v>0</v>
      </c>
      <c r="L80" s="22">
        <f t="shared" si="120"/>
        <v>0</v>
      </c>
      <c r="M80" s="22">
        <f t="shared" si="120"/>
        <v>0</v>
      </c>
      <c r="N80" s="36">
        <f t="shared" ref="N80:O80" si="121">INT((INDEX(O$7:O$22,$B80)*(1-$D80)+INDEX(O$7:O$22,$B80+1)*$D80)*O$4*$B$2)</f>
        <v>160</v>
      </c>
      <c r="O80" s="36">
        <f t="shared" si="121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2">(INDEX(F$7:F$22,$B81)*(1-$D81)+INDEX(F$7:F$22,$B81+1)*$D81)*F$4*$B$2</f>
        <v>0.66250000000000009</v>
      </c>
      <c r="F81" s="22">
        <f t="shared" si="122"/>
        <v>0.29374999999999996</v>
      </c>
      <c r="G81" s="22">
        <f t="shared" si="122"/>
        <v>0</v>
      </c>
      <c r="H81" s="22">
        <f t="shared" si="122"/>
        <v>0</v>
      </c>
      <c r="I81" s="22">
        <f t="shared" si="122"/>
        <v>0</v>
      </c>
      <c r="J81" s="22">
        <f t="shared" si="122"/>
        <v>0.22625000000000001</v>
      </c>
      <c r="K81" s="22">
        <f t="shared" si="122"/>
        <v>0</v>
      </c>
      <c r="L81" s="22">
        <f t="shared" si="122"/>
        <v>0</v>
      </c>
      <c r="M81" s="22">
        <f t="shared" si="122"/>
        <v>0</v>
      </c>
      <c r="N81" s="36">
        <f t="shared" ref="N81:O81" si="123">INT((INDEX(O$7:O$22,$B81)*(1-$D81)+INDEX(O$7:O$22,$B81+1)*$D81)*O$4*$B$2)</f>
        <v>163</v>
      </c>
      <c r="O81" s="36">
        <f t="shared" si="123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4">(INDEX(F$7:F$22,$B82)*(1-$D82)+INDEX(F$7:F$22,$B82+1)*$D82)*F$4*$B$2</f>
        <v>0.64999999999999991</v>
      </c>
      <c r="F82" s="22">
        <f t="shared" si="124"/>
        <v>0.30000000000000004</v>
      </c>
      <c r="G82" s="22">
        <f t="shared" si="124"/>
        <v>0</v>
      </c>
      <c r="H82" s="22">
        <f t="shared" si="124"/>
        <v>0</v>
      </c>
      <c r="I82" s="22">
        <f t="shared" si="124"/>
        <v>0</v>
      </c>
      <c r="J82" s="22">
        <f t="shared" si="124"/>
        <v>0.23</v>
      </c>
      <c r="K82" s="22">
        <f t="shared" si="124"/>
        <v>0</v>
      </c>
      <c r="L82" s="22">
        <f t="shared" si="124"/>
        <v>0</v>
      </c>
      <c r="M82" s="22">
        <f t="shared" si="124"/>
        <v>0</v>
      </c>
      <c r="N82" s="36">
        <f t="shared" ref="N82:O82" si="125">INT((INDEX(O$7:O$22,$B82)*(1-$D82)+INDEX(O$7:O$22,$B82+1)*$D82)*O$4*$B$2)</f>
        <v>166</v>
      </c>
      <c r="O82" s="36">
        <f t="shared" si="125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6">(INDEX(F$7:F$22,$B83)*(1-$D83)+INDEX(F$7:F$22,$B83+1)*$D83)*F$4*$B$2</f>
        <v>0.63750000000000007</v>
      </c>
      <c r="F83" s="22">
        <f t="shared" si="126"/>
        <v>0.30625000000000002</v>
      </c>
      <c r="G83" s="22">
        <f t="shared" si="126"/>
        <v>0</v>
      </c>
      <c r="H83" s="22">
        <f t="shared" si="126"/>
        <v>0</v>
      </c>
      <c r="I83" s="22">
        <f t="shared" si="126"/>
        <v>0</v>
      </c>
      <c r="J83" s="22">
        <f t="shared" si="126"/>
        <v>0.23375000000000001</v>
      </c>
      <c r="K83" s="22">
        <f t="shared" si="126"/>
        <v>0</v>
      </c>
      <c r="L83" s="22">
        <f t="shared" si="126"/>
        <v>0</v>
      </c>
      <c r="M83" s="22">
        <f t="shared" si="126"/>
        <v>0</v>
      </c>
      <c r="N83" s="36">
        <f t="shared" ref="N83:O83" si="127">INT((INDEX(O$7:O$22,$B83)*(1-$D83)+INDEX(O$7:O$22,$B83+1)*$D83)*O$4*$B$2)</f>
        <v>169</v>
      </c>
      <c r="O83" s="36">
        <f t="shared" si="127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8">(INDEX(F$7:F$22,$B84)*(1-$D84)+INDEX(F$7:F$22,$B84+1)*$D84)*F$4*$B$2</f>
        <v>0.625</v>
      </c>
      <c r="F84" s="22">
        <f t="shared" si="128"/>
        <v>0.3125</v>
      </c>
      <c r="G84" s="22">
        <f t="shared" si="128"/>
        <v>0</v>
      </c>
      <c r="H84" s="22">
        <f t="shared" si="128"/>
        <v>0</v>
      </c>
      <c r="I84" s="22">
        <f t="shared" si="128"/>
        <v>0</v>
      </c>
      <c r="J84" s="22">
        <f t="shared" si="128"/>
        <v>0.23750000000000002</v>
      </c>
      <c r="K84" s="22">
        <f t="shared" si="128"/>
        <v>0</v>
      </c>
      <c r="L84" s="22">
        <f t="shared" si="128"/>
        <v>0</v>
      </c>
      <c r="M84" s="22">
        <f t="shared" si="128"/>
        <v>0</v>
      </c>
      <c r="N84" s="36">
        <f t="shared" ref="N84:O84" si="129">INT((INDEX(O$7:O$22,$B84)*(1-$D84)+INDEX(O$7:O$22,$B84+1)*$D84)*O$4*$B$2)</f>
        <v>172</v>
      </c>
      <c r="O84" s="36">
        <f t="shared" si="129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30">(INDEX(F$7:F$22,$B85)*(1-$D85)+INDEX(F$7:F$22,$B85+1)*$D85)*F$4*$B$2</f>
        <v>0.61250000000000004</v>
      </c>
      <c r="F85" s="22">
        <f t="shared" si="130"/>
        <v>0.31874999999999998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0.24125000000000002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36">
        <f t="shared" ref="N85:O85" si="131">INT((INDEX(O$7:O$22,$B85)*(1-$D85)+INDEX(O$7:O$22,$B85+1)*$D85)*O$4*$B$2)</f>
        <v>174</v>
      </c>
      <c r="O85" s="36">
        <f t="shared" si="131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2">(INDEX(F$7:F$22,$B86)*(1-$D86)+INDEX(F$7:F$22,$B86+1)*$D86)*F$4*$B$2</f>
        <v>0.60000000000000009</v>
      </c>
      <c r="F86" s="22">
        <f t="shared" si="132"/>
        <v>0.32499999999999996</v>
      </c>
      <c r="G86" s="22">
        <f t="shared" si="132"/>
        <v>0</v>
      </c>
      <c r="H86" s="22">
        <f t="shared" si="132"/>
        <v>0</v>
      </c>
      <c r="I86" s="22">
        <f t="shared" si="132"/>
        <v>0</v>
      </c>
      <c r="J86" s="22">
        <f t="shared" si="132"/>
        <v>0.24500000000000002</v>
      </c>
      <c r="K86" s="22">
        <f t="shared" si="132"/>
        <v>0</v>
      </c>
      <c r="L86" s="22">
        <f t="shared" si="132"/>
        <v>0</v>
      </c>
      <c r="M86" s="22">
        <f t="shared" si="132"/>
        <v>0</v>
      </c>
      <c r="N86" s="36">
        <f t="shared" ref="N86:O86" si="133">INT((INDEX(O$7:O$22,$B86)*(1-$D86)+INDEX(O$7:O$22,$B86+1)*$D86)*O$4*$B$2)</f>
        <v>177</v>
      </c>
      <c r="O86" s="36">
        <f t="shared" si="133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4">(INDEX(F$7:F$22,$B87)*(1-$D87)+INDEX(F$7:F$22,$B87+1)*$D87)*F$4*$B$2</f>
        <v>0.58749999999999991</v>
      </c>
      <c r="F87" s="22">
        <f t="shared" si="134"/>
        <v>0.33125000000000004</v>
      </c>
      <c r="G87" s="22">
        <f t="shared" si="134"/>
        <v>0</v>
      </c>
      <c r="H87" s="22">
        <f t="shared" si="134"/>
        <v>0</v>
      </c>
      <c r="I87" s="22">
        <f t="shared" si="134"/>
        <v>0</v>
      </c>
      <c r="J87" s="22">
        <f t="shared" si="134"/>
        <v>0.24875000000000003</v>
      </c>
      <c r="K87" s="22">
        <f t="shared" si="134"/>
        <v>0</v>
      </c>
      <c r="L87" s="22">
        <f t="shared" si="134"/>
        <v>0</v>
      </c>
      <c r="M87" s="22">
        <f t="shared" si="134"/>
        <v>0</v>
      </c>
      <c r="N87" s="36">
        <f t="shared" ref="N87:O87" si="135">INT((INDEX(O$7:O$22,$B87)*(1-$D87)+INDEX(O$7:O$22,$B87+1)*$D87)*O$4*$B$2)</f>
        <v>180</v>
      </c>
      <c r="O87" s="36">
        <f t="shared" si="135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6">(INDEX(F$7:F$22,$B88)*(1-$D88)+INDEX(F$7:F$22,$B88+1)*$D88)*F$4*$B$2</f>
        <v>0.57499999999999996</v>
      </c>
      <c r="F88" s="22">
        <f t="shared" si="136"/>
        <v>0.33749999999999997</v>
      </c>
      <c r="G88" s="22">
        <f t="shared" si="136"/>
        <v>0</v>
      </c>
      <c r="H88" s="22">
        <f t="shared" si="136"/>
        <v>0</v>
      </c>
      <c r="I88" s="22">
        <f t="shared" si="136"/>
        <v>0</v>
      </c>
      <c r="J88" s="22">
        <f t="shared" si="136"/>
        <v>0.2525</v>
      </c>
      <c r="K88" s="22">
        <f t="shared" si="136"/>
        <v>0</v>
      </c>
      <c r="L88" s="22">
        <f t="shared" si="136"/>
        <v>0</v>
      </c>
      <c r="M88" s="22">
        <f t="shared" si="136"/>
        <v>0</v>
      </c>
      <c r="N88" s="36">
        <f t="shared" ref="N88:O88" si="137">INT((INDEX(O$7:O$22,$B88)*(1-$D88)+INDEX(O$7:O$22,$B88+1)*$D88)*O$4*$B$2)</f>
        <v>183</v>
      </c>
      <c r="O88" s="36">
        <f t="shared" si="137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8">(INDEX(F$7:F$22,$B89)*(1-$D89)+INDEX(F$7:F$22,$B89+1)*$D89)*F$4*$B$2</f>
        <v>0.5625</v>
      </c>
      <c r="F89" s="22">
        <f t="shared" si="138"/>
        <v>0.34375</v>
      </c>
      <c r="G89" s="22">
        <f t="shared" si="138"/>
        <v>0</v>
      </c>
      <c r="H89" s="22">
        <f t="shared" si="138"/>
        <v>0</v>
      </c>
      <c r="I89" s="22">
        <f t="shared" si="138"/>
        <v>0</v>
      </c>
      <c r="J89" s="22">
        <f t="shared" si="138"/>
        <v>0.25625000000000003</v>
      </c>
      <c r="K89" s="22">
        <f t="shared" si="138"/>
        <v>0</v>
      </c>
      <c r="L89" s="22">
        <f t="shared" si="138"/>
        <v>0</v>
      </c>
      <c r="M89" s="22">
        <f t="shared" si="138"/>
        <v>0</v>
      </c>
      <c r="N89" s="36">
        <f t="shared" ref="N89:O89" si="139">INT((INDEX(O$7:O$22,$B89)*(1-$D89)+INDEX(O$7:O$22,$B89+1)*$D89)*O$4*$B$2)</f>
        <v>186</v>
      </c>
      <c r="O89" s="36">
        <f t="shared" si="139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40">(INDEX(F$7:F$22,$B90)*(1-$D90)+INDEX(F$7:F$22,$B90+1)*$D90)*F$4*$B$2</f>
        <v>0.55000000000000004</v>
      </c>
      <c r="F90" s="22">
        <f t="shared" si="140"/>
        <v>0.35000000000000003</v>
      </c>
      <c r="G90" s="22">
        <f t="shared" si="140"/>
        <v>0</v>
      </c>
      <c r="H90" s="22">
        <f t="shared" si="140"/>
        <v>0</v>
      </c>
      <c r="I90" s="22">
        <f t="shared" si="140"/>
        <v>0</v>
      </c>
      <c r="J90" s="22">
        <f t="shared" si="140"/>
        <v>0.26</v>
      </c>
      <c r="K90" s="22">
        <f t="shared" si="140"/>
        <v>0</v>
      </c>
      <c r="L90" s="22">
        <f t="shared" si="140"/>
        <v>0</v>
      </c>
      <c r="M90" s="22">
        <f t="shared" si="140"/>
        <v>0</v>
      </c>
      <c r="N90" s="36">
        <f t="shared" ref="N90:O90" si="141">INT((INDEX(O$7:O$22,$B90)*(1-$D90)+INDEX(O$7:O$22,$B90+1)*$D90)*O$4*$B$2)</f>
        <v>188</v>
      </c>
      <c r="O90" s="36">
        <f t="shared" si="141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2">(INDEX(F$7:F$22,$B91)*(1-$D91)+INDEX(F$7:F$22,$B91+1)*$D91)*F$4*$B$2</f>
        <v>0.53749999999999998</v>
      </c>
      <c r="F91" s="22">
        <f t="shared" si="142"/>
        <v>0.35624999999999996</v>
      </c>
      <c r="G91" s="22">
        <f t="shared" si="142"/>
        <v>0</v>
      </c>
      <c r="H91" s="22">
        <f t="shared" si="142"/>
        <v>0</v>
      </c>
      <c r="I91" s="22">
        <f t="shared" si="142"/>
        <v>0</v>
      </c>
      <c r="J91" s="22">
        <f t="shared" si="142"/>
        <v>0.26375000000000004</v>
      </c>
      <c r="K91" s="22">
        <f t="shared" si="142"/>
        <v>0</v>
      </c>
      <c r="L91" s="22">
        <f t="shared" si="142"/>
        <v>0</v>
      </c>
      <c r="M91" s="22">
        <f t="shared" si="142"/>
        <v>0</v>
      </c>
      <c r="N91" s="36">
        <f t="shared" ref="N91:O91" si="143">INT((INDEX(O$7:O$22,$B91)*(1-$D91)+INDEX(O$7:O$22,$B91+1)*$D91)*O$4*$B$2)</f>
        <v>191</v>
      </c>
      <c r="O91" s="36">
        <f t="shared" si="143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4">(INDEX(F$7:F$22,$B92)*(1-$D92)+INDEX(F$7:F$22,$B92+1)*$D92)*F$4*$B$2</f>
        <v>0.52500000000000002</v>
      </c>
      <c r="F92" s="22">
        <f t="shared" si="144"/>
        <v>0.36250000000000004</v>
      </c>
      <c r="G92" s="22">
        <f t="shared" si="144"/>
        <v>0</v>
      </c>
      <c r="H92" s="22">
        <f t="shared" si="144"/>
        <v>0</v>
      </c>
      <c r="I92" s="22">
        <f t="shared" si="144"/>
        <v>0</v>
      </c>
      <c r="J92" s="22">
        <f t="shared" si="144"/>
        <v>0.26750000000000002</v>
      </c>
      <c r="K92" s="22">
        <f t="shared" si="144"/>
        <v>0</v>
      </c>
      <c r="L92" s="22">
        <f t="shared" si="144"/>
        <v>0</v>
      </c>
      <c r="M92" s="22">
        <f t="shared" si="144"/>
        <v>0</v>
      </c>
      <c r="N92" s="36">
        <f t="shared" ref="N92:O92" si="145">INT((INDEX(O$7:O$22,$B92)*(1-$D92)+INDEX(O$7:O$22,$B92+1)*$D92)*O$4*$B$2)</f>
        <v>194</v>
      </c>
      <c r="O92" s="36">
        <f t="shared" si="145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6">(INDEX(F$7:F$22,$B93)*(1-$D93)+INDEX(F$7:F$22,$B93+1)*$D93)*F$4*$B$2</f>
        <v>0.51249999999999996</v>
      </c>
      <c r="F93" s="22">
        <f t="shared" si="146"/>
        <v>0.36874999999999997</v>
      </c>
      <c r="G93" s="22">
        <f t="shared" si="146"/>
        <v>0</v>
      </c>
      <c r="H93" s="22">
        <f t="shared" si="146"/>
        <v>0</v>
      </c>
      <c r="I93" s="22">
        <f t="shared" si="146"/>
        <v>0</v>
      </c>
      <c r="J93" s="22">
        <f t="shared" si="146"/>
        <v>0.27124999999999999</v>
      </c>
      <c r="K93" s="22">
        <f t="shared" si="146"/>
        <v>0</v>
      </c>
      <c r="L93" s="22">
        <f t="shared" si="146"/>
        <v>0</v>
      </c>
      <c r="M93" s="22">
        <f t="shared" si="146"/>
        <v>0</v>
      </c>
      <c r="N93" s="36">
        <f t="shared" ref="N93:O93" si="147">INT((INDEX(O$7:O$22,$B93)*(1-$D93)+INDEX(O$7:O$22,$B93+1)*$D93)*O$4*$B$2)</f>
        <v>197</v>
      </c>
      <c r="O93" s="36">
        <f t="shared" si="147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8">(INDEX(F$7:F$22,$B94)*(1-$D94)+INDEX(F$7:F$22,$B94+1)*$D94)*F$4*$B$2</f>
        <v>0.5</v>
      </c>
      <c r="F94" s="22">
        <f t="shared" si="148"/>
        <v>0.375</v>
      </c>
      <c r="G94" s="22">
        <f t="shared" si="148"/>
        <v>0</v>
      </c>
      <c r="H94" s="22">
        <f t="shared" si="148"/>
        <v>0</v>
      </c>
      <c r="I94" s="22">
        <f t="shared" si="148"/>
        <v>0</v>
      </c>
      <c r="J94" s="22">
        <f t="shared" si="148"/>
        <v>0.27500000000000002</v>
      </c>
      <c r="K94" s="22">
        <f t="shared" si="148"/>
        <v>0</v>
      </c>
      <c r="L94" s="22">
        <f t="shared" si="148"/>
        <v>0</v>
      </c>
      <c r="M94" s="22">
        <f t="shared" si="148"/>
        <v>0</v>
      </c>
      <c r="N94" s="36">
        <f t="shared" ref="N94:O94" si="149">INT((INDEX(O$7:O$22,$B94)*(1-$D94)+INDEX(O$7:O$22,$B94+1)*$D94)*O$4*$B$2)</f>
        <v>200</v>
      </c>
      <c r="O94" s="36">
        <f t="shared" si="149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50">(INDEX(F$7:F$22,$B95)*(1-$D95)+INDEX(F$7:F$22,$B95+1)*$D95)*F$4*$B$2</f>
        <v>0.35</v>
      </c>
      <c r="F95" s="22">
        <f t="shared" si="150"/>
        <v>0.41249999999999998</v>
      </c>
      <c r="G95" s="22">
        <f t="shared" si="150"/>
        <v>1.4999999999999999E-2</v>
      </c>
      <c r="H95" s="22">
        <f t="shared" si="150"/>
        <v>0</v>
      </c>
      <c r="I95" s="22">
        <f t="shared" si="150"/>
        <v>0</v>
      </c>
      <c r="J95" s="22">
        <f t="shared" si="150"/>
        <v>0.29749999999999999</v>
      </c>
      <c r="K95" s="22">
        <f t="shared" si="150"/>
        <v>0</v>
      </c>
      <c r="L95" s="22">
        <f t="shared" si="150"/>
        <v>0</v>
      </c>
      <c r="M95" s="22">
        <f t="shared" si="150"/>
        <v>0</v>
      </c>
      <c r="N95" s="36">
        <f t="shared" ref="N95:O95" si="151">INT((INDEX(O$7:O$22,$B95)*(1-$D95)+INDEX(O$7:O$22,$B95+1)*$D95)*O$4*$B$2)</f>
        <v>222</v>
      </c>
      <c r="O95" s="36">
        <f t="shared" si="151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2">(INDEX(F$7:F$22,$B96)*(1-$D96)+INDEX(F$7:F$22,$B96+1)*$D96)*F$4*$B$2</f>
        <v>0.32500000000000001</v>
      </c>
      <c r="F96" s="22">
        <f t="shared" si="152"/>
        <v>0.41875000000000001</v>
      </c>
      <c r="G96" s="22">
        <f t="shared" si="152"/>
        <v>1.7499999999999998E-2</v>
      </c>
      <c r="H96" s="22">
        <f t="shared" si="152"/>
        <v>0</v>
      </c>
      <c r="I96" s="22">
        <f t="shared" si="152"/>
        <v>0</v>
      </c>
      <c r="J96" s="22">
        <f t="shared" si="152"/>
        <v>0.30125000000000002</v>
      </c>
      <c r="K96" s="22">
        <f t="shared" si="152"/>
        <v>0</v>
      </c>
      <c r="L96" s="22">
        <f t="shared" si="152"/>
        <v>0</v>
      </c>
      <c r="M96" s="22">
        <f t="shared" si="152"/>
        <v>0</v>
      </c>
      <c r="N96" s="36">
        <f t="shared" ref="N96:O96" si="153">INT((INDEX(O$7:O$22,$B96)*(1-$D96)+INDEX(O$7:O$22,$B96+1)*$D96)*O$4*$B$2)</f>
        <v>226</v>
      </c>
      <c r="O96" s="36">
        <f t="shared" si="153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4">(INDEX(F$7:F$22,$B97)*(1-$D97)+INDEX(F$7:F$22,$B97+1)*$D97)*F$4*$B$2</f>
        <v>0.3</v>
      </c>
      <c r="F97" s="22">
        <f t="shared" si="154"/>
        <v>0.42499999999999999</v>
      </c>
      <c r="G97" s="22">
        <f t="shared" si="154"/>
        <v>2.0000000000000004E-2</v>
      </c>
      <c r="H97" s="22">
        <f t="shared" si="154"/>
        <v>0</v>
      </c>
      <c r="I97" s="22">
        <f t="shared" si="154"/>
        <v>0</v>
      </c>
      <c r="J97" s="22">
        <f t="shared" si="154"/>
        <v>0.30499999999999999</v>
      </c>
      <c r="K97" s="22">
        <f t="shared" si="154"/>
        <v>0</v>
      </c>
      <c r="L97" s="22">
        <f t="shared" si="154"/>
        <v>0</v>
      </c>
      <c r="M97" s="22">
        <f t="shared" si="154"/>
        <v>0</v>
      </c>
      <c r="N97" s="36">
        <f t="shared" ref="N97:O97" si="155">INT((INDEX(O$7:O$22,$B97)*(1-$D97)+INDEX(O$7:O$22,$B97+1)*$D97)*O$4*$B$2)</f>
        <v>230</v>
      </c>
      <c r="O97" s="36">
        <f t="shared" si="155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6">(INDEX(F$7:F$22,$B98)*(1-$D98)+INDEX(F$7:F$22,$B98+1)*$D98)*F$4*$B$2</f>
        <v>0.27500000000000002</v>
      </c>
      <c r="F98" s="22">
        <f t="shared" si="156"/>
        <v>0.43125000000000002</v>
      </c>
      <c r="G98" s="22">
        <f t="shared" si="156"/>
        <v>2.2500000000000003E-2</v>
      </c>
      <c r="H98" s="22">
        <f t="shared" si="156"/>
        <v>0</v>
      </c>
      <c r="I98" s="22">
        <f t="shared" si="156"/>
        <v>0</v>
      </c>
      <c r="J98" s="22">
        <f t="shared" si="156"/>
        <v>0.30875000000000002</v>
      </c>
      <c r="K98" s="22">
        <f t="shared" si="156"/>
        <v>0</v>
      </c>
      <c r="L98" s="22">
        <f t="shared" si="156"/>
        <v>0</v>
      </c>
      <c r="M98" s="22">
        <f t="shared" si="156"/>
        <v>0</v>
      </c>
      <c r="N98" s="36">
        <f t="shared" ref="N98:O98" si="157">INT((INDEX(O$7:O$22,$B98)*(1-$D98)+INDEX(O$7:O$22,$B98+1)*$D98)*O$4*$B$2)</f>
        <v>233</v>
      </c>
      <c r="O98" s="36">
        <f t="shared" si="157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8">(INDEX(F$7:F$22,$B99)*(1-$D99)+INDEX(F$7:F$22,$B99+1)*$D99)*F$4*$B$2</f>
        <v>0.25</v>
      </c>
      <c r="F99" s="22">
        <f t="shared" si="158"/>
        <v>0.4375</v>
      </c>
      <c r="G99" s="22">
        <f t="shared" si="158"/>
        <v>2.5000000000000001E-2</v>
      </c>
      <c r="H99" s="22">
        <f t="shared" si="158"/>
        <v>0</v>
      </c>
      <c r="I99" s="22">
        <f t="shared" si="158"/>
        <v>0</v>
      </c>
      <c r="J99" s="22">
        <f t="shared" si="158"/>
        <v>0.3125</v>
      </c>
      <c r="K99" s="22">
        <f t="shared" si="158"/>
        <v>0</v>
      </c>
      <c r="L99" s="22">
        <f t="shared" si="158"/>
        <v>0</v>
      </c>
      <c r="M99" s="22">
        <f t="shared" si="158"/>
        <v>0</v>
      </c>
      <c r="N99" s="36">
        <f t="shared" ref="N99:O99" si="159">INT((INDEX(O$7:O$22,$B99)*(1-$D99)+INDEX(O$7:O$22,$B99+1)*$D99)*O$4*$B$2)</f>
        <v>237</v>
      </c>
      <c r="O99" s="36">
        <f t="shared" si="159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60">(INDEX(F$7:F$22,$B100)*(1-$D100)+INDEX(F$7:F$22,$B100+1)*$D100)*F$4*$B$2</f>
        <v>0.22499999999999998</v>
      </c>
      <c r="F100" s="22">
        <f t="shared" si="160"/>
        <v>0.44374999999999998</v>
      </c>
      <c r="G100" s="22">
        <f t="shared" si="160"/>
        <v>2.7500000000000004E-2</v>
      </c>
      <c r="H100" s="22">
        <f t="shared" si="160"/>
        <v>0</v>
      </c>
      <c r="I100" s="22">
        <f t="shared" si="160"/>
        <v>0</v>
      </c>
      <c r="J100" s="22">
        <f t="shared" si="160"/>
        <v>0.31625000000000003</v>
      </c>
      <c r="K100" s="22">
        <f t="shared" si="160"/>
        <v>0</v>
      </c>
      <c r="L100" s="22">
        <f t="shared" si="160"/>
        <v>0</v>
      </c>
      <c r="M100" s="22">
        <f t="shared" si="160"/>
        <v>0</v>
      </c>
      <c r="N100" s="36">
        <f t="shared" ref="N100:O100" si="161">INT((INDEX(O$7:O$22,$B100)*(1-$D100)+INDEX(O$7:O$22,$B100+1)*$D100)*O$4*$B$2)</f>
        <v>241</v>
      </c>
      <c r="O100" s="36">
        <f t="shared" si="161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2">(INDEX(F$7:F$22,$B101)*(1-$D101)+INDEX(F$7:F$22,$B101+1)*$D101)*F$4*$B$2</f>
        <v>0.2</v>
      </c>
      <c r="F101" s="22">
        <f t="shared" si="162"/>
        <v>0.45</v>
      </c>
      <c r="G101" s="22">
        <f t="shared" si="162"/>
        <v>0.03</v>
      </c>
      <c r="H101" s="22">
        <f t="shared" si="162"/>
        <v>0</v>
      </c>
      <c r="I101" s="22">
        <f t="shared" si="162"/>
        <v>0</v>
      </c>
      <c r="J101" s="22">
        <f t="shared" si="162"/>
        <v>0.32</v>
      </c>
      <c r="K101" s="22">
        <f t="shared" si="162"/>
        <v>0</v>
      </c>
      <c r="L101" s="22">
        <f t="shared" si="162"/>
        <v>0</v>
      </c>
      <c r="M101" s="22">
        <f t="shared" si="162"/>
        <v>0</v>
      </c>
      <c r="N101" s="36">
        <f t="shared" ref="N101:O101" si="163">INT((INDEX(O$7:O$22,$B101)*(1-$D101)+INDEX(O$7:O$22,$B101+1)*$D101)*O$4*$B$2)</f>
        <v>245</v>
      </c>
      <c r="O101" s="36">
        <f t="shared" si="163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4">(INDEX(F$7:F$22,$B102)*(1-$D102)+INDEX(F$7:F$22,$B102+1)*$D102)*F$4*$B$2</f>
        <v>0.17499999999999999</v>
      </c>
      <c r="F102" s="22">
        <f t="shared" si="164"/>
        <v>0.45624999999999999</v>
      </c>
      <c r="G102" s="22">
        <f t="shared" si="164"/>
        <v>3.2500000000000001E-2</v>
      </c>
      <c r="H102" s="22">
        <f t="shared" si="164"/>
        <v>0</v>
      </c>
      <c r="I102" s="22">
        <f t="shared" si="164"/>
        <v>0</v>
      </c>
      <c r="J102" s="22">
        <f t="shared" si="164"/>
        <v>0.32374999999999998</v>
      </c>
      <c r="K102" s="22">
        <f t="shared" si="164"/>
        <v>0</v>
      </c>
      <c r="L102" s="22">
        <f t="shared" si="164"/>
        <v>0</v>
      </c>
      <c r="M102" s="22">
        <f t="shared" si="164"/>
        <v>0</v>
      </c>
      <c r="N102" s="36">
        <f t="shared" ref="N102:O102" si="165">INT((INDEX(O$7:O$22,$B102)*(1-$D102)+INDEX(O$7:O$22,$B102+1)*$D102)*O$4*$B$2)</f>
        <v>248</v>
      </c>
      <c r="O102" s="36">
        <f t="shared" si="165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6">(INDEX(F$7:F$22,$B103)*(1-$D103)+INDEX(F$7:F$22,$B103+1)*$D103)*F$4*$B$2</f>
        <v>0.15000000000000002</v>
      </c>
      <c r="F103" s="22">
        <f t="shared" si="166"/>
        <v>0.46250000000000002</v>
      </c>
      <c r="G103" s="22">
        <f t="shared" si="166"/>
        <v>3.4999999999999996E-2</v>
      </c>
      <c r="H103" s="22">
        <f t="shared" si="166"/>
        <v>0</v>
      </c>
      <c r="I103" s="22">
        <f t="shared" si="166"/>
        <v>0</v>
      </c>
      <c r="J103" s="22">
        <f t="shared" si="166"/>
        <v>0.32750000000000001</v>
      </c>
      <c r="K103" s="22">
        <f t="shared" si="166"/>
        <v>0</v>
      </c>
      <c r="L103" s="22">
        <f t="shared" si="166"/>
        <v>0</v>
      </c>
      <c r="M103" s="22">
        <f t="shared" si="166"/>
        <v>0</v>
      </c>
      <c r="N103" s="36">
        <f t="shared" ref="N103:O103" si="167">INT((INDEX(O$7:O$22,$B103)*(1-$D103)+INDEX(O$7:O$22,$B103+1)*$D103)*O$4*$B$2)</f>
        <v>252</v>
      </c>
      <c r="O103" s="36">
        <f t="shared" si="167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8">(INDEX(F$7:F$22,$B104)*(1-$D104)+INDEX(F$7:F$22,$B104+1)*$D104)*F$4*$B$2</f>
        <v>0.125</v>
      </c>
      <c r="F104" s="22">
        <f t="shared" si="168"/>
        <v>0.46875</v>
      </c>
      <c r="G104" s="22">
        <f t="shared" si="168"/>
        <v>3.7500000000000006E-2</v>
      </c>
      <c r="H104" s="22">
        <f t="shared" si="168"/>
        <v>0</v>
      </c>
      <c r="I104" s="22">
        <f t="shared" si="168"/>
        <v>0</v>
      </c>
      <c r="J104" s="22">
        <f t="shared" si="168"/>
        <v>0.33124999999999993</v>
      </c>
      <c r="K104" s="22">
        <f t="shared" si="168"/>
        <v>0</v>
      </c>
      <c r="L104" s="22">
        <f t="shared" si="168"/>
        <v>0</v>
      </c>
      <c r="M104" s="22">
        <f t="shared" si="168"/>
        <v>0</v>
      </c>
      <c r="N104" s="36">
        <f t="shared" ref="N104:O104" si="169">INT((INDEX(O$7:O$22,$B104)*(1-$D104)+INDEX(O$7:O$22,$B104+1)*$D104)*O$4*$B$2)</f>
        <v>256</v>
      </c>
      <c r="O104" s="36">
        <f t="shared" si="169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70">(INDEX(F$7:F$22,$B105)*(1-$D105)+INDEX(F$7:F$22,$B105+1)*$D105)*F$4*$B$2</f>
        <v>9.9999999999999978E-2</v>
      </c>
      <c r="F105" s="22">
        <f t="shared" si="170"/>
        <v>0.47499999999999998</v>
      </c>
      <c r="G105" s="22">
        <f t="shared" si="170"/>
        <v>4.0000000000000008E-2</v>
      </c>
      <c r="H105" s="22">
        <f t="shared" si="170"/>
        <v>0</v>
      </c>
      <c r="I105" s="22">
        <f t="shared" si="170"/>
        <v>0</v>
      </c>
      <c r="J105" s="22">
        <f t="shared" si="170"/>
        <v>0.33499999999999996</v>
      </c>
      <c r="K105" s="22">
        <f t="shared" si="170"/>
        <v>0</v>
      </c>
      <c r="L105" s="22">
        <f t="shared" si="170"/>
        <v>0</v>
      </c>
      <c r="M105" s="22">
        <f t="shared" si="170"/>
        <v>0</v>
      </c>
      <c r="N105" s="36">
        <f t="shared" ref="N105:O105" si="171">INT((INDEX(O$7:O$22,$B105)*(1-$D105)+INDEX(O$7:O$22,$B105+1)*$D105)*O$4*$B$2)</f>
        <v>260</v>
      </c>
      <c r="O105" s="36">
        <f t="shared" si="171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2">(INDEX(F$7:F$22,$B106)*(1-$D106)+INDEX(F$7:F$22,$B106+1)*$D106)*F$4*$B$2</f>
        <v>7.5000000000000011E-2</v>
      </c>
      <c r="F106" s="22">
        <f t="shared" si="172"/>
        <v>0.48125000000000001</v>
      </c>
      <c r="G106" s="22">
        <f t="shared" si="172"/>
        <v>4.2500000000000003E-2</v>
      </c>
      <c r="H106" s="22">
        <f t="shared" si="172"/>
        <v>0</v>
      </c>
      <c r="I106" s="22">
        <f t="shared" si="172"/>
        <v>0</v>
      </c>
      <c r="J106" s="22">
        <f t="shared" si="172"/>
        <v>0.33875</v>
      </c>
      <c r="K106" s="22">
        <f t="shared" si="172"/>
        <v>0</v>
      </c>
      <c r="L106" s="22">
        <f t="shared" si="172"/>
        <v>0</v>
      </c>
      <c r="M106" s="22">
        <f t="shared" si="172"/>
        <v>0</v>
      </c>
      <c r="N106" s="36">
        <f t="shared" ref="N106:O106" si="173">INT((INDEX(O$7:O$22,$B106)*(1-$D106)+INDEX(O$7:O$22,$B106+1)*$D106)*O$4*$B$2)</f>
        <v>263</v>
      </c>
      <c r="O106" s="36">
        <f t="shared" si="173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4">(INDEX(F$7:F$22,$B107)*(1-$D107)+INDEX(F$7:F$22,$B107+1)*$D107)*F$4*$B$2</f>
        <v>4.9999999999999989E-2</v>
      </c>
      <c r="F107" s="22">
        <f t="shared" si="174"/>
        <v>0.48749999999999999</v>
      </c>
      <c r="G107" s="22">
        <f t="shared" si="174"/>
        <v>4.5000000000000005E-2</v>
      </c>
      <c r="H107" s="22">
        <f t="shared" si="174"/>
        <v>0</v>
      </c>
      <c r="I107" s="22">
        <f t="shared" si="174"/>
        <v>0</v>
      </c>
      <c r="J107" s="22">
        <f t="shared" si="174"/>
        <v>0.34250000000000003</v>
      </c>
      <c r="K107" s="22">
        <f t="shared" si="174"/>
        <v>0</v>
      </c>
      <c r="L107" s="22">
        <f t="shared" si="174"/>
        <v>0</v>
      </c>
      <c r="M107" s="22">
        <f t="shared" si="174"/>
        <v>0</v>
      </c>
      <c r="N107" s="36">
        <f t="shared" ref="N107:O107" si="175">INT((INDEX(O$7:O$22,$B107)*(1-$D107)+INDEX(O$7:O$22,$B107+1)*$D107)*O$4*$B$2)</f>
        <v>267</v>
      </c>
      <c r="O107" s="36">
        <f t="shared" si="175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6">(INDEX(F$7:F$22,$B108)*(1-$D108)+INDEX(F$7:F$22,$B108+1)*$D108)*F$4*$B$2</f>
        <v>2.5000000000000022E-2</v>
      </c>
      <c r="F108" s="22">
        <f t="shared" si="176"/>
        <v>0.49375000000000002</v>
      </c>
      <c r="G108" s="22">
        <f t="shared" si="176"/>
        <v>4.7500000000000001E-2</v>
      </c>
      <c r="H108" s="22">
        <f t="shared" si="176"/>
        <v>0</v>
      </c>
      <c r="I108" s="22">
        <f t="shared" si="176"/>
        <v>0</v>
      </c>
      <c r="J108" s="22">
        <f t="shared" si="176"/>
        <v>0.34625</v>
      </c>
      <c r="K108" s="22">
        <f t="shared" si="176"/>
        <v>0</v>
      </c>
      <c r="L108" s="22">
        <f t="shared" si="176"/>
        <v>0</v>
      </c>
      <c r="M108" s="22">
        <f t="shared" si="176"/>
        <v>0</v>
      </c>
      <c r="N108" s="36">
        <f t="shared" ref="N108:O108" si="177">INT((INDEX(O$7:O$22,$B108)*(1-$D108)+INDEX(O$7:O$22,$B108+1)*$D108)*O$4*$B$2)</f>
        <v>271</v>
      </c>
      <c r="O108" s="36">
        <f t="shared" si="177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8">(INDEX(F$7:F$22,$B109)*(1-$D109)+INDEX(F$7:F$22,$B109+1)*$D109)*F$4*$B$2</f>
        <v>0</v>
      </c>
      <c r="F109" s="22">
        <f t="shared" si="178"/>
        <v>0.5</v>
      </c>
      <c r="G109" s="22">
        <f t="shared" si="178"/>
        <v>0.05</v>
      </c>
      <c r="H109" s="22">
        <f t="shared" si="178"/>
        <v>0</v>
      </c>
      <c r="I109" s="22">
        <f t="shared" si="178"/>
        <v>0</v>
      </c>
      <c r="J109" s="22">
        <f t="shared" si="178"/>
        <v>0.35</v>
      </c>
      <c r="K109" s="22">
        <f t="shared" si="178"/>
        <v>0</v>
      </c>
      <c r="L109" s="22">
        <f t="shared" si="178"/>
        <v>0</v>
      </c>
      <c r="M109" s="22">
        <f t="shared" si="178"/>
        <v>0</v>
      </c>
      <c r="N109" s="36">
        <f t="shared" ref="N109:O109" si="179">INT((INDEX(O$7:O$22,$B109)*(1-$D109)+INDEX(O$7:O$22,$B109+1)*$D109)*O$4*$B$2)</f>
        <v>275</v>
      </c>
      <c r="O109" s="36">
        <f t="shared" si="179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80">(INDEX(F$7:F$22,$B110)*(1-$D110)+INDEX(F$7:F$22,$B110+1)*$D110)*F$4*$B$2</f>
        <v>0</v>
      </c>
      <c r="F110" s="22">
        <f t="shared" si="180"/>
        <v>0.46249999999999997</v>
      </c>
      <c r="G110" s="22">
        <f t="shared" si="180"/>
        <v>6.4999999999999988E-2</v>
      </c>
      <c r="H110" s="22">
        <f t="shared" si="180"/>
        <v>0</v>
      </c>
      <c r="I110" s="22">
        <f t="shared" si="180"/>
        <v>0</v>
      </c>
      <c r="J110" s="22">
        <f t="shared" si="180"/>
        <v>0.37249999999999994</v>
      </c>
      <c r="K110" s="22">
        <f t="shared" si="180"/>
        <v>0</v>
      </c>
      <c r="L110" s="22">
        <f t="shared" si="180"/>
        <v>0</v>
      </c>
      <c r="M110" s="22">
        <f t="shared" si="180"/>
        <v>0</v>
      </c>
      <c r="N110" s="36">
        <f t="shared" ref="N110:O110" si="181">INT((INDEX(O$7:O$22,$B110)*(1-$D110)+INDEX(O$7:O$22,$B110+1)*$D110)*O$4*$B$2)</f>
        <v>300</v>
      </c>
      <c r="O110" s="36">
        <f t="shared" si="181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2">(INDEX(F$7:F$22,$B111)*(1-$D111)+INDEX(F$7:F$22,$B111+1)*$D111)*F$4*$B$2</f>
        <v>0</v>
      </c>
      <c r="F111" s="22">
        <f t="shared" si="182"/>
        <v>0.45624999999999999</v>
      </c>
      <c r="G111" s="22">
        <f t="shared" si="182"/>
        <v>6.7500000000000004E-2</v>
      </c>
      <c r="H111" s="22">
        <f t="shared" si="182"/>
        <v>0</v>
      </c>
      <c r="I111" s="22">
        <f t="shared" si="182"/>
        <v>0</v>
      </c>
      <c r="J111" s="22">
        <f t="shared" si="182"/>
        <v>0.37624999999999997</v>
      </c>
      <c r="K111" s="22">
        <f t="shared" si="182"/>
        <v>0</v>
      </c>
      <c r="L111" s="22">
        <f t="shared" si="182"/>
        <v>0</v>
      </c>
      <c r="M111" s="22">
        <f t="shared" si="182"/>
        <v>0</v>
      </c>
      <c r="N111" s="36">
        <f t="shared" ref="N111:O111" si="183">INT((INDEX(O$7:O$22,$B111)*(1-$D111)+INDEX(O$7:O$22,$B111+1)*$D111)*O$4*$B$2)</f>
        <v>304</v>
      </c>
      <c r="O111" s="36">
        <f t="shared" si="183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4">(INDEX(F$7:F$22,$B112)*(1-$D112)+INDEX(F$7:F$22,$B112+1)*$D112)*F$4*$B$2</f>
        <v>0</v>
      </c>
      <c r="F112" s="22">
        <f t="shared" si="184"/>
        <v>0.45</v>
      </c>
      <c r="G112" s="22">
        <f t="shared" si="184"/>
        <v>6.9999999999999993E-2</v>
      </c>
      <c r="H112" s="22">
        <f t="shared" si="184"/>
        <v>0</v>
      </c>
      <c r="I112" s="22">
        <f t="shared" si="184"/>
        <v>0</v>
      </c>
      <c r="J112" s="22">
        <f t="shared" si="184"/>
        <v>0.38</v>
      </c>
      <c r="K112" s="22">
        <f t="shared" si="184"/>
        <v>0</v>
      </c>
      <c r="L112" s="22">
        <f t="shared" si="184"/>
        <v>0</v>
      </c>
      <c r="M112" s="22">
        <f t="shared" si="184"/>
        <v>0</v>
      </c>
      <c r="N112" s="36">
        <f t="shared" ref="N112:O112" si="185">INT((INDEX(O$7:O$22,$B112)*(1-$D112)+INDEX(O$7:O$22,$B112+1)*$D112)*O$4*$B$2)</f>
        <v>309</v>
      </c>
      <c r="O112" s="36">
        <f t="shared" si="185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6">(INDEX(F$7:F$22,$B113)*(1-$D113)+INDEX(F$7:F$22,$B113+1)*$D113)*F$4*$B$2</f>
        <v>0</v>
      </c>
      <c r="F113" s="22">
        <f t="shared" si="186"/>
        <v>0.44375000000000003</v>
      </c>
      <c r="G113" s="22">
        <f t="shared" si="186"/>
        <v>7.2500000000000009E-2</v>
      </c>
      <c r="H113" s="22">
        <f t="shared" si="186"/>
        <v>0</v>
      </c>
      <c r="I113" s="22">
        <f t="shared" si="186"/>
        <v>0</v>
      </c>
      <c r="J113" s="22">
        <f t="shared" si="186"/>
        <v>0.38375000000000004</v>
      </c>
      <c r="K113" s="22">
        <f t="shared" si="186"/>
        <v>0</v>
      </c>
      <c r="L113" s="22">
        <f t="shared" si="186"/>
        <v>0</v>
      </c>
      <c r="M113" s="22">
        <f t="shared" si="186"/>
        <v>0</v>
      </c>
      <c r="N113" s="36">
        <f t="shared" ref="N113:O113" si="187">INT((INDEX(O$7:O$22,$B113)*(1-$D113)+INDEX(O$7:O$22,$B113+1)*$D113)*O$4*$B$2)</f>
        <v>313</v>
      </c>
      <c r="O113" s="36">
        <f t="shared" si="187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8">(INDEX(F$7:F$22,$B114)*(1-$D114)+INDEX(F$7:F$22,$B114+1)*$D114)*F$4*$B$2</f>
        <v>0</v>
      </c>
      <c r="F114" s="22">
        <f t="shared" si="188"/>
        <v>0.4375</v>
      </c>
      <c r="G114" s="22">
        <f t="shared" si="188"/>
        <v>7.5000000000000011E-2</v>
      </c>
      <c r="H114" s="22">
        <f t="shared" si="188"/>
        <v>0</v>
      </c>
      <c r="I114" s="22">
        <f t="shared" si="188"/>
        <v>0</v>
      </c>
      <c r="J114" s="22">
        <f t="shared" si="188"/>
        <v>0.38749999999999996</v>
      </c>
      <c r="K114" s="22">
        <f t="shared" si="188"/>
        <v>0</v>
      </c>
      <c r="L114" s="22">
        <f t="shared" si="188"/>
        <v>0</v>
      </c>
      <c r="M114" s="22">
        <f t="shared" si="188"/>
        <v>0</v>
      </c>
      <c r="N114" s="36">
        <f t="shared" ref="N114:O114" si="189">INT((INDEX(O$7:O$22,$B114)*(1-$D114)+INDEX(O$7:O$22,$B114+1)*$D114)*O$4*$B$2)</f>
        <v>317</v>
      </c>
      <c r="O114" s="36">
        <f t="shared" si="189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90">(INDEX(F$7:F$22,$B115)*(1-$D115)+INDEX(F$7:F$22,$B115+1)*$D115)*F$4*$B$2</f>
        <v>0</v>
      </c>
      <c r="F115" s="22">
        <f t="shared" si="190"/>
        <v>0.43125000000000002</v>
      </c>
      <c r="G115" s="22">
        <f t="shared" si="190"/>
        <v>7.7500000000000013E-2</v>
      </c>
      <c r="H115" s="22">
        <f t="shared" si="190"/>
        <v>0</v>
      </c>
      <c r="I115" s="22">
        <f t="shared" si="190"/>
        <v>0</v>
      </c>
      <c r="J115" s="22">
        <f t="shared" si="190"/>
        <v>0.39124999999999999</v>
      </c>
      <c r="K115" s="22">
        <f t="shared" si="190"/>
        <v>0</v>
      </c>
      <c r="L115" s="22">
        <f t="shared" si="190"/>
        <v>0</v>
      </c>
      <c r="M115" s="22">
        <f t="shared" si="190"/>
        <v>0</v>
      </c>
      <c r="N115" s="36">
        <f t="shared" ref="N115:O115" si="191">INT((INDEX(O$7:O$22,$B115)*(1-$D115)+INDEX(O$7:O$22,$B115+1)*$D115)*O$4*$B$2)</f>
        <v>321</v>
      </c>
      <c r="O115" s="36">
        <f t="shared" si="191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2">(INDEX(F$7:F$22,$B116)*(1-$D116)+INDEX(F$7:F$22,$B116+1)*$D116)*F$4*$B$2</f>
        <v>0</v>
      </c>
      <c r="F116" s="22">
        <f t="shared" si="192"/>
        <v>0.42499999999999999</v>
      </c>
      <c r="G116" s="22">
        <f t="shared" si="192"/>
        <v>8.0000000000000016E-2</v>
      </c>
      <c r="H116" s="22">
        <f t="shared" si="192"/>
        <v>0</v>
      </c>
      <c r="I116" s="22">
        <f t="shared" si="192"/>
        <v>0</v>
      </c>
      <c r="J116" s="22">
        <f t="shared" si="192"/>
        <v>0.39500000000000002</v>
      </c>
      <c r="K116" s="22">
        <f t="shared" si="192"/>
        <v>0</v>
      </c>
      <c r="L116" s="22">
        <f t="shared" si="192"/>
        <v>0</v>
      </c>
      <c r="M116" s="22">
        <f t="shared" si="192"/>
        <v>0</v>
      </c>
      <c r="N116" s="36">
        <f t="shared" ref="N116:O116" si="193">INT((INDEX(O$7:O$22,$B116)*(1-$D116)+INDEX(O$7:O$22,$B116+1)*$D116)*O$4*$B$2)</f>
        <v>326</v>
      </c>
      <c r="O116" s="36">
        <f t="shared" si="193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4">(INDEX(F$7:F$22,$B117)*(1-$D117)+INDEX(F$7:F$22,$B117+1)*$D117)*F$4*$B$2</f>
        <v>0</v>
      </c>
      <c r="F117" s="22">
        <f t="shared" si="194"/>
        <v>0.41875000000000001</v>
      </c>
      <c r="G117" s="22">
        <f t="shared" si="194"/>
        <v>8.2500000000000004E-2</v>
      </c>
      <c r="H117" s="22">
        <f t="shared" si="194"/>
        <v>0</v>
      </c>
      <c r="I117" s="22">
        <f t="shared" si="194"/>
        <v>0</v>
      </c>
      <c r="J117" s="22">
        <f t="shared" si="194"/>
        <v>0.39874999999999999</v>
      </c>
      <c r="K117" s="22">
        <f t="shared" si="194"/>
        <v>0</v>
      </c>
      <c r="L117" s="22">
        <f t="shared" si="194"/>
        <v>0</v>
      </c>
      <c r="M117" s="22">
        <f t="shared" si="194"/>
        <v>0</v>
      </c>
      <c r="N117" s="36">
        <f t="shared" ref="N117:O117" si="195">INT((INDEX(O$7:O$22,$B117)*(1-$D117)+INDEX(O$7:O$22,$B117+1)*$D117)*O$4*$B$2)</f>
        <v>330</v>
      </c>
      <c r="O117" s="36">
        <f t="shared" si="195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6">(INDEX(F$7:F$22,$B118)*(1-$D118)+INDEX(F$7:F$22,$B118+1)*$D118)*F$4*$B$2</f>
        <v>0</v>
      </c>
      <c r="F118" s="22">
        <f t="shared" si="196"/>
        <v>0.41249999999999998</v>
      </c>
      <c r="G118" s="22">
        <f t="shared" si="196"/>
        <v>8.5000000000000006E-2</v>
      </c>
      <c r="H118" s="22">
        <f t="shared" si="196"/>
        <v>0</v>
      </c>
      <c r="I118" s="22">
        <f t="shared" si="196"/>
        <v>0</v>
      </c>
      <c r="J118" s="22">
        <f t="shared" si="196"/>
        <v>0.40249999999999997</v>
      </c>
      <c r="K118" s="22">
        <f t="shared" si="196"/>
        <v>0</v>
      </c>
      <c r="L118" s="22">
        <f t="shared" si="196"/>
        <v>0</v>
      </c>
      <c r="M118" s="22">
        <f t="shared" si="196"/>
        <v>0</v>
      </c>
      <c r="N118" s="36">
        <f t="shared" ref="N118:O118" si="197">INT((INDEX(O$7:O$22,$B118)*(1-$D118)+INDEX(O$7:O$22,$B118+1)*$D118)*O$4*$B$2)</f>
        <v>334</v>
      </c>
      <c r="O118" s="36">
        <f t="shared" si="197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8">(INDEX(F$7:F$22,$B119)*(1-$D119)+INDEX(F$7:F$22,$B119+1)*$D119)*F$4*$B$2</f>
        <v>0</v>
      </c>
      <c r="F119" s="22">
        <f t="shared" si="198"/>
        <v>0.40625</v>
      </c>
      <c r="G119" s="22">
        <f t="shared" si="198"/>
        <v>8.7500000000000008E-2</v>
      </c>
      <c r="H119" s="22">
        <f t="shared" si="198"/>
        <v>0</v>
      </c>
      <c r="I119" s="22">
        <f t="shared" si="198"/>
        <v>0</v>
      </c>
      <c r="J119" s="22">
        <f t="shared" si="198"/>
        <v>0.40625</v>
      </c>
      <c r="K119" s="22">
        <f t="shared" si="198"/>
        <v>0</v>
      </c>
      <c r="L119" s="22">
        <f t="shared" si="198"/>
        <v>0</v>
      </c>
      <c r="M119" s="22">
        <f t="shared" si="198"/>
        <v>0</v>
      </c>
      <c r="N119" s="36">
        <f t="shared" ref="N119:O119" si="199">INT((INDEX(O$7:O$22,$B119)*(1-$D119)+INDEX(O$7:O$22,$B119+1)*$D119)*O$4*$B$2)</f>
        <v>338</v>
      </c>
      <c r="O119" s="36">
        <f t="shared" si="199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200">(INDEX(F$7:F$22,$B120)*(1-$D120)+INDEX(F$7:F$22,$B120+1)*$D120)*F$4*$B$2</f>
        <v>0</v>
      </c>
      <c r="F120" s="22">
        <f t="shared" si="200"/>
        <v>0.4</v>
      </c>
      <c r="G120" s="22">
        <f t="shared" si="200"/>
        <v>9.0000000000000011E-2</v>
      </c>
      <c r="H120" s="22">
        <f t="shared" si="200"/>
        <v>0</v>
      </c>
      <c r="I120" s="22">
        <f t="shared" si="200"/>
        <v>0</v>
      </c>
      <c r="J120" s="22">
        <f t="shared" si="200"/>
        <v>0.41000000000000003</v>
      </c>
      <c r="K120" s="22">
        <f t="shared" si="200"/>
        <v>0</v>
      </c>
      <c r="L120" s="22">
        <f t="shared" si="200"/>
        <v>0</v>
      </c>
      <c r="M120" s="22">
        <f t="shared" si="200"/>
        <v>0</v>
      </c>
      <c r="N120" s="36">
        <f t="shared" ref="N120:O120" si="201">INT((INDEX(O$7:O$22,$B120)*(1-$D120)+INDEX(O$7:O$22,$B120+1)*$D120)*O$4*$B$2)</f>
        <v>343</v>
      </c>
      <c r="O120" s="36">
        <f t="shared" si="201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2">(INDEX(F$7:F$22,$B121)*(1-$D121)+INDEX(F$7:F$22,$B121+1)*$D121)*F$4*$B$2</f>
        <v>0</v>
      </c>
      <c r="F121" s="22">
        <f t="shared" si="202"/>
        <v>0.39374999999999999</v>
      </c>
      <c r="G121" s="22">
        <f t="shared" si="202"/>
        <v>9.2500000000000013E-2</v>
      </c>
      <c r="H121" s="22">
        <f t="shared" si="202"/>
        <v>0</v>
      </c>
      <c r="I121" s="22">
        <f t="shared" si="202"/>
        <v>0</v>
      </c>
      <c r="J121" s="22">
        <f t="shared" si="202"/>
        <v>0.41374999999999995</v>
      </c>
      <c r="K121" s="22">
        <f t="shared" si="202"/>
        <v>0</v>
      </c>
      <c r="L121" s="22">
        <f t="shared" si="202"/>
        <v>0</v>
      </c>
      <c r="M121" s="22">
        <f t="shared" si="202"/>
        <v>0</v>
      </c>
      <c r="N121" s="36">
        <f t="shared" ref="N121:O121" si="203">INT((INDEX(O$7:O$22,$B121)*(1-$D121)+INDEX(O$7:O$22,$B121+1)*$D121)*O$4*$B$2)</f>
        <v>347</v>
      </c>
      <c r="O121" s="36">
        <f t="shared" si="203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4">(INDEX(F$7:F$22,$B122)*(1-$D122)+INDEX(F$7:F$22,$B122+1)*$D122)*F$4*$B$2</f>
        <v>0</v>
      </c>
      <c r="F122" s="22">
        <f t="shared" si="204"/>
        <v>0.38750000000000001</v>
      </c>
      <c r="G122" s="22">
        <f t="shared" si="204"/>
        <v>9.5000000000000001E-2</v>
      </c>
      <c r="H122" s="22">
        <f t="shared" si="204"/>
        <v>0</v>
      </c>
      <c r="I122" s="22">
        <f t="shared" si="204"/>
        <v>0</v>
      </c>
      <c r="J122" s="22">
        <f t="shared" si="204"/>
        <v>0.41749999999999998</v>
      </c>
      <c r="K122" s="22">
        <f t="shared" si="204"/>
        <v>0</v>
      </c>
      <c r="L122" s="22">
        <f t="shared" si="204"/>
        <v>0</v>
      </c>
      <c r="M122" s="22">
        <f t="shared" si="204"/>
        <v>0</v>
      </c>
      <c r="N122" s="36">
        <f t="shared" ref="N122:O122" si="205">INT((INDEX(O$7:O$22,$B122)*(1-$D122)+INDEX(O$7:O$22,$B122+1)*$D122)*O$4*$B$2)</f>
        <v>351</v>
      </c>
      <c r="O122" s="36">
        <f t="shared" si="205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6">(INDEX(F$7:F$22,$B123)*(1-$D123)+INDEX(F$7:F$22,$B123+1)*$D123)*F$4*$B$2</f>
        <v>0</v>
      </c>
      <c r="F123" s="22">
        <f t="shared" si="206"/>
        <v>0.38124999999999998</v>
      </c>
      <c r="G123" s="22">
        <f t="shared" si="206"/>
        <v>9.7500000000000003E-2</v>
      </c>
      <c r="H123" s="22">
        <f t="shared" si="206"/>
        <v>0</v>
      </c>
      <c r="I123" s="22">
        <f t="shared" si="206"/>
        <v>0</v>
      </c>
      <c r="J123" s="22">
        <f t="shared" si="206"/>
        <v>0.42125000000000001</v>
      </c>
      <c r="K123" s="22">
        <f t="shared" si="206"/>
        <v>0</v>
      </c>
      <c r="L123" s="22">
        <f t="shared" si="206"/>
        <v>0</v>
      </c>
      <c r="M123" s="22">
        <f t="shared" si="206"/>
        <v>0</v>
      </c>
      <c r="N123" s="36">
        <f t="shared" ref="N123:O123" si="207">INT((INDEX(O$7:O$22,$B123)*(1-$D123)+INDEX(O$7:O$22,$B123+1)*$D123)*O$4*$B$2)</f>
        <v>355</v>
      </c>
      <c r="O123" s="36">
        <f t="shared" si="207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8">(INDEX(F$7:F$22,$B124)*(1-$D124)+INDEX(F$7:F$22,$B124+1)*$D124)*F$4*$B$2</f>
        <v>0</v>
      </c>
      <c r="F124" s="22">
        <f t="shared" si="208"/>
        <v>0.375</v>
      </c>
      <c r="G124" s="22">
        <f t="shared" si="208"/>
        <v>0.1</v>
      </c>
      <c r="H124" s="22">
        <f t="shared" si="208"/>
        <v>0</v>
      </c>
      <c r="I124" s="22">
        <f t="shared" si="208"/>
        <v>0</v>
      </c>
      <c r="J124" s="22">
        <f t="shared" si="208"/>
        <v>0.42499999999999999</v>
      </c>
      <c r="K124" s="22">
        <f t="shared" si="208"/>
        <v>0</v>
      </c>
      <c r="L124" s="22">
        <f t="shared" si="208"/>
        <v>0</v>
      </c>
      <c r="M124" s="22">
        <f t="shared" si="208"/>
        <v>0</v>
      </c>
      <c r="N124" s="36">
        <f t="shared" ref="N124:O124" si="209">INT((INDEX(O$7:O$22,$B124)*(1-$D124)+INDEX(O$7:O$22,$B124+1)*$D124)*O$4*$B$2)</f>
        <v>360</v>
      </c>
      <c r="O124" s="36">
        <f t="shared" si="209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10">(INDEX(F$7:F$22,$B125)*(1-$D125)+INDEX(F$7:F$22,$B125+1)*$D125)*F$4*$B$2</f>
        <v>0</v>
      </c>
      <c r="F125" s="22">
        <f t="shared" si="210"/>
        <v>0.33749999999999997</v>
      </c>
      <c r="G125" s="22">
        <f t="shared" si="210"/>
        <v>0.11499999999999999</v>
      </c>
      <c r="H125" s="22">
        <f t="shared" si="210"/>
        <v>0</v>
      </c>
      <c r="I125" s="22">
        <f t="shared" si="210"/>
        <v>0</v>
      </c>
      <c r="J125" s="22">
        <f t="shared" si="210"/>
        <v>0.44750000000000001</v>
      </c>
      <c r="K125" s="22">
        <f t="shared" si="210"/>
        <v>1.4999999999999999E-2</v>
      </c>
      <c r="L125" s="22">
        <f t="shared" si="210"/>
        <v>0</v>
      </c>
      <c r="M125" s="22">
        <f t="shared" si="210"/>
        <v>0</v>
      </c>
      <c r="N125" s="36">
        <f t="shared" ref="N125:O125" si="211">INT((INDEX(O$7:O$22,$B125)*(1-$D125)+INDEX(O$7:O$22,$B125+1)*$D125)*O$4*$B$2)</f>
        <v>392</v>
      </c>
      <c r="O125" s="36">
        <f t="shared" si="211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2">(INDEX(F$7:F$22,$B126)*(1-$D126)+INDEX(F$7:F$22,$B126+1)*$D126)*F$4*$B$2</f>
        <v>0</v>
      </c>
      <c r="F126" s="22">
        <f t="shared" si="212"/>
        <v>0.33125000000000004</v>
      </c>
      <c r="G126" s="22">
        <f t="shared" si="212"/>
        <v>0.11749999999999999</v>
      </c>
      <c r="H126" s="22">
        <f t="shared" si="212"/>
        <v>0</v>
      </c>
      <c r="I126" s="22">
        <f t="shared" si="212"/>
        <v>0</v>
      </c>
      <c r="J126" s="22">
        <f t="shared" si="212"/>
        <v>0.45124999999999998</v>
      </c>
      <c r="K126" s="22">
        <f t="shared" si="212"/>
        <v>1.7499999999999998E-2</v>
      </c>
      <c r="L126" s="22">
        <f t="shared" si="212"/>
        <v>0</v>
      </c>
      <c r="M126" s="22">
        <f t="shared" si="212"/>
        <v>0</v>
      </c>
      <c r="N126" s="36">
        <f t="shared" ref="N126:O126" si="213">INT((INDEX(O$7:O$22,$B126)*(1-$D126)+INDEX(O$7:O$22,$B126+1)*$D126)*O$4*$B$2)</f>
        <v>397</v>
      </c>
      <c r="O126" s="36">
        <f t="shared" si="213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4">(INDEX(F$7:F$22,$B127)*(1-$D127)+INDEX(F$7:F$22,$B127+1)*$D127)*F$4*$B$2</f>
        <v>0</v>
      </c>
      <c r="F127" s="22">
        <f t="shared" si="214"/>
        <v>0.32499999999999996</v>
      </c>
      <c r="G127" s="22">
        <f t="shared" si="214"/>
        <v>0.12000000000000002</v>
      </c>
      <c r="H127" s="22">
        <f t="shared" si="214"/>
        <v>0</v>
      </c>
      <c r="I127" s="22">
        <f t="shared" si="214"/>
        <v>0</v>
      </c>
      <c r="J127" s="22">
        <f t="shared" si="214"/>
        <v>0.45500000000000002</v>
      </c>
      <c r="K127" s="22">
        <f t="shared" si="214"/>
        <v>2.0000000000000004E-2</v>
      </c>
      <c r="L127" s="22">
        <f t="shared" si="214"/>
        <v>0</v>
      </c>
      <c r="M127" s="22">
        <f t="shared" si="214"/>
        <v>0</v>
      </c>
      <c r="N127" s="36">
        <f t="shared" ref="N127:O127" si="215">INT((INDEX(O$7:O$22,$B127)*(1-$D127)+INDEX(O$7:O$22,$B127+1)*$D127)*O$4*$B$2)</f>
        <v>403</v>
      </c>
      <c r="O127" s="36">
        <f t="shared" si="215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6">(INDEX(F$7:F$22,$B128)*(1-$D128)+INDEX(F$7:F$22,$B128+1)*$D128)*F$4*$B$2</f>
        <v>0</v>
      </c>
      <c r="F128" s="22">
        <f t="shared" si="216"/>
        <v>0.31875000000000003</v>
      </c>
      <c r="G128" s="22">
        <f t="shared" si="216"/>
        <v>0.12250000000000001</v>
      </c>
      <c r="H128" s="22">
        <f t="shared" si="216"/>
        <v>0</v>
      </c>
      <c r="I128" s="22">
        <f t="shared" si="216"/>
        <v>0</v>
      </c>
      <c r="J128" s="22">
        <f t="shared" si="216"/>
        <v>0.45874999999999999</v>
      </c>
      <c r="K128" s="22">
        <f t="shared" si="216"/>
        <v>2.2500000000000003E-2</v>
      </c>
      <c r="L128" s="22">
        <f t="shared" si="216"/>
        <v>0</v>
      </c>
      <c r="M128" s="22">
        <f t="shared" si="216"/>
        <v>0</v>
      </c>
      <c r="N128" s="36">
        <f t="shared" ref="N128:O128" si="217">INT((INDEX(O$7:O$22,$B128)*(1-$D128)+INDEX(O$7:O$22,$B128+1)*$D128)*O$4*$B$2)</f>
        <v>408</v>
      </c>
      <c r="O128" s="36">
        <f t="shared" si="217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8">(INDEX(F$7:F$22,$B129)*(1-$D129)+INDEX(F$7:F$22,$B129+1)*$D129)*F$4*$B$2</f>
        <v>0</v>
      </c>
      <c r="F129" s="22">
        <f t="shared" si="218"/>
        <v>0.3125</v>
      </c>
      <c r="G129" s="22">
        <f t="shared" si="218"/>
        <v>0.125</v>
      </c>
      <c r="H129" s="22">
        <f t="shared" si="218"/>
        <v>0</v>
      </c>
      <c r="I129" s="22">
        <f t="shared" si="218"/>
        <v>0</v>
      </c>
      <c r="J129" s="22">
        <f t="shared" si="218"/>
        <v>0.46250000000000002</v>
      </c>
      <c r="K129" s="22">
        <f t="shared" si="218"/>
        <v>2.5000000000000001E-2</v>
      </c>
      <c r="L129" s="22">
        <f t="shared" si="218"/>
        <v>0</v>
      </c>
      <c r="M129" s="22">
        <f t="shared" si="218"/>
        <v>0</v>
      </c>
      <c r="N129" s="36">
        <f t="shared" ref="N129:O129" si="219">INT((INDEX(O$7:O$22,$B129)*(1-$D129)+INDEX(O$7:O$22,$B129+1)*$D129)*O$4*$B$2)</f>
        <v>414</v>
      </c>
      <c r="O129" s="36">
        <f t="shared" si="219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20">(INDEX(F$7:F$22,$B130)*(1-$D130)+INDEX(F$7:F$22,$B130+1)*$D130)*F$4*$B$2</f>
        <v>0</v>
      </c>
      <c r="F130" s="22">
        <f t="shared" si="220"/>
        <v>0.30625000000000002</v>
      </c>
      <c r="G130" s="22">
        <f t="shared" si="220"/>
        <v>0.1275</v>
      </c>
      <c r="H130" s="22">
        <f t="shared" si="220"/>
        <v>0</v>
      </c>
      <c r="I130" s="22">
        <f t="shared" si="220"/>
        <v>0</v>
      </c>
      <c r="J130" s="22">
        <f t="shared" si="220"/>
        <v>0.46625</v>
      </c>
      <c r="K130" s="22">
        <f t="shared" si="220"/>
        <v>2.7500000000000004E-2</v>
      </c>
      <c r="L130" s="22">
        <f t="shared" si="220"/>
        <v>0</v>
      </c>
      <c r="M130" s="22">
        <f t="shared" si="220"/>
        <v>0</v>
      </c>
      <c r="N130" s="36">
        <f t="shared" ref="N130:O130" si="221">INT((INDEX(O$7:O$22,$B130)*(1-$D130)+INDEX(O$7:O$22,$B130+1)*$D130)*O$4*$B$2)</f>
        <v>419</v>
      </c>
      <c r="O130" s="36">
        <f t="shared" si="221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2">(INDEX(F$7:F$22,$B131)*(1-$D131)+INDEX(F$7:F$22,$B131+1)*$D131)*F$4*$B$2</f>
        <v>0</v>
      </c>
      <c r="F131" s="22">
        <f t="shared" si="222"/>
        <v>0.30000000000000004</v>
      </c>
      <c r="G131" s="22">
        <f t="shared" si="222"/>
        <v>0.12999999999999998</v>
      </c>
      <c r="H131" s="22">
        <f t="shared" si="222"/>
        <v>0</v>
      </c>
      <c r="I131" s="22">
        <f t="shared" si="222"/>
        <v>0</v>
      </c>
      <c r="J131" s="22">
        <f t="shared" si="222"/>
        <v>0.47</v>
      </c>
      <c r="K131" s="22">
        <f t="shared" si="222"/>
        <v>0.03</v>
      </c>
      <c r="L131" s="22">
        <f t="shared" si="222"/>
        <v>0</v>
      </c>
      <c r="M131" s="22">
        <f t="shared" si="222"/>
        <v>0</v>
      </c>
      <c r="N131" s="36">
        <f t="shared" ref="N131:O131" si="223">INT((INDEX(O$7:O$22,$B131)*(1-$D131)+INDEX(O$7:O$22,$B131+1)*$D131)*O$4*$B$2)</f>
        <v>424</v>
      </c>
      <c r="O131" s="36">
        <f t="shared" si="223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4">(INDEX(F$7:F$22,$B132)*(1-$D132)+INDEX(F$7:F$22,$B132+1)*$D132)*F$4*$B$2</f>
        <v>0</v>
      </c>
      <c r="F132" s="22">
        <f t="shared" si="224"/>
        <v>0.29374999999999996</v>
      </c>
      <c r="G132" s="22">
        <f t="shared" si="224"/>
        <v>0.13250000000000003</v>
      </c>
      <c r="H132" s="22">
        <f t="shared" si="224"/>
        <v>0</v>
      </c>
      <c r="I132" s="22">
        <f t="shared" si="224"/>
        <v>0</v>
      </c>
      <c r="J132" s="22">
        <f t="shared" si="224"/>
        <v>0.47375</v>
      </c>
      <c r="K132" s="22">
        <f t="shared" si="224"/>
        <v>3.2500000000000001E-2</v>
      </c>
      <c r="L132" s="22">
        <f t="shared" si="224"/>
        <v>0</v>
      </c>
      <c r="M132" s="22">
        <f t="shared" si="224"/>
        <v>0</v>
      </c>
      <c r="N132" s="36">
        <f t="shared" ref="N132:O132" si="225">INT((INDEX(O$7:O$22,$B132)*(1-$D132)+INDEX(O$7:O$22,$B132+1)*$D132)*O$4*$B$2)</f>
        <v>430</v>
      </c>
      <c r="O132" s="36">
        <f t="shared" si="225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6">(INDEX(F$7:F$22,$B133)*(1-$D133)+INDEX(F$7:F$22,$B133+1)*$D133)*F$4*$B$2</f>
        <v>0</v>
      </c>
      <c r="F133" s="22">
        <f t="shared" si="226"/>
        <v>0.28749999999999998</v>
      </c>
      <c r="G133" s="22">
        <f t="shared" si="226"/>
        <v>0.13499999999999998</v>
      </c>
      <c r="H133" s="22">
        <f t="shared" si="226"/>
        <v>0</v>
      </c>
      <c r="I133" s="22">
        <f t="shared" si="226"/>
        <v>0</v>
      </c>
      <c r="J133" s="22">
        <f t="shared" si="226"/>
        <v>0.47749999999999998</v>
      </c>
      <c r="K133" s="22">
        <f t="shared" si="226"/>
        <v>3.4999999999999996E-2</v>
      </c>
      <c r="L133" s="22">
        <f t="shared" si="226"/>
        <v>0</v>
      </c>
      <c r="M133" s="22">
        <f t="shared" si="226"/>
        <v>0</v>
      </c>
      <c r="N133" s="36">
        <f t="shared" ref="N133:O133" si="227">INT((INDEX(O$7:O$22,$B133)*(1-$D133)+INDEX(O$7:O$22,$B133+1)*$D133)*O$4*$B$2)</f>
        <v>435</v>
      </c>
      <c r="O133" s="36">
        <f t="shared" si="227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8">(INDEX(F$7:F$22,$B134)*(1-$D134)+INDEX(F$7:F$22,$B134+1)*$D134)*F$4*$B$2</f>
        <v>0</v>
      </c>
      <c r="F134" s="22">
        <f t="shared" si="228"/>
        <v>0.28125</v>
      </c>
      <c r="G134" s="22">
        <f t="shared" si="228"/>
        <v>0.13750000000000001</v>
      </c>
      <c r="H134" s="22">
        <f t="shared" si="228"/>
        <v>0</v>
      </c>
      <c r="I134" s="22">
        <f t="shared" si="228"/>
        <v>0</v>
      </c>
      <c r="J134" s="22">
        <f t="shared" si="228"/>
        <v>0.48125000000000001</v>
      </c>
      <c r="K134" s="22">
        <f t="shared" si="228"/>
        <v>3.7500000000000006E-2</v>
      </c>
      <c r="L134" s="22">
        <f t="shared" si="228"/>
        <v>0</v>
      </c>
      <c r="M134" s="22">
        <f t="shared" si="228"/>
        <v>0</v>
      </c>
      <c r="N134" s="36">
        <f t="shared" ref="N134:O134" si="229">INT((INDEX(O$7:O$22,$B134)*(1-$D134)+INDEX(O$7:O$22,$B134+1)*$D134)*O$4*$B$2)</f>
        <v>441</v>
      </c>
      <c r="O134" s="36">
        <f t="shared" si="229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30">(INDEX(F$7:F$22,$B135)*(1-$D135)+INDEX(F$7:F$22,$B135+1)*$D135)*F$4*$B$2</f>
        <v>0</v>
      </c>
      <c r="F135" s="22">
        <f t="shared" si="230"/>
        <v>0.27500000000000002</v>
      </c>
      <c r="G135" s="22">
        <f t="shared" si="230"/>
        <v>0.14000000000000001</v>
      </c>
      <c r="H135" s="22">
        <f t="shared" si="230"/>
        <v>0</v>
      </c>
      <c r="I135" s="22">
        <f t="shared" si="230"/>
        <v>0</v>
      </c>
      <c r="J135" s="22">
        <f t="shared" si="230"/>
        <v>0.48499999999999999</v>
      </c>
      <c r="K135" s="22">
        <f t="shared" si="230"/>
        <v>4.0000000000000008E-2</v>
      </c>
      <c r="L135" s="22">
        <f t="shared" si="230"/>
        <v>0</v>
      </c>
      <c r="M135" s="22">
        <f t="shared" si="230"/>
        <v>0</v>
      </c>
      <c r="N135" s="36">
        <f t="shared" ref="N135:O135" si="231">INT((INDEX(O$7:O$22,$B135)*(1-$D135)+INDEX(O$7:O$22,$B135+1)*$D135)*O$4*$B$2)</f>
        <v>446</v>
      </c>
      <c r="O135" s="36">
        <f t="shared" si="231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2">(INDEX(F$7:F$22,$B136)*(1-$D136)+INDEX(F$7:F$22,$B136+1)*$D136)*F$4*$B$2</f>
        <v>0</v>
      </c>
      <c r="F136" s="22">
        <f t="shared" si="232"/>
        <v>0.26874999999999999</v>
      </c>
      <c r="G136" s="22">
        <f t="shared" si="232"/>
        <v>0.14249999999999999</v>
      </c>
      <c r="H136" s="22">
        <f t="shared" si="232"/>
        <v>0</v>
      </c>
      <c r="I136" s="22">
        <f t="shared" si="232"/>
        <v>0</v>
      </c>
      <c r="J136" s="22">
        <f t="shared" si="232"/>
        <v>0.48875000000000002</v>
      </c>
      <c r="K136" s="22">
        <f t="shared" si="232"/>
        <v>4.2500000000000003E-2</v>
      </c>
      <c r="L136" s="22">
        <f t="shared" si="232"/>
        <v>0</v>
      </c>
      <c r="M136" s="22">
        <f t="shared" si="232"/>
        <v>0</v>
      </c>
      <c r="N136" s="36">
        <f t="shared" ref="N136:O136" si="233">INT((INDEX(O$7:O$22,$B136)*(1-$D136)+INDEX(O$7:O$22,$B136+1)*$D136)*O$4*$B$2)</f>
        <v>451</v>
      </c>
      <c r="O136" s="36">
        <f t="shared" si="233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4">(INDEX(F$7:F$22,$B137)*(1-$D137)+INDEX(F$7:F$22,$B137+1)*$D137)*F$4*$B$2</f>
        <v>0</v>
      </c>
      <c r="F137" s="22">
        <f t="shared" si="234"/>
        <v>0.26250000000000001</v>
      </c>
      <c r="G137" s="22">
        <f t="shared" si="234"/>
        <v>0.14500000000000002</v>
      </c>
      <c r="H137" s="22">
        <f t="shared" si="234"/>
        <v>0</v>
      </c>
      <c r="I137" s="22">
        <f t="shared" si="234"/>
        <v>0</v>
      </c>
      <c r="J137" s="22">
        <f t="shared" si="234"/>
        <v>0.49249999999999999</v>
      </c>
      <c r="K137" s="22">
        <f t="shared" si="234"/>
        <v>4.5000000000000005E-2</v>
      </c>
      <c r="L137" s="22">
        <f t="shared" si="234"/>
        <v>0</v>
      </c>
      <c r="M137" s="22">
        <f t="shared" si="234"/>
        <v>0</v>
      </c>
      <c r="N137" s="36">
        <f t="shared" ref="N137:O137" si="235">INT((INDEX(O$7:O$22,$B137)*(1-$D137)+INDEX(O$7:O$22,$B137+1)*$D137)*O$4*$B$2)</f>
        <v>457</v>
      </c>
      <c r="O137" s="36">
        <f t="shared" si="235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6">(INDEX(F$7:F$22,$B138)*(1-$D138)+INDEX(F$7:F$22,$B138+1)*$D138)*F$4*$B$2</f>
        <v>0</v>
      </c>
      <c r="F138" s="22">
        <f t="shared" si="236"/>
        <v>0.25624999999999998</v>
      </c>
      <c r="G138" s="22">
        <f t="shared" si="236"/>
        <v>0.14749999999999999</v>
      </c>
      <c r="H138" s="22">
        <f t="shared" si="236"/>
        <v>0</v>
      </c>
      <c r="I138" s="22">
        <f t="shared" si="236"/>
        <v>0</v>
      </c>
      <c r="J138" s="22">
        <f t="shared" si="236"/>
        <v>0.49624999999999997</v>
      </c>
      <c r="K138" s="22">
        <f t="shared" si="236"/>
        <v>4.7500000000000001E-2</v>
      </c>
      <c r="L138" s="22">
        <f t="shared" si="236"/>
        <v>0</v>
      </c>
      <c r="M138" s="22">
        <f t="shared" si="236"/>
        <v>0</v>
      </c>
      <c r="N138" s="36">
        <f t="shared" ref="N138:O138" si="237">INT((INDEX(O$7:O$22,$B138)*(1-$D138)+INDEX(O$7:O$22,$B138+1)*$D138)*O$4*$B$2)</f>
        <v>462</v>
      </c>
      <c r="O138" s="36">
        <f t="shared" si="237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8">(INDEX(F$7:F$22,$B139)*(1-$D139)+INDEX(F$7:F$22,$B139+1)*$D139)*F$4*$B$2</f>
        <v>0</v>
      </c>
      <c r="F139" s="22">
        <f t="shared" si="238"/>
        <v>0.25</v>
      </c>
      <c r="G139" s="22">
        <f t="shared" si="238"/>
        <v>0.15000000000000002</v>
      </c>
      <c r="H139" s="22">
        <f t="shared" si="238"/>
        <v>0</v>
      </c>
      <c r="I139" s="22">
        <f t="shared" si="238"/>
        <v>0</v>
      </c>
      <c r="J139" s="22">
        <f t="shared" si="238"/>
        <v>0.5</v>
      </c>
      <c r="K139" s="22">
        <f t="shared" si="238"/>
        <v>0.05</v>
      </c>
      <c r="L139" s="22">
        <f t="shared" si="238"/>
        <v>0</v>
      </c>
      <c r="M139" s="22">
        <f t="shared" si="238"/>
        <v>0</v>
      </c>
      <c r="N139" s="36">
        <f t="shared" ref="N139:O139" si="239">INT((INDEX(O$7:O$22,$B139)*(1-$D139)+INDEX(O$7:O$22,$B139+1)*$D139)*O$4*$B$2)</f>
        <v>468</v>
      </c>
      <c r="O139" s="36">
        <f t="shared" si="239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40">(INDEX(F$7:F$22,$B140)*(1-$D140)+INDEX(F$7:F$22,$B140+1)*$D140)*F$4*$B$2</f>
        <v>0</v>
      </c>
      <c r="F140" s="22">
        <f t="shared" si="240"/>
        <v>0.17499999999999999</v>
      </c>
      <c r="G140" s="22">
        <f t="shared" si="240"/>
        <v>0.16500000000000001</v>
      </c>
      <c r="H140" s="22">
        <f t="shared" si="240"/>
        <v>7.4999999999999997E-3</v>
      </c>
      <c r="I140" s="22">
        <f t="shared" si="240"/>
        <v>0</v>
      </c>
      <c r="J140" s="22">
        <f t="shared" si="240"/>
        <v>0.46249999999999997</v>
      </c>
      <c r="K140" s="22">
        <f t="shared" si="240"/>
        <v>6.4999999999999988E-2</v>
      </c>
      <c r="L140" s="22">
        <f t="shared" si="240"/>
        <v>0</v>
      </c>
      <c r="M140" s="22">
        <f t="shared" si="240"/>
        <v>0</v>
      </c>
      <c r="N140" s="36">
        <f t="shared" ref="N140:O140" si="241">INT((INDEX(O$7:O$22,$B140)*(1-$D140)+INDEX(O$7:O$22,$B140+1)*$D140)*O$4*$B$2)</f>
        <v>512</v>
      </c>
      <c r="O140" s="36">
        <f t="shared" si="241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2">(INDEX(F$7:F$22,$B141)*(1-$D141)+INDEX(F$7:F$22,$B141+1)*$D141)*F$4*$B$2</f>
        <v>0</v>
      </c>
      <c r="F141" s="22">
        <f t="shared" si="242"/>
        <v>0.16250000000000001</v>
      </c>
      <c r="G141" s="22">
        <f t="shared" si="242"/>
        <v>0.16750000000000001</v>
      </c>
      <c r="H141" s="22">
        <f t="shared" si="242"/>
        <v>8.7499999999999991E-3</v>
      </c>
      <c r="I141" s="22">
        <f t="shared" si="242"/>
        <v>0</v>
      </c>
      <c r="J141" s="22">
        <f t="shared" si="242"/>
        <v>0.45624999999999999</v>
      </c>
      <c r="K141" s="22">
        <f t="shared" si="242"/>
        <v>6.7500000000000004E-2</v>
      </c>
      <c r="L141" s="22">
        <f t="shared" si="242"/>
        <v>0</v>
      </c>
      <c r="M141" s="22">
        <f t="shared" si="242"/>
        <v>0</v>
      </c>
      <c r="N141" s="36">
        <f t="shared" ref="N141:O141" si="243">INT((INDEX(O$7:O$22,$B141)*(1-$D141)+INDEX(O$7:O$22,$B141+1)*$D141)*O$4*$B$2)</f>
        <v>519</v>
      </c>
      <c r="O141" s="36">
        <f t="shared" si="243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4">(INDEX(F$7:F$22,$B142)*(1-$D142)+INDEX(F$7:F$22,$B142+1)*$D142)*F$4*$B$2</f>
        <v>0</v>
      </c>
      <c r="F142" s="22">
        <f t="shared" si="244"/>
        <v>0.15</v>
      </c>
      <c r="G142" s="22">
        <f t="shared" si="244"/>
        <v>0.17</v>
      </c>
      <c r="H142" s="22">
        <f t="shared" si="244"/>
        <v>1.0000000000000002E-2</v>
      </c>
      <c r="I142" s="22">
        <f t="shared" si="244"/>
        <v>0</v>
      </c>
      <c r="J142" s="22">
        <f t="shared" si="244"/>
        <v>0.45</v>
      </c>
      <c r="K142" s="22">
        <f t="shared" si="244"/>
        <v>6.9999999999999993E-2</v>
      </c>
      <c r="L142" s="22">
        <f t="shared" si="244"/>
        <v>0</v>
      </c>
      <c r="M142" s="22">
        <f t="shared" si="244"/>
        <v>0</v>
      </c>
      <c r="N142" s="36">
        <f t="shared" ref="N142:O142" si="245">INT((INDEX(O$7:O$22,$B142)*(1-$D142)+INDEX(O$7:O$22,$B142+1)*$D142)*O$4*$B$2)</f>
        <v>527</v>
      </c>
      <c r="O142" s="36">
        <f t="shared" si="245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6">(INDEX(F$7:F$22,$B143)*(1-$D143)+INDEX(F$7:F$22,$B143+1)*$D143)*F$4*$B$2</f>
        <v>0</v>
      </c>
      <c r="F143" s="22">
        <f t="shared" si="246"/>
        <v>0.13750000000000001</v>
      </c>
      <c r="G143" s="22">
        <f t="shared" si="246"/>
        <v>0.17250000000000001</v>
      </c>
      <c r="H143" s="22">
        <f t="shared" si="246"/>
        <v>1.1250000000000001E-2</v>
      </c>
      <c r="I143" s="22">
        <f t="shared" si="246"/>
        <v>0</v>
      </c>
      <c r="J143" s="22">
        <f t="shared" si="246"/>
        <v>0.44375000000000003</v>
      </c>
      <c r="K143" s="22">
        <f t="shared" si="246"/>
        <v>7.2500000000000009E-2</v>
      </c>
      <c r="L143" s="22">
        <f t="shared" si="246"/>
        <v>0</v>
      </c>
      <c r="M143" s="22">
        <f t="shared" si="246"/>
        <v>0</v>
      </c>
      <c r="N143" s="36">
        <f t="shared" ref="N143:O143" si="247">INT((INDEX(O$7:O$22,$B143)*(1-$D143)+INDEX(O$7:O$22,$B143+1)*$D143)*O$4*$B$2)</f>
        <v>534</v>
      </c>
      <c r="O143" s="36">
        <f t="shared" si="247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8">(INDEX(F$7:F$22,$B144)*(1-$D144)+INDEX(F$7:F$22,$B144+1)*$D144)*F$4*$B$2</f>
        <v>0</v>
      </c>
      <c r="F144" s="22">
        <f t="shared" si="248"/>
        <v>0.125</v>
      </c>
      <c r="G144" s="22">
        <f t="shared" si="248"/>
        <v>0.17500000000000002</v>
      </c>
      <c r="H144" s="22">
        <f t="shared" si="248"/>
        <v>1.2500000000000001E-2</v>
      </c>
      <c r="I144" s="22">
        <f t="shared" si="248"/>
        <v>0</v>
      </c>
      <c r="J144" s="22">
        <f t="shared" si="248"/>
        <v>0.4375</v>
      </c>
      <c r="K144" s="22">
        <f t="shared" si="248"/>
        <v>7.5000000000000011E-2</v>
      </c>
      <c r="L144" s="22">
        <f t="shared" si="248"/>
        <v>0</v>
      </c>
      <c r="M144" s="22">
        <f t="shared" si="248"/>
        <v>0</v>
      </c>
      <c r="N144" s="36">
        <f t="shared" ref="N144:O144" si="249">INT((INDEX(O$7:O$22,$B144)*(1-$D144)+INDEX(O$7:O$22,$B144+1)*$D144)*O$4*$B$2)</f>
        <v>542</v>
      </c>
      <c r="O144" s="36">
        <f t="shared" si="249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50">(INDEX(F$7:F$22,$B145)*(1-$D145)+INDEX(F$7:F$22,$B145+1)*$D145)*F$4*$B$2</f>
        <v>0</v>
      </c>
      <c r="F145" s="22">
        <f t="shared" si="250"/>
        <v>0.11249999999999999</v>
      </c>
      <c r="G145" s="22">
        <f t="shared" si="250"/>
        <v>0.17749999999999999</v>
      </c>
      <c r="H145" s="22">
        <f t="shared" si="250"/>
        <v>1.3750000000000002E-2</v>
      </c>
      <c r="I145" s="22">
        <f t="shared" si="250"/>
        <v>0</v>
      </c>
      <c r="J145" s="22">
        <f t="shared" si="250"/>
        <v>0.43125000000000002</v>
      </c>
      <c r="K145" s="22">
        <f t="shared" si="250"/>
        <v>7.7500000000000013E-2</v>
      </c>
      <c r="L145" s="22">
        <f t="shared" si="250"/>
        <v>0</v>
      </c>
      <c r="M145" s="22">
        <f t="shared" si="250"/>
        <v>0</v>
      </c>
      <c r="N145" s="36">
        <f t="shared" ref="N145:O145" si="251">INT((INDEX(O$7:O$22,$B145)*(1-$D145)+INDEX(O$7:O$22,$B145+1)*$D145)*O$4*$B$2)</f>
        <v>549</v>
      </c>
      <c r="O145" s="36">
        <f t="shared" si="251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2">(INDEX(F$7:F$22,$B146)*(1-$D146)+INDEX(F$7:F$22,$B146+1)*$D146)*F$4*$B$2</f>
        <v>0</v>
      </c>
      <c r="F146" s="22">
        <f t="shared" si="252"/>
        <v>0.1</v>
      </c>
      <c r="G146" s="22">
        <f t="shared" si="252"/>
        <v>0.18000000000000002</v>
      </c>
      <c r="H146" s="22">
        <f t="shared" si="252"/>
        <v>1.4999999999999999E-2</v>
      </c>
      <c r="I146" s="22">
        <f t="shared" si="252"/>
        <v>0</v>
      </c>
      <c r="J146" s="22">
        <f t="shared" si="252"/>
        <v>0.42499999999999999</v>
      </c>
      <c r="K146" s="22">
        <f t="shared" si="252"/>
        <v>8.0000000000000016E-2</v>
      </c>
      <c r="L146" s="22">
        <f t="shared" si="252"/>
        <v>0</v>
      </c>
      <c r="M146" s="22">
        <f t="shared" si="252"/>
        <v>0</v>
      </c>
      <c r="N146" s="36">
        <f t="shared" ref="N146:O146" si="253">INT((INDEX(O$7:O$22,$B146)*(1-$D146)+INDEX(O$7:O$22,$B146+1)*$D146)*O$4*$B$2)</f>
        <v>556</v>
      </c>
      <c r="O146" s="36">
        <f t="shared" si="253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4">(INDEX(F$7:F$22,$B147)*(1-$D147)+INDEX(F$7:F$22,$B147+1)*$D147)*F$4*$B$2</f>
        <v>0</v>
      </c>
      <c r="F147" s="22">
        <f t="shared" si="254"/>
        <v>8.7499999999999994E-2</v>
      </c>
      <c r="G147" s="22">
        <f t="shared" si="254"/>
        <v>0.1825</v>
      </c>
      <c r="H147" s="22">
        <f t="shared" si="254"/>
        <v>1.6250000000000001E-2</v>
      </c>
      <c r="I147" s="22">
        <f t="shared" si="254"/>
        <v>0</v>
      </c>
      <c r="J147" s="22">
        <f t="shared" si="254"/>
        <v>0.41875000000000001</v>
      </c>
      <c r="K147" s="22">
        <f t="shared" si="254"/>
        <v>8.2500000000000004E-2</v>
      </c>
      <c r="L147" s="22">
        <f t="shared" si="254"/>
        <v>0</v>
      </c>
      <c r="M147" s="22">
        <f t="shared" si="254"/>
        <v>0</v>
      </c>
      <c r="N147" s="36">
        <f t="shared" ref="N147:O147" si="255">INT((INDEX(O$7:O$22,$B147)*(1-$D147)+INDEX(O$7:O$22,$B147+1)*$D147)*O$4*$B$2)</f>
        <v>564</v>
      </c>
      <c r="O147" s="36">
        <f t="shared" si="255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6">(INDEX(F$7:F$22,$B148)*(1-$D148)+INDEX(F$7:F$22,$B148+1)*$D148)*F$4*$B$2</f>
        <v>0</v>
      </c>
      <c r="F148" s="22">
        <f t="shared" si="256"/>
        <v>7.5000000000000011E-2</v>
      </c>
      <c r="G148" s="22">
        <f t="shared" si="256"/>
        <v>0.18500000000000003</v>
      </c>
      <c r="H148" s="22">
        <f t="shared" si="256"/>
        <v>1.7499999999999998E-2</v>
      </c>
      <c r="I148" s="22">
        <f t="shared" si="256"/>
        <v>0</v>
      </c>
      <c r="J148" s="22">
        <f t="shared" si="256"/>
        <v>0.41249999999999998</v>
      </c>
      <c r="K148" s="22">
        <f t="shared" si="256"/>
        <v>8.5000000000000006E-2</v>
      </c>
      <c r="L148" s="22">
        <f t="shared" si="256"/>
        <v>0</v>
      </c>
      <c r="M148" s="22">
        <f t="shared" si="256"/>
        <v>0</v>
      </c>
      <c r="N148" s="36">
        <f t="shared" ref="N148:O148" si="257">INT((INDEX(O$7:O$22,$B148)*(1-$D148)+INDEX(O$7:O$22,$B148+1)*$D148)*O$4*$B$2)</f>
        <v>571</v>
      </c>
      <c r="O148" s="36">
        <f t="shared" si="257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8">(INDEX(F$7:F$22,$B149)*(1-$D149)+INDEX(F$7:F$22,$B149+1)*$D149)*F$4*$B$2</f>
        <v>0</v>
      </c>
      <c r="F149" s="22">
        <f t="shared" si="258"/>
        <v>6.25E-2</v>
      </c>
      <c r="G149" s="22">
        <f t="shared" si="258"/>
        <v>0.1875</v>
      </c>
      <c r="H149" s="22">
        <f t="shared" si="258"/>
        <v>1.8750000000000003E-2</v>
      </c>
      <c r="I149" s="22">
        <f t="shared" si="258"/>
        <v>0</v>
      </c>
      <c r="J149" s="22">
        <f t="shared" si="258"/>
        <v>0.40625</v>
      </c>
      <c r="K149" s="22">
        <f t="shared" si="258"/>
        <v>8.7500000000000008E-2</v>
      </c>
      <c r="L149" s="22">
        <f t="shared" si="258"/>
        <v>0</v>
      </c>
      <c r="M149" s="22">
        <f t="shared" si="258"/>
        <v>0</v>
      </c>
      <c r="N149" s="36">
        <f t="shared" ref="N149:O149" si="259">INT((INDEX(O$7:O$22,$B149)*(1-$D149)+INDEX(O$7:O$22,$B149+1)*$D149)*O$4*$B$2)</f>
        <v>579</v>
      </c>
      <c r="O149" s="36">
        <f t="shared" si="259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60">(INDEX(F$7:F$22,$B150)*(1-$D150)+INDEX(F$7:F$22,$B150+1)*$D150)*F$4*$B$2</f>
        <v>0</v>
      </c>
      <c r="F150" s="22">
        <f t="shared" si="260"/>
        <v>4.9999999999999989E-2</v>
      </c>
      <c r="G150" s="22">
        <f t="shared" si="260"/>
        <v>0.19</v>
      </c>
      <c r="H150" s="22">
        <f t="shared" si="260"/>
        <v>2.0000000000000004E-2</v>
      </c>
      <c r="I150" s="22">
        <f t="shared" si="260"/>
        <v>0</v>
      </c>
      <c r="J150" s="22">
        <f t="shared" si="260"/>
        <v>0.4</v>
      </c>
      <c r="K150" s="22">
        <f t="shared" si="260"/>
        <v>9.0000000000000011E-2</v>
      </c>
      <c r="L150" s="22">
        <f t="shared" si="260"/>
        <v>0</v>
      </c>
      <c r="M150" s="22">
        <f t="shared" si="260"/>
        <v>0</v>
      </c>
      <c r="N150" s="36">
        <f t="shared" ref="N150:O150" si="261">INT((INDEX(O$7:O$22,$B150)*(1-$D150)+INDEX(O$7:O$22,$B150+1)*$D150)*O$4*$B$2)</f>
        <v>586</v>
      </c>
      <c r="O150" s="36">
        <f t="shared" si="261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2">(INDEX(F$7:F$22,$B151)*(1-$D151)+INDEX(F$7:F$22,$B151+1)*$D151)*F$4*$B$2</f>
        <v>0</v>
      </c>
      <c r="F151" s="22">
        <f t="shared" si="262"/>
        <v>3.7500000000000006E-2</v>
      </c>
      <c r="G151" s="22">
        <f t="shared" si="262"/>
        <v>0.1925</v>
      </c>
      <c r="H151" s="22">
        <f t="shared" si="262"/>
        <v>2.1250000000000002E-2</v>
      </c>
      <c r="I151" s="22">
        <f t="shared" si="262"/>
        <v>0</v>
      </c>
      <c r="J151" s="22">
        <f t="shared" si="262"/>
        <v>0.39374999999999999</v>
      </c>
      <c r="K151" s="22">
        <f t="shared" si="262"/>
        <v>9.2500000000000013E-2</v>
      </c>
      <c r="L151" s="22">
        <f t="shared" si="262"/>
        <v>0</v>
      </c>
      <c r="M151" s="22">
        <f t="shared" si="262"/>
        <v>0</v>
      </c>
      <c r="N151" s="36">
        <f t="shared" ref="N151:O151" si="263">INT((INDEX(O$7:O$22,$B151)*(1-$D151)+INDEX(O$7:O$22,$B151+1)*$D151)*O$4*$B$2)</f>
        <v>593</v>
      </c>
      <c r="O151" s="36">
        <f t="shared" si="263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4">(INDEX(F$7:F$22,$B152)*(1-$D152)+INDEX(F$7:F$22,$B152+1)*$D152)*F$4*$B$2</f>
        <v>0</v>
      </c>
      <c r="F152" s="22">
        <f t="shared" si="264"/>
        <v>2.4999999999999994E-2</v>
      </c>
      <c r="G152" s="22">
        <f t="shared" si="264"/>
        <v>0.19500000000000001</v>
      </c>
      <c r="H152" s="22">
        <f t="shared" si="264"/>
        <v>2.2500000000000003E-2</v>
      </c>
      <c r="I152" s="22">
        <f t="shared" si="264"/>
        <v>0</v>
      </c>
      <c r="J152" s="22">
        <f t="shared" si="264"/>
        <v>0.38750000000000001</v>
      </c>
      <c r="K152" s="22">
        <f t="shared" si="264"/>
        <v>9.5000000000000001E-2</v>
      </c>
      <c r="L152" s="22">
        <f t="shared" si="264"/>
        <v>0</v>
      </c>
      <c r="M152" s="22">
        <f t="shared" si="264"/>
        <v>0</v>
      </c>
      <c r="N152" s="36">
        <f t="shared" ref="N152:O152" si="265">INT((INDEX(O$7:O$22,$B152)*(1-$D152)+INDEX(O$7:O$22,$B152+1)*$D152)*O$4*$B$2)</f>
        <v>601</v>
      </c>
      <c r="O152" s="36">
        <f t="shared" si="265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6">(INDEX(F$7:F$22,$B153)*(1-$D153)+INDEX(F$7:F$22,$B153+1)*$D153)*F$4*$B$2</f>
        <v>0</v>
      </c>
      <c r="F153" s="22">
        <f t="shared" si="266"/>
        <v>1.2500000000000011E-2</v>
      </c>
      <c r="G153" s="22">
        <f t="shared" si="266"/>
        <v>0.19750000000000001</v>
      </c>
      <c r="H153" s="22">
        <f t="shared" si="266"/>
        <v>2.375E-2</v>
      </c>
      <c r="I153" s="22">
        <f t="shared" si="266"/>
        <v>0</v>
      </c>
      <c r="J153" s="22">
        <f t="shared" si="266"/>
        <v>0.38124999999999998</v>
      </c>
      <c r="K153" s="22">
        <f t="shared" si="266"/>
        <v>9.7500000000000003E-2</v>
      </c>
      <c r="L153" s="22">
        <f t="shared" si="266"/>
        <v>0</v>
      </c>
      <c r="M153" s="22">
        <f t="shared" si="266"/>
        <v>0</v>
      </c>
      <c r="N153" s="36">
        <f t="shared" ref="N153:O153" si="267">INT((INDEX(O$7:O$22,$B153)*(1-$D153)+INDEX(O$7:O$22,$B153+1)*$D153)*O$4*$B$2)</f>
        <v>608</v>
      </c>
      <c r="O153" s="36">
        <f t="shared" si="267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8">(INDEX(F$7:F$22,$B154)*(1-$D154)+INDEX(F$7:F$22,$B154+1)*$D154)*F$4*$B$2</f>
        <v>0</v>
      </c>
      <c r="F154" s="22">
        <f t="shared" si="268"/>
        <v>0</v>
      </c>
      <c r="G154" s="22">
        <f t="shared" si="268"/>
        <v>0.2</v>
      </c>
      <c r="H154" s="22">
        <f t="shared" si="268"/>
        <v>2.5000000000000001E-2</v>
      </c>
      <c r="I154" s="22">
        <f t="shared" si="268"/>
        <v>0</v>
      </c>
      <c r="J154" s="22">
        <f t="shared" si="268"/>
        <v>0.375</v>
      </c>
      <c r="K154" s="22">
        <f t="shared" si="268"/>
        <v>0.1</v>
      </c>
      <c r="L154" s="22">
        <f t="shared" si="268"/>
        <v>0</v>
      </c>
      <c r="M154" s="22">
        <f t="shared" si="268"/>
        <v>0</v>
      </c>
      <c r="N154" s="36">
        <f t="shared" ref="N154:O154" si="269">INT((INDEX(O$7:O$22,$B154)*(1-$D154)+INDEX(O$7:O$22,$B154+1)*$D154)*O$4*$B$2)</f>
        <v>616</v>
      </c>
      <c r="O154" s="36">
        <f t="shared" si="269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70">(INDEX(F$7:F$22,$B155)*(1-$D155)+INDEX(F$7:F$22,$B155+1)*$D155)*F$4*$B$2</f>
        <v>0</v>
      </c>
      <c r="F155" s="22">
        <f t="shared" si="270"/>
        <v>0</v>
      </c>
      <c r="G155" s="22">
        <f t="shared" si="270"/>
        <v>0.185</v>
      </c>
      <c r="H155" s="22">
        <f t="shared" si="270"/>
        <v>3.2499999999999994E-2</v>
      </c>
      <c r="I155" s="22">
        <f t="shared" si="270"/>
        <v>0</v>
      </c>
      <c r="J155" s="22">
        <f t="shared" si="270"/>
        <v>0.33749999999999997</v>
      </c>
      <c r="K155" s="22">
        <f t="shared" si="270"/>
        <v>0.11499999999999999</v>
      </c>
      <c r="L155" s="22">
        <f t="shared" si="270"/>
        <v>0</v>
      </c>
      <c r="M155" s="22">
        <f t="shared" si="270"/>
        <v>0</v>
      </c>
      <c r="N155" s="36">
        <f t="shared" ref="N155:O155" si="271">INT((INDEX(O$7:O$22,$B155)*(1-$D155)+INDEX(O$7:O$22,$B155+1)*$D155)*O$4*$B$2)</f>
        <v>669</v>
      </c>
      <c r="O155" s="36">
        <f t="shared" si="271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2">(INDEX(F$7:F$22,$B156)*(1-$D156)+INDEX(F$7:F$22,$B156+1)*$D156)*F$4*$B$2</f>
        <v>0</v>
      </c>
      <c r="F156" s="22">
        <f t="shared" si="272"/>
        <v>0</v>
      </c>
      <c r="G156" s="22">
        <f t="shared" si="272"/>
        <v>0.1825</v>
      </c>
      <c r="H156" s="22">
        <f t="shared" si="272"/>
        <v>3.3750000000000002E-2</v>
      </c>
      <c r="I156" s="22">
        <f t="shared" si="272"/>
        <v>0</v>
      </c>
      <c r="J156" s="22">
        <f t="shared" si="272"/>
        <v>0.33125000000000004</v>
      </c>
      <c r="K156" s="22">
        <f t="shared" si="272"/>
        <v>0.11749999999999999</v>
      </c>
      <c r="L156" s="22">
        <f t="shared" si="272"/>
        <v>0</v>
      </c>
      <c r="M156" s="22">
        <f t="shared" si="272"/>
        <v>0</v>
      </c>
      <c r="N156" s="36">
        <f t="shared" ref="N156:O156" si="273">INT((INDEX(O$7:O$22,$B156)*(1-$D156)+INDEX(O$7:O$22,$B156+1)*$D156)*O$4*$B$2)</f>
        <v>678</v>
      </c>
      <c r="O156" s="36">
        <f t="shared" si="273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4">(INDEX(F$7:F$22,$B157)*(1-$D157)+INDEX(F$7:F$22,$B157+1)*$D157)*F$4*$B$2</f>
        <v>0</v>
      </c>
      <c r="F157" s="22">
        <f t="shared" si="274"/>
        <v>0</v>
      </c>
      <c r="G157" s="22">
        <f t="shared" si="274"/>
        <v>0.18000000000000002</v>
      </c>
      <c r="H157" s="22">
        <f t="shared" si="274"/>
        <v>3.4999999999999996E-2</v>
      </c>
      <c r="I157" s="22">
        <f t="shared" si="274"/>
        <v>0</v>
      </c>
      <c r="J157" s="22">
        <f t="shared" si="274"/>
        <v>0.32499999999999996</v>
      </c>
      <c r="K157" s="22">
        <f t="shared" si="274"/>
        <v>0.12000000000000002</v>
      </c>
      <c r="L157" s="22">
        <f t="shared" si="274"/>
        <v>0</v>
      </c>
      <c r="M157" s="22">
        <f t="shared" si="274"/>
        <v>0</v>
      </c>
      <c r="N157" s="36">
        <f t="shared" ref="N157:O157" si="275">INT((INDEX(O$7:O$22,$B157)*(1-$D157)+INDEX(O$7:O$22,$B157+1)*$D157)*O$4*$B$2)</f>
        <v>687</v>
      </c>
      <c r="O157" s="36">
        <f t="shared" si="275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6">(INDEX(F$7:F$22,$B158)*(1-$D158)+INDEX(F$7:F$22,$B158+1)*$D158)*F$4*$B$2</f>
        <v>0</v>
      </c>
      <c r="F158" s="22">
        <f t="shared" si="276"/>
        <v>0</v>
      </c>
      <c r="G158" s="22">
        <f t="shared" si="276"/>
        <v>0.17750000000000002</v>
      </c>
      <c r="H158" s="22">
        <f t="shared" si="276"/>
        <v>3.6250000000000004E-2</v>
      </c>
      <c r="I158" s="22">
        <f t="shared" si="276"/>
        <v>0</v>
      </c>
      <c r="J158" s="22">
        <f t="shared" si="276"/>
        <v>0.31875000000000003</v>
      </c>
      <c r="K158" s="22">
        <f t="shared" si="276"/>
        <v>0.12250000000000001</v>
      </c>
      <c r="L158" s="22">
        <f t="shared" si="276"/>
        <v>0</v>
      </c>
      <c r="M158" s="22">
        <f t="shared" si="276"/>
        <v>0</v>
      </c>
      <c r="N158" s="36">
        <f t="shared" ref="N158:O158" si="277">INT((INDEX(O$7:O$22,$B158)*(1-$D158)+INDEX(O$7:O$22,$B158+1)*$D158)*O$4*$B$2)</f>
        <v>696</v>
      </c>
      <c r="O158" s="36">
        <f t="shared" si="277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8">(INDEX(F$7:F$22,$B159)*(1-$D159)+INDEX(F$7:F$22,$B159+1)*$D159)*F$4*$B$2</f>
        <v>0</v>
      </c>
      <c r="F159" s="22">
        <f t="shared" si="278"/>
        <v>0</v>
      </c>
      <c r="G159" s="22">
        <f t="shared" si="278"/>
        <v>0.17500000000000002</v>
      </c>
      <c r="H159" s="22">
        <f t="shared" si="278"/>
        <v>3.7500000000000006E-2</v>
      </c>
      <c r="I159" s="22">
        <f t="shared" si="278"/>
        <v>0</v>
      </c>
      <c r="J159" s="22">
        <f t="shared" si="278"/>
        <v>0.3125</v>
      </c>
      <c r="K159" s="22">
        <f t="shared" si="278"/>
        <v>0.125</v>
      </c>
      <c r="L159" s="22">
        <f t="shared" si="278"/>
        <v>0</v>
      </c>
      <c r="M159" s="22">
        <f t="shared" si="278"/>
        <v>0</v>
      </c>
      <c r="N159" s="36">
        <f t="shared" ref="N159:O159" si="279">INT((INDEX(O$7:O$22,$B159)*(1-$D159)+INDEX(O$7:O$22,$B159+1)*$D159)*O$4*$B$2)</f>
        <v>705</v>
      </c>
      <c r="O159" s="36">
        <f t="shared" si="279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80">(INDEX(F$7:F$22,$B160)*(1-$D160)+INDEX(F$7:F$22,$B160+1)*$D160)*F$4*$B$2</f>
        <v>0</v>
      </c>
      <c r="F160" s="22">
        <f t="shared" si="280"/>
        <v>0</v>
      </c>
      <c r="G160" s="22">
        <f t="shared" si="280"/>
        <v>0.17250000000000001</v>
      </c>
      <c r="H160" s="22">
        <f t="shared" si="280"/>
        <v>3.8750000000000007E-2</v>
      </c>
      <c r="I160" s="22">
        <f t="shared" si="280"/>
        <v>0</v>
      </c>
      <c r="J160" s="22">
        <f t="shared" si="280"/>
        <v>0.30625000000000002</v>
      </c>
      <c r="K160" s="22">
        <f t="shared" si="280"/>
        <v>0.1275</v>
      </c>
      <c r="L160" s="22">
        <f t="shared" si="280"/>
        <v>0</v>
      </c>
      <c r="M160" s="22">
        <f t="shared" si="280"/>
        <v>0</v>
      </c>
      <c r="N160" s="36">
        <f t="shared" ref="N160:O160" si="281">INT((INDEX(O$7:O$22,$B160)*(1-$D160)+INDEX(O$7:O$22,$B160+1)*$D160)*O$4*$B$2)</f>
        <v>714</v>
      </c>
      <c r="O160" s="36">
        <f t="shared" si="281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2">(INDEX(F$7:F$22,$B161)*(1-$D161)+INDEX(F$7:F$22,$B161+1)*$D161)*F$4*$B$2</f>
        <v>0</v>
      </c>
      <c r="F161" s="22">
        <f t="shared" si="282"/>
        <v>0</v>
      </c>
      <c r="G161" s="22">
        <f t="shared" si="282"/>
        <v>0.17</v>
      </c>
      <c r="H161" s="22">
        <f t="shared" si="282"/>
        <v>4.0000000000000008E-2</v>
      </c>
      <c r="I161" s="22">
        <f t="shared" si="282"/>
        <v>0</v>
      </c>
      <c r="J161" s="22">
        <f t="shared" si="282"/>
        <v>0.30000000000000004</v>
      </c>
      <c r="K161" s="22">
        <f t="shared" si="282"/>
        <v>0.12999999999999998</v>
      </c>
      <c r="L161" s="22">
        <f t="shared" si="282"/>
        <v>0</v>
      </c>
      <c r="M161" s="22">
        <f t="shared" si="282"/>
        <v>0</v>
      </c>
      <c r="N161" s="36">
        <f t="shared" ref="N161:O161" si="283">INT((INDEX(O$7:O$22,$B161)*(1-$D161)+INDEX(O$7:O$22,$B161+1)*$D161)*O$4*$B$2)</f>
        <v>723</v>
      </c>
      <c r="O161" s="36">
        <f t="shared" si="283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4">(INDEX(F$7:F$22,$B162)*(1-$D162)+INDEX(F$7:F$22,$B162+1)*$D162)*F$4*$B$2</f>
        <v>0</v>
      </c>
      <c r="F162" s="22">
        <f t="shared" si="284"/>
        <v>0</v>
      </c>
      <c r="G162" s="22">
        <f t="shared" si="284"/>
        <v>0.16750000000000001</v>
      </c>
      <c r="H162" s="22">
        <f t="shared" si="284"/>
        <v>4.1250000000000002E-2</v>
      </c>
      <c r="I162" s="22">
        <f t="shared" si="284"/>
        <v>0</v>
      </c>
      <c r="J162" s="22">
        <f t="shared" si="284"/>
        <v>0.29374999999999996</v>
      </c>
      <c r="K162" s="22">
        <f t="shared" si="284"/>
        <v>0.13250000000000003</v>
      </c>
      <c r="L162" s="22">
        <f t="shared" si="284"/>
        <v>0</v>
      </c>
      <c r="M162" s="22">
        <f t="shared" si="284"/>
        <v>0</v>
      </c>
      <c r="N162" s="36">
        <f t="shared" ref="N162:O162" si="285">INT((INDEX(O$7:O$22,$B162)*(1-$D162)+INDEX(O$7:O$22,$B162+1)*$D162)*O$4*$B$2)</f>
        <v>732</v>
      </c>
      <c r="O162" s="36">
        <f t="shared" si="285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6">(INDEX(F$7:F$22,$B163)*(1-$D163)+INDEX(F$7:F$22,$B163+1)*$D163)*F$4*$B$2</f>
        <v>0</v>
      </c>
      <c r="F163" s="22">
        <f t="shared" si="286"/>
        <v>0</v>
      </c>
      <c r="G163" s="22">
        <f t="shared" si="286"/>
        <v>0.16500000000000001</v>
      </c>
      <c r="H163" s="22">
        <f t="shared" si="286"/>
        <v>4.2500000000000003E-2</v>
      </c>
      <c r="I163" s="22">
        <f t="shared" si="286"/>
        <v>0</v>
      </c>
      <c r="J163" s="22">
        <f t="shared" si="286"/>
        <v>0.28749999999999998</v>
      </c>
      <c r="K163" s="22">
        <f t="shared" si="286"/>
        <v>0.13499999999999998</v>
      </c>
      <c r="L163" s="22">
        <f t="shared" si="286"/>
        <v>0</v>
      </c>
      <c r="M163" s="22">
        <f t="shared" si="286"/>
        <v>0</v>
      </c>
      <c r="N163" s="36">
        <f t="shared" ref="N163:O163" si="287">INT((INDEX(O$7:O$22,$B163)*(1-$D163)+INDEX(O$7:O$22,$B163+1)*$D163)*O$4*$B$2)</f>
        <v>741</v>
      </c>
      <c r="O163" s="36">
        <f t="shared" si="287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8">(INDEX(F$7:F$22,$B164)*(1-$D164)+INDEX(F$7:F$22,$B164+1)*$D164)*F$4*$B$2</f>
        <v>0</v>
      </c>
      <c r="F164" s="22">
        <f t="shared" si="288"/>
        <v>0</v>
      </c>
      <c r="G164" s="22">
        <f t="shared" si="288"/>
        <v>0.16250000000000001</v>
      </c>
      <c r="H164" s="22">
        <f t="shared" si="288"/>
        <v>4.3750000000000004E-2</v>
      </c>
      <c r="I164" s="22">
        <f t="shared" si="288"/>
        <v>0</v>
      </c>
      <c r="J164" s="22">
        <f t="shared" si="288"/>
        <v>0.28125</v>
      </c>
      <c r="K164" s="22">
        <f t="shared" si="288"/>
        <v>0.13750000000000001</v>
      </c>
      <c r="L164" s="22">
        <f t="shared" si="288"/>
        <v>0</v>
      </c>
      <c r="M164" s="22">
        <f t="shared" si="288"/>
        <v>0</v>
      </c>
      <c r="N164" s="36">
        <f t="shared" ref="N164:O164" si="289">INT((INDEX(O$7:O$22,$B164)*(1-$D164)+INDEX(O$7:O$22,$B164+1)*$D164)*O$4*$B$2)</f>
        <v>750</v>
      </c>
      <c r="O164" s="36">
        <f t="shared" si="289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90">(INDEX(F$7:F$22,$B165)*(1-$D165)+INDEX(F$7:F$22,$B165+1)*$D165)*F$4*$B$2</f>
        <v>0</v>
      </c>
      <c r="F165" s="22">
        <f t="shared" si="290"/>
        <v>0</v>
      </c>
      <c r="G165" s="22">
        <f t="shared" si="290"/>
        <v>0.16000000000000003</v>
      </c>
      <c r="H165" s="22">
        <f t="shared" si="290"/>
        <v>4.5000000000000005E-2</v>
      </c>
      <c r="I165" s="22">
        <f t="shared" si="290"/>
        <v>0</v>
      </c>
      <c r="J165" s="22">
        <f t="shared" si="290"/>
        <v>0.27500000000000002</v>
      </c>
      <c r="K165" s="22">
        <f t="shared" si="290"/>
        <v>0.14000000000000001</v>
      </c>
      <c r="L165" s="22">
        <f t="shared" si="290"/>
        <v>0</v>
      </c>
      <c r="M165" s="22">
        <f t="shared" si="290"/>
        <v>0</v>
      </c>
      <c r="N165" s="36">
        <f t="shared" ref="N165:O165" si="291">INT((INDEX(O$7:O$22,$B165)*(1-$D165)+INDEX(O$7:O$22,$B165+1)*$D165)*O$4*$B$2)</f>
        <v>759</v>
      </c>
      <c r="O165" s="36">
        <f t="shared" si="291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2">(INDEX(F$7:F$22,$B166)*(1-$D166)+INDEX(F$7:F$22,$B166+1)*$D166)*F$4*$B$2</f>
        <v>0</v>
      </c>
      <c r="F166" s="22">
        <f t="shared" si="292"/>
        <v>0</v>
      </c>
      <c r="G166" s="22">
        <f t="shared" si="292"/>
        <v>0.1575</v>
      </c>
      <c r="H166" s="22">
        <f t="shared" si="292"/>
        <v>4.6250000000000006E-2</v>
      </c>
      <c r="I166" s="22">
        <f t="shared" si="292"/>
        <v>0</v>
      </c>
      <c r="J166" s="22">
        <f t="shared" si="292"/>
        <v>0.26874999999999999</v>
      </c>
      <c r="K166" s="22">
        <f t="shared" si="292"/>
        <v>0.14249999999999999</v>
      </c>
      <c r="L166" s="22">
        <f t="shared" si="292"/>
        <v>0</v>
      </c>
      <c r="M166" s="22">
        <f t="shared" si="292"/>
        <v>0</v>
      </c>
      <c r="N166" s="36">
        <f t="shared" ref="N166:O166" si="293">INT((INDEX(O$7:O$22,$B166)*(1-$D166)+INDEX(O$7:O$22,$B166+1)*$D166)*O$4*$B$2)</f>
        <v>768</v>
      </c>
      <c r="O166" s="36">
        <f t="shared" si="293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4">(INDEX(F$7:F$22,$B167)*(1-$D167)+INDEX(F$7:F$22,$B167+1)*$D167)*F$4*$B$2</f>
        <v>0</v>
      </c>
      <c r="F167" s="22">
        <f t="shared" si="294"/>
        <v>0</v>
      </c>
      <c r="G167" s="22">
        <f t="shared" si="294"/>
        <v>0.15500000000000003</v>
      </c>
      <c r="H167" s="22">
        <f t="shared" si="294"/>
        <v>4.7500000000000001E-2</v>
      </c>
      <c r="I167" s="22">
        <f t="shared" si="294"/>
        <v>0</v>
      </c>
      <c r="J167" s="22">
        <f t="shared" si="294"/>
        <v>0.26250000000000001</v>
      </c>
      <c r="K167" s="22">
        <f t="shared" si="294"/>
        <v>0.14500000000000002</v>
      </c>
      <c r="L167" s="22">
        <f t="shared" si="294"/>
        <v>0</v>
      </c>
      <c r="M167" s="22">
        <f t="shared" si="294"/>
        <v>0</v>
      </c>
      <c r="N167" s="36">
        <f t="shared" ref="N167:O167" si="295">INT((INDEX(O$7:O$22,$B167)*(1-$D167)+INDEX(O$7:O$22,$B167+1)*$D167)*O$4*$B$2)</f>
        <v>777</v>
      </c>
      <c r="O167" s="36">
        <f t="shared" si="295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6">(INDEX(F$7:F$22,$B168)*(1-$D168)+INDEX(F$7:F$22,$B168+1)*$D168)*F$4*$B$2</f>
        <v>0</v>
      </c>
      <c r="F168" s="22">
        <f t="shared" si="296"/>
        <v>0</v>
      </c>
      <c r="G168" s="22">
        <f t="shared" si="296"/>
        <v>0.1525</v>
      </c>
      <c r="H168" s="22">
        <f t="shared" si="296"/>
        <v>4.8750000000000002E-2</v>
      </c>
      <c r="I168" s="22">
        <f t="shared" si="296"/>
        <v>0</v>
      </c>
      <c r="J168" s="22">
        <f t="shared" si="296"/>
        <v>0.25624999999999998</v>
      </c>
      <c r="K168" s="22">
        <f t="shared" si="296"/>
        <v>0.14749999999999999</v>
      </c>
      <c r="L168" s="22">
        <f t="shared" si="296"/>
        <v>0</v>
      </c>
      <c r="M168" s="22">
        <f t="shared" si="296"/>
        <v>0</v>
      </c>
      <c r="N168" s="36">
        <f t="shared" ref="N168:O168" si="297">INT((INDEX(O$7:O$22,$B168)*(1-$D168)+INDEX(O$7:O$22,$B168+1)*$D168)*O$4*$B$2)</f>
        <v>786</v>
      </c>
      <c r="O168" s="36">
        <f t="shared" si="297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8">(INDEX(F$7:F$22,$B169)*(1-$D169)+INDEX(F$7:F$22,$B169+1)*$D169)*F$4*$B$2</f>
        <v>0</v>
      </c>
      <c r="F169" s="22">
        <f t="shared" si="298"/>
        <v>0</v>
      </c>
      <c r="G169" s="22">
        <f t="shared" si="298"/>
        <v>0.15000000000000002</v>
      </c>
      <c r="H169" s="22">
        <f t="shared" si="298"/>
        <v>0.05</v>
      </c>
      <c r="I169" s="22">
        <f t="shared" si="298"/>
        <v>0</v>
      </c>
      <c r="J169" s="22">
        <f t="shared" si="298"/>
        <v>0.25</v>
      </c>
      <c r="K169" s="22">
        <f t="shared" si="298"/>
        <v>0.15000000000000002</v>
      </c>
      <c r="L169" s="22">
        <f t="shared" si="298"/>
        <v>0</v>
      </c>
      <c r="M169" s="22">
        <f t="shared" si="298"/>
        <v>0</v>
      </c>
      <c r="N169" s="36">
        <f t="shared" ref="N169:O169" si="299">INT((INDEX(O$7:O$22,$B169)*(1-$D169)+INDEX(O$7:O$22,$B169+1)*$D169)*O$4*$B$2)</f>
        <v>795</v>
      </c>
      <c r="O169" s="36">
        <f t="shared" si="299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300">(INDEX(F$7:F$22,$B170)*(1-$D170)+INDEX(F$7:F$22,$B170+1)*$D170)*F$4*$B$2</f>
        <v>0</v>
      </c>
      <c r="F170" s="22">
        <f t="shared" si="300"/>
        <v>0</v>
      </c>
      <c r="G170" s="22">
        <f t="shared" si="300"/>
        <v>0.13499999999999998</v>
      </c>
      <c r="H170" s="22">
        <f t="shared" si="300"/>
        <v>5.7499999999999996E-2</v>
      </c>
      <c r="I170" s="22">
        <f t="shared" si="300"/>
        <v>0</v>
      </c>
      <c r="J170" s="22">
        <f t="shared" si="300"/>
        <v>0.17499999999999999</v>
      </c>
      <c r="K170" s="22">
        <f t="shared" si="300"/>
        <v>0.16500000000000001</v>
      </c>
      <c r="L170" s="22">
        <f t="shared" si="300"/>
        <v>7.4999999999999997E-3</v>
      </c>
      <c r="M170" s="22">
        <f t="shared" si="300"/>
        <v>6.0000000000000001E-3</v>
      </c>
      <c r="N170" s="36">
        <f t="shared" ref="N170:O170" si="301">INT((INDEX(O$7:O$22,$B170)*(1-$D170)+INDEX(O$7:O$22,$B170+1)*$D170)*O$4*$B$2)</f>
        <v>868</v>
      </c>
      <c r="O170" s="36">
        <f t="shared" si="301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2">(INDEX(F$7:F$22,$B171)*(1-$D171)+INDEX(F$7:F$22,$B171+1)*$D171)*F$4*$B$2</f>
        <v>0</v>
      </c>
      <c r="F171" s="22">
        <f t="shared" si="302"/>
        <v>0</v>
      </c>
      <c r="G171" s="22">
        <f t="shared" si="302"/>
        <v>0.13250000000000003</v>
      </c>
      <c r="H171" s="22">
        <f t="shared" si="302"/>
        <v>5.8749999999999997E-2</v>
      </c>
      <c r="I171" s="22">
        <f t="shared" si="302"/>
        <v>0</v>
      </c>
      <c r="J171" s="22">
        <f t="shared" si="302"/>
        <v>0.16250000000000001</v>
      </c>
      <c r="K171" s="22">
        <f t="shared" si="302"/>
        <v>0.16750000000000001</v>
      </c>
      <c r="L171" s="22">
        <f t="shared" si="302"/>
        <v>8.7499999999999991E-3</v>
      </c>
      <c r="M171" s="22">
        <f t="shared" si="302"/>
        <v>6.9999999999999993E-3</v>
      </c>
      <c r="N171" s="36">
        <f t="shared" ref="N171:O171" si="303">INT((INDEX(O$7:O$22,$B171)*(1-$D171)+INDEX(O$7:O$22,$B171+1)*$D171)*O$4*$B$2)</f>
        <v>880</v>
      </c>
      <c r="O171" s="36">
        <f t="shared" si="303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4">(INDEX(F$7:F$22,$B172)*(1-$D172)+INDEX(F$7:F$22,$B172+1)*$D172)*F$4*$B$2</f>
        <v>0</v>
      </c>
      <c r="F172" s="22">
        <f t="shared" si="304"/>
        <v>0</v>
      </c>
      <c r="G172" s="22">
        <f t="shared" si="304"/>
        <v>0.12999999999999998</v>
      </c>
      <c r="H172" s="22">
        <f t="shared" si="304"/>
        <v>6.0000000000000012E-2</v>
      </c>
      <c r="I172" s="22">
        <f t="shared" si="304"/>
        <v>0</v>
      </c>
      <c r="J172" s="22">
        <f t="shared" si="304"/>
        <v>0.15</v>
      </c>
      <c r="K172" s="22">
        <f t="shared" si="304"/>
        <v>0.17</v>
      </c>
      <c r="L172" s="22">
        <f t="shared" si="304"/>
        <v>1.0000000000000002E-2</v>
      </c>
      <c r="M172" s="22">
        <f t="shared" si="304"/>
        <v>8.0000000000000019E-3</v>
      </c>
      <c r="N172" s="36">
        <f t="shared" ref="N172:O172" si="305">INT((INDEX(O$7:O$22,$B172)*(1-$D172)+INDEX(O$7:O$22,$B172+1)*$D172)*O$4*$B$2)</f>
        <v>893</v>
      </c>
      <c r="O172" s="36">
        <f t="shared" si="305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6">(INDEX(F$7:F$22,$B173)*(1-$D173)+INDEX(F$7:F$22,$B173+1)*$D173)*F$4*$B$2</f>
        <v>0</v>
      </c>
      <c r="F173" s="22">
        <f t="shared" si="306"/>
        <v>0</v>
      </c>
      <c r="G173" s="22">
        <f t="shared" si="306"/>
        <v>0.12750000000000003</v>
      </c>
      <c r="H173" s="22">
        <f t="shared" si="306"/>
        <v>6.1250000000000006E-2</v>
      </c>
      <c r="I173" s="22">
        <f t="shared" si="306"/>
        <v>0</v>
      </c>
      <c r="J173" s="22">
        <f t="shared" si="306"/>
        <v>0.13750000000000001</v>
      </c>
      <c r="K173" s="22">
        <f t="shared" si="306"/>
        <v>0.17250000000000001</v>
      </c>
      <c r="L173" s="22">
        <f t="shared" si="306"/>
        <v>1.1250000000000001E-2</v>
      </c>
      <c r="M173" s="22">
        <f t="shared" si="306"/>
        <v>9.0000000000000011E-3</v>
      </c>
      <c r="N173" s="36">
        <f t="shared" ref="N173:O173" si="307">INT((INDEX(O$7:O$22,$B173)*(1-$D173)+INDEX(O$7:O$22,$B173+1)*$D173)*O$4*$B$2)</f>
        <v>905</v>
      </c>
      <c r="O173" s="36">
        <f t="shared" si="307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8">(INDEX(F$7:F$22,$B174)*(1-$D174)+INDEX(F$7:F$22,$B174+1)*$D174)*F$4*$B$2</f>
        <v>0</v>
      </c>
      <c r="F174" s="22">
        <f t="shared" si="308"/>
        <v>0</v>
      </c>
      <c r="G174" s="22">
        <f t="shared" si="308"/>
        <v>0.125</v>
      </c>
      <c r="H174" s="22">
        <f t="shared" si="308"/>
        <v>6.25E-2</v>
      </c>
      <c r="I174" s="22">
        <f t="shared" si="308"/>
        <v>0</v>
      </c>
      <c r="J174" s="22">
        <f t="shared" si="308"/>
        <v>0.125</v>
      </c>
      <c r="K174" s="22">
        <f t="shared" si="308"/>
        <v>0.17500000000000002</v>
      </c>
      <c r="L174" s="22">
        <f t="shared" si="308"/>
        <v>1.2500000000000001E-2</v>
      </c>
      <c r="M174" s="22">
        <f t="shared" si="308"/>
        <v>1.0000000000000002E-2</v>
      </c>
      <c r="N174" s="36">
        <f t="shared" ref="N174:O174" si="309">INT((INDEX(O$7:O$22,$B174)*(1-$D174)+INDEX(O$7:O$22,$B174+1)*$D174)*O$4*$B$2)</f>
        <v>917</v>
      </c>
      <c r="O174" s="36">
        <f t="shared" si="309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10">(INDEX(F$7:F$22,$B175)*(1-$D175)+INDEX(F$7:F$22,$B175+1)*$D175)*F$4*$B$2</f>
        <v>0</v>
      </c>
      <c r="F175" s="22">
        <f t="shared" si="310"/>
        <v>0</v>
      </c>
      <c r="G175" s="22">
        <f t="shared" si="310"/>
        <v>0.12250000000000001</v>
      </c>
      <c r="H175" s="22">
        <f t="shared" si="310"/>
        <v>6.3750000000000001E-2</v>
      </c>
      <c r="I175" s="22">
        <f t="shared" si="310"/>
        <v>0</v>
      </c>
      <c r="J175" s="22">
        <f t="shared" si="310"/>
        <v>0.11249999999999999</v>
      </c>
      <c r="K175" s="22">
        <f t="shared" si="310"/>
        <v>0.17749999999999999</v>
      </c>
      <c r="L175" s="22">
        <f t="shared" si="310"/>
        <v>1.3750000000000002E-2</v>
      </c>
      <c r="M175" s="22">
        <f t="shared" si="310"/>
        <v>1.1000000000000003E-2</v>
      </c>
      <c r="N175" s="36">
        <f t="shared" ref="N175:O175" si="311">INT((INDEX(O$7:O$22,$B175)*(1-$D175)+INDEX(O$7:O$22,$B175+1)*$D175)*O$4*$B$2)</f>
        <v>929</v>
      </c>
      <c r="O175" s="36">
        <f t="shared" si="311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2">(INDEX(F$7:F$22,$B176)*(1-$D176)+INDEX(F$7:F$22,$B176+1)*$D176)*F$4*$B$2</f>
        <v>0</v>
      </c>
      <c r="F176" s="22">
        <f t="shared" si="312"/>
        <v>0</v>
      </c>
      <c r="G176" s="22">
        <f t="shared" si="312"/>
        <v>0.12000000000000002</v>
      </c>
      <c r="H176" s="22">
        <f t="shared" si="312"/>
        <v>6.4999999999999988E-2</v>
      </c>
      <c r="I176" s="22">
        <f t="shared" si="312"/>
        <v>0</v>
      </c>
      <c r="J176" s="22">
        <f t="shared" si="312"/>
        <v>0.1</v>
      </c>
      <c r="K176" s="22">
        <f t="shared" si="312"/>
        <v>0.18000000000000002</v>
      </c>
      <c r="L176" s="22">
        <f t="shared" si="312"/>
        <v>1.4999999999999999E-2</v>
      </c>
      <c r="M176" s="22">
        <f t="shared" si="312"/>
        <v>1.2E-2</v>
      </c>
      <c r="N176" s="36">
        <f t="shared" ref="N176:O176" si="313">INT((INDEX(O$7:O$22,$B176)*(1-$D176)+INDEX(O$7:O$22,$B176+1)*$D176)*O$4*$B$2)</f>
        <v>942</v>
      </c>
      <c r="O176" s="36">
        <f t="shared" si="313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4">(INDEX(F$7:F$22,$B177)*(1-$D177)+INDEX(F$7:F$22,$B177+1)*$D177)*F$4*$B$2</f>
        <v>0</v>
      </c>
      <c r="F177" s="22">
        <f t="shared" si="314"/>
        <v>0</v>
      </c>
      <c r="G177" s="22">
        <f t="shared" si="314"/>
        <v>0.11749999999999999</v>
      </c>
      <c r="H177" s="22">
        <f t="shared" si="314"/>
        <v>6.6250000000000017E-2</v>
      </c>
      <c r="I177" s="22">
        <f t="shared" si="314"/>
        <v>0</v>
      </c>
      <c r="J177" s="22">
        <f t="shared" si="314"/>
        <v>8.7499999999999994E-2</v>
      </c>
      <c r="K177" s="22">
        <f t="shared" si="314"/>
        <v>0.1825</v>
      </c>
      <c r="L177" s="22">
        <f t="shared" si="314"/>
        <v>1.6250000000000001E-2</v>
      </c>
      <c r="M177" s="22">
        <f t="shared" si="314"/>
        <v>1.3000000000000001E-2</v>
      </c>
      <c r="N177" s="36">
        <f t="shared" ref="N177:O177" si="315">INT((INDEX(O$7:O$22,$B177)*(1-$D177)+INDEX(O$7:O$22,$B177+1)*$D177)*O$4*$B$2)</f>
        <v>954</v>
      </c>
      <c r="O177" s="36">
        <f t="shared" si="315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6">(INDEX(F$7:F$22,$B178)*(1-$D178)+INDEX(F$7:F$22,$B178+1)*$D178)*F$4*$B$2</f>
        <v>0</v>
      </c>
      <c r="F178" s="22">
        <f t="shared" si="316"/>
        <v>0</v>
      </c>
      <c r="G178" s="22">
        <f t="shared" si="316"/>
        <v>0.11499999999999999</v>
      </c>
      <c r="H178" s="22">
        <f t="shared" si="316"/>
        <v>6.7499999999999991E-2</v>
      </c>
      <c r="I178" s="22">
        <f t="shared" si="316"/>
        <v>0</v>
      </c>
      <c r="J178" s="22">
        <f t="shared" si="316"/>
        <v>7.5000000000000011E-2</v>
      </c>
      <c r="K178" s="22">
        <f t="shared" si="316"/>
        <v>0.18500000000000003</v>
      </c>
      <c r="L178" s="22">
        <f t="shared" si="316"/>
        <v>1.7499999999999998E-2</v>
      </c>
      <c r="M178" s="22">
        <f t="shared" si="316"/>
        <v>1.3999999999999999E-2</v>
      </c>
      <c r="N178" s="36">
        <f t="shared" ref="N178:O178" si="317">INT((INDEX(O$7:O$22,$B178)*(1-$D178)+INDEX(O$7:O$22,$B178+1)*$D178)*O$4*$B$2)</f>
        <v>966</v>
      </c>
      <c r="O178" s="36">
        <f t="shared" si="317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8">(INDEX(F$7:F$22,$B179)*(1-$D179)+INDEX(F$7:F$22,$B179+1)*$D179)*F$4*$B$2</f>
        <v>0</v>
      </c>
      <c r="F179" s="22">
        <f t="shared" si="318"/>
        <v>0</v>
      </c>
      <c r="G179" s="22">
        <f t="shared" si="318"/>
        <v>0.1125</v>
      </c>
      <c r="H179" s="22">
        <f t="shared" si="318"/>
        <v>6.8750000000000006E-2</v>
      </c>
      <c r="I179" s="22">
        <f t="shared" si="318"/>
        <v>0</v>
      </c>
      <c r="J179" s="22">
        <f t="shared" si="318"/>
        <v>6.25E-2</v>
      </c>
      <c r="K179" s="22">
        <f t="shared" si="318"/>
        <v>0.1875</v>
      </c>
      <c r="L179" s="22">
        <f t="shared" si="318"/>
        <v>1.8750000000000003E-2</v>
      </c>
      <c r="M179" s="22">
        <f t="shared" si="318"/>
        <v>1.5000000000000003E-2</v>
      </c>
      <c r="N179" s="36">
        <f t="shared" ref="N179:O179" si="319">INT((INDEX(O$7:O$22,$B179)*(1-$D179)+INDEX(O$7:O$22,$B179+1)*$D179)*O$4*$B$2)</f>
        <v>978</v>
      </c>
      <c r="O179" s="36">
        <f t="shared" si="319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20">(INDEX(F$7:F$22,$B180)*(1-$D180)+INDEX(F$7:F$22,$B180+1)*$D180)*F$4*$B$2</f>
        <v>0</v>
      </c>
      <c r="F180" s="22">
        <f t="shared" si="320"/>
        <v>0</v>
      </c>
      <c r="G180" s="22">
        <f t="shared" si="320"/>
        <v>0.11000000000000001</v>
      </c>
      <c r="H180" s="22">
        <f t="shared" si="320"/>
        <v>7.0000000000000007E-2</v>
      </c>
      <c r="I180" s="22">
        <f t="shared" si="320"/>
        <v>0</v>
      </c>
      <c r="J180" s="22">
        <f t="shared" si="320"/>
        <v>4.9999999999999989E-2</v>
      </c>
      <c r="K180" s="22">
        <f t="shared" si="320"/>
        <v>0.19</v>
      </c>
      <c r="L180" s="22">
        <f t="shared" si="320"/>
        <v>2.0000000000000004E-2</v>
      </c>
      <c r="M180" s="22">
        <f t="shared" si="320"/>
        <v>1.6000000000000004E-2</v>
      </c>
      <c r="N180" s="36">
        <f t="shared" ref="N180:O180" si="321">INT((INDEX(O$7:O$22,$B180)*(1-$D180)+INDEX(O$7:O$22,$B180+1)*$D180)*O$4*$B$2)</f>
        <v>991</v>
      </c>
      <c r="O180" s="36">
        <f t="shared" si="321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2">(INDEX(F$7:F$22,$B181)*(1-$D181)+INDEX(F$7:F$22,$B181+1)*$D181)*F$4*$B$2</f>
        <v>0</v>
      </c>
      <c r="F181" s="22">
        <f t="shared" si="322"/>
        <v>0</v>
      </c>
      <c r="G181" s="22">
        <f t="shared" si="322"/>
        <v>0.1075</v>
      </c>
      <c r="H181" s="22">
        <f t="shared" si="322"/>
        <v>7.1249999999999994E-2</v>
      </c>
      <c r="I181" s="22">
        <f t="shared" si="322"/>
        <v>0</v>
      </c>
      <c r="J181" s="22">
        <f t="shared" si="322"/>
        <v>3.7500000000000006E-2</v>
      </c>
      <c r="K181" s="22">
        <f t="shared" si="322"/>
        <v>0.1925</v>
      </c>
      <c r="L181" s="22">
        <f t="shared" si="322"/>
        <v>2.1250000000000002E-2</v>
      </c>
      <c r="M181" s="22">
        <f t="shared" si="322"/>
        <v>1.7000000000000001E-2</v>
      </c>
      <c r="N181" s="36">
        <f t="shared" ref="N181:O181" si="323">INT((INDEX(O$7:O$22,$B181)*(1-$D181)+INDEX(O$7:O$22,$B181+1)*$D181)*O$4*$B$2)</f>
        <v>1003</v>
      </c>
      <c r="O181" s="36">
        <f t="shared" si="323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4">(INDEX(F$7:F$22,$B182)*(1-$D182)+INDEX(F$7:F$22,$B182+1)*$D182)*F$4*$B$2</f>
        <v>0</v>
      </c>
      <c r="F182" s="22">
        <f t="shared" si="324"/>
        <v>0</v>
      </c>
      <c r="G182" s="22">
        <f t="shared" si="324"/>
        <v>0.10500000000000001</v>
      </c>
      <c r="H182" s="22">
        <f t="shared" si="324"/>
        <v>7.2500000000000009E-2</v>
      </c>
      <c r="I182" s="22">
        <f t="shared" si="324"/>
        <v>0</v>
      </c>
      <c r="J182" s="22">
        <f t="shared" si="324"/>
        <v>2.4999999999999994E-2</v>
      </c>
      <c r="K182" s="22">
        <f t="shared" si="324"/>
        <v>0.19500000000000001</v>
      </c>
      <c r="L182" s="22">
        <f t="shared" si="324"/>
        <v>2.2500000000000003E-2</v>
      </c>
      <c r="M182" s="22">
        <f t="shared" si="324"/>
        <v>1.8000000000000002E-2</v>
      </c>
      <c r="N182" s="36">
        <f t="shared" ref="N182:O182" si="325">INT((INDEX(O$7:O$22,$B182)*(1-$D182)+INDEX(O$7:O$22,$B182+1)*$D182)*O$4*$B$2)</f>
        <v>1015</v>
      </c>
      <c r="O182" s="36">
        <f t="shared" si="325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6">(INDEX(F$7:F$22,$B183)*(1-$D183)+INDEX(F$7:F$22,$B183+1)*$D183)*F$4*$B$2</f>
        <v>0</v>
      </c>
      <c r="F183" s="22">
        <f t="shared" si="326"/>
        <v>0</v>
      </c>
      <c r="G183" s="22">
        <f t="shared" si="326"/>
        <v>0.10249999999999999</v>
      </c>
      <c r="H183" s="22">
        <f t="shared" si="326"/>
        <v>7.3749999999999996E-2</v>
      </c>
      <c r="I183" s="22">
        <f t="shared" si="326"/>
        <v>0</v>
      </c>
      <c r="J183" s="22">
        <f t="shared" si="326"/>
        <v>1.2500000000000011E-2</v>
      </c>
      <c r="K183" s="22">
        <f t="shared" si="326"/>
        <v>0.19750000000000001</v>
      </c>
      <c r="L183" s="22">
        <f t="shared" si="326"/>
        <v>2.375E-2</v>
      </c>
      <c r="M183" s="22">
        <f t="shared" si="326"/>
        <v>1.9000000000000003E-2</v>
      </c>
      <c r="N183" s="36">
        <f t="shared" ref="N183:O183" si="327">INT((INDEX(O$7:O$22,$B183)*(1-$D183)+INDEX(O$7:O$22,$B183+1)*$D183)*O$4*$B$2)</f>
        <v>1027</v>
      </c>
      <c r="O183" s="36">
        <f t="shared" si="327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8">(INDEX(F$7:F$22,$B184)*(1-$D184)+INDEX(F$7:F$22,$B184+1)*$D184)*F$4*$B$2</f>
        <v>0</v>
      </c>
      <c r="F184" s="22">
        <f t="shared" si="328"/>
        <v>0</v>
      </c>
      <c r="G184" s="22">
        <f t="shared" si="328"/>
        <v>0.1</v>
      </c>
      <c r="H184" s="22">
        <f t="shared" si="328"/>
        <v>7.5000000000000011E-2</v>
      </c>
      <c r="I184" s="22">
        <f t="shared" si="328"/>
        <v>0</v>
      </c>
      <c r="J184" s="22">
        <f t="shared" si="328"/>
        <v>0</v>
      </c>
      <c r="K184" s="22">
        <f t="shared" si="328"/>
        <v>0.2</v>
      </c>
      <c r="L184" s="22">
        <f t="shared" si="328"/>
        <v>2.5000000000000001E-2</v>
      </c>
      <c r="M184" s="22">
        <f t="shared" si="328"/>
        <v>2.0000000000000004E-2</v>
      </c>
      <c r="N184" s="36">
        <f t="shared" ref="N184:O184" si="329">INT((INDEX(O$7:O$22,$B184)*(1-$D184)+INDEX(O$7:O$22,$B184+1)*$D184)*O$4*$B$2)</f>
        <v>1040</v>
      </c>
      <c r="O184" s="36">
        <f t="shared" si="329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30">(INDEX(F$7:F$22,$B185)*(1-$D185)+INDEX(F$7:F$22,$B185+1)*$D185)*F$4*$B$2</f>
        <v>0</v>
      </c>
      <c r="F185" s="22">
        <f t="shared" si="330"/>
        <v>0</v>
      </c>
      <c r="G185" s="22">
        <f t="shared" si="330"/>
        <v>6.9999999999999993E-2</v>
      </c>
      <c r="H185" s="22">
        <f t="shared" si="330"/>
        <v>8.2500000000000004E-2</v>
      </c>
      <c r="I185" s="22">
        <f t="shared" si="330"/>
        <v>3.7499999999999999E-3</v>
      </c>
      <c r="J185" s="22">
        <f t="shared" si="330"/>
        <v>0</v>
      </c>
      <c r="K185" s="22">
        <f t="shared" si="330"/>
        <v>0.185</v>
      </c>
      <c r="L185" s="22">
        <f t="shared" si="330"/>
        <v>3.2499999999999994E-2</v>
      </c>
      <c r="M185" s="22">
        <f t="shared" si="330"/>
        <v>2.4500000000000001E-2</v>
      </c>
      <c r="N185" s="36">
        <f t="shared" ref="N185:O185" si="331">INT((INDEX(O$7:O$22,$B185)*(1-$D185)+INDEX(O$7:O$22,$B185+1)*$D185)*O$4*$B$2)</f>
        <v>1136</v>
      </c>
      <c r="O185" s="36">
        <f t="shared" si="331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2">(INDEX(F$7:F$22,$B186)*(1-$D186)+INDEX(F$7:F$22,$B186+1)*$D186)*F$4*$B$2</f>
        <v>0</v>
      </c>
      <c r="F186" s="22">
        <f t="shared" si="332"/>
        <v>0</v>
      </c>
      <c r="G186" s="22">
        <f t="shared" si="332"/>
        <v>6.5000000000000002E-2</v>
      </c>
      <c r="H186" s="22">
        <f t="shared" si="332"/>
        <v>8.3750000000000005E-2</v>
      </c>
      <c r="I186" s="22">
        <f t="shared" si="332"/>
        <v>4.3749999999999995E-3</v>
      </c>
      <c r="J186" s="22">
        <f t="shared" si="332"/>
        <v>0</v>
      </c>
      <c r="K186" s="22">
        <f t="shared" si="332"/>
        <v>0.1825</v>
      </c>
      <c r="L186" s="22">
        <f t="shared" si="332"/>
        <v>3.3750000000000002E-2</v>
      </c>
      <c r="M186" s="22">
        <f t="shared" si="332"/>
        <v>2.5250000000000002E-2</v>
      </c>
      <c r="N186" s="36">
        <f t="shared" ref="N186:O186" si="333">INT((INDEX(O$7:O$22,$B186)*(1-$D186)+INDEX(O$7:O$22,$B186+1)*$D186)*O$4*$B$2)</f>
        <v>1152</v>
      </c>
      <c r="O186" s="36">
        <f t="shared" si="333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4">(INDEX(F$7:F$22,$B187)*(1-$D187)+INDEX(F$7:F$22,$B187+1)*$D187)*F$4*$B$2</f>
        <v>0</v>
      </c>
      <c r="F187" s="22">
        <f t="shared" si="334"/>
        <v>0</v>
      </c>
      <c r="G187" s="22">
        <f t="shared" si="334"/>
        <v>0.06</v>
      </c>
      <c r="H187" s="22">
        <f t="shared" si="334"/>
        <v>8.5000000000000006E-2</v>
      </c>
      <c r="I187" s="22">
        <f t="shared" si="334"/>
        <v>5.000000000000001E-3</v>
      </c>
      <c r="J187" s="22">
        <f t="shared" si="334"/>
        <v>0</v>
      </c>
      <c r="K187" s="22">
        <f t="shared" si="334"/>
        <v>0.18000000000000002</v>
      </c>
      <c r="L187" s="22">
        <f t="shared" si="334"/>
        <v>3.4999999999999996E-2</v>
      </c>
      <c r="M187" s="22">
        <f t="shared" si="334"/>
        <v>2.6000000000000002E-2</v>
      </c>
      <c r="N187" s="36">
        <f t="shared" ref="N187:O187" si="335">INT((INDEX(O$7:O$22,$B187)*(1-$D187)+INDEX(O$7:O$22,$B187+1)*$D187)*O$4*$B$2)</f>
        <v>1168</v>
      </c>
      <c r="O187" s="36">
        <f t="shared" si="335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6">(INDEX(F$7:F$22,$B188)*(1-$D188)+INDEX(F$7:F$22,$B188+1)*$D188)*F$4*$B$2</f>
        <v>0</v>
      </c>
      <c r="F188" s="22">
        <f t="shared" si="336"/>
        <v>0</v>
      </c>
      <c r="G188" s="22">
        <f t="shared" si="336"/>
        <v>5.5000000000000007E-2</v>
      </c>
      <c r="H188" s="22">
        <f t="shared" si="336"/>
        <v>8.6250000000000007E-2</v>
      </c>
      <c r="I188" s="22">
        <f t="shared" si="336"/>
        <v>5.6250000000000007E-3</v>
      </c>
      <c r="J188" s="22">
        <f t="shared" si="336"/>
        <v>0</v>
      </c>
      <c r="K188" s="22">
        <f t="shared" si="336"/>
        <v>0.17750000000000002</v>
      </c>
      <c r="L188" s="22">
        <f t="shared" si="336"/>
        <v>3.6250000000000004E-2</v>
      </c>
      <c r="M188" s="22">
        <f t="shared" si="336"/>
        <v>2.6750000000000003E-2</v>
      </c>
      <c r="N188" s="36">
        <f t="shared" ref="N188:O188" si="337">INT((INDEX(O$7:O$22,$B188)*(1-$D188)+INDEX(O$7:O$22,$B188+1)*$D188)*O$4*$B$2)</f>
        <v>1184</v>
      </c>
      <c r="O188" s="36">
        <f t="shared" si="337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8">(INDEX(F$7:F$22,$B189)*(1-$D189)+INDEX(F$7:F$22,$B189+1)*$D189)*F$4*$B$2</f>
        <v>0</v>
      </c>
      <c r="F189" s="22">
        <f t="shared" si="338"/>
        <v>0</v>
      </c>
      <c r="G189" s="22">
        <f t="shared" si="338"/>
        <v>0.05</v>
      </c>
      <c r="H189" s="22">
        <f t="shared" si="338"/>
        <v>8.7500000000000008E-2</v>
      </c>
      <c r="I189" s="22">
        <f t="shared" si="338"/>
        <v>6.2500000000000003E-3</v>
      </c>
      <c r="J189" s="22">
        <f t="shared" si="338"/>
        <v>0</v>
      </c>
      <c r="K189" s="22">
        <f t="shared" si="338"/>
        <v>0.17500000000000002</v>
      </c>
      <c r="L189" s="22">
        <f t="shared" si="338"/>
        <v>3.7500000000000006E-2</v>
      </c>
      <c r="M189" s="22">
        <f t="shared" si="338"/>
        <v>2.7500000000000004E-2</v>
      </c>
      <c r="N189" s="36">
        <f t="shared" ref="N189:O189" si="339">INT((INDEX(O$7:O$22,$B189)*(1-$D189)+INDEX(O$7:O$22,$B189+1)*$D189)*O$4*$B$2)</f>
        <v>1200</v>
      </c>
      <c r="O189" s="36">
        <f t="shared" si="339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40">(INDEX(F$7:F$22,$B190)*(1-$D190)+INDEX(F$7:F$22,$B190+1)*$D190)*F$4*$B$2</f>
        <v>0</v>
      </c>
      <c r="F190" s="22">
        <f t="shared" si="340"/>
        <v>0</v>
      </c>
      <c r="G190" s="22">
        <f t="shared" si="340"/>
        <v>4.4999999999999998E-2</v>
      </c>
      <c r="H190" s="22">
        <f t="shared" si="340"/>
        <v>8.8749999999999996E-2</v>
      </c>
      <c r="I190" s="22">
        <f t="shared" si="340"/>
        <v>6.8750000000000009E-3</v>
      </c>
      <c r="J190" s="22">
        <f t="shared" si="340"/>
        <v>0</v>
      </c>
      <c r="K190" s="22">
        <f t="shared" si="340"/>
        <v>0.17250000000000001</v>
      </c>
      <c r="L190" s="22">
        <f t="shared" si="340"/>
        <v>3.8750000000000007E-2</v>
      </c>
      <c r="M190" s="22">
        <f t="shared" si="340"/>
        <v>2.8249999999999997E-2</v>
      </c>
      <c r="N190" s="36">
        <f t="shared" ref="N190:O190" si="341">INT((INDEX(O$7:O$22,$B190)*(1-$D190)+INDEX(O$7:O$22,$B190+1)*$D190)*O$4*$B$2)</f>
        <v>1216</v>
      </c>
      <c r="O190" s="36">
        <f t="shared" si="341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2">(INDEX(F$7:F$22,$B191)*(1-$D191)+INDEX(F$7:F$22,$B191+1)*$D191)*F$4*$B$2</f>
        <v>0</v>
      </c>
      <c r="F191" s="22">
        <f t="shared" si="342"/>
        <v>0</v>
      </c>
      <c r="G191" s="22">
        <f t="shared" si="342"/>
        <v>4.0000000000000008E-2</v>
      </c>
      <c r="H191" s="22">
        <f t="shared" si="342"/>
        <v>9.0000000000000011E-2</v>
      </c>
      <c r="I191" s="22">
        <f t="shared" si="342"/>
        <v>7.4999999999999997E-3</v>
      </c>
      <c r="J191" s="22">
        <f t="shared" si="342"/>
        <v>0</v>
      </c>
      <c r="K191" s="22">
        <f t="shared" si="342"/>
        <v>0.17</v>
      </c>
      <c r="L191" s="22">
        <f t="shared" si="342"/>
        <v>4.0000000000000008E-2</v>
      </c>
      <c r="M191" s="22">
        <f t="shared" si="342"/>
        <v>2.9000000000000005E-2</v>
      </c>
      <c r="N191" s="36">
        <f t="shared" ref="N191:O191" si="343">INT((INDEX(O$7:O$22,$B191)*(1-$D191)+INDEX(O$7:O$22,$B191+1)*$D191)*O$4*$B$2)</f>
        <v>1232</v>
      </c>
      <c r="O191" s="36">
        <f t="shared" si="343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4">(INDEX(F$7:F$22,$B192)*(1-$D192)+INDEX(F$7:F$22,$B192+1)*$D192)*F$4*$B$2</f>
        <v>0</v>
      </c>
      <c r="F192" s="22">
        <f t="shared" si="344"/>
        <v>0</v>
      </c>
      <c r="G192" s="22">
        <f t="shared" si="344"/>
        <v>3.4999999999999996E-2</v>
      </c>
      <c r="H192" s="22">
        <f t="shared" si="344"/>
        <v>9.1249999999999998E-2</v>
      </c>
      <c r="I192" s="22">
        <f t="shared" si="344"/>
        <v>8.1250000000000003E-3</v>
      </c>
      <c r="J192" s="22">
        <f t="shared" si="344"/>
        <v>0</v>
      </c>
      <c r="K192" s="22">
        <f t="shared" si="344"/>
        <v>0.16750000000000001</v>
      </c>
      <c r="L192" s="22">
        <f t="shared" si="344"/>
        <v>4.1250000000000002E-2</v>
      </c>
      <c r="M192" s="22">
        <f t="shared" si="344"/>
        <v>2.9749999999999999E-2</v>
      </c>
      <c r="N192" s="36">
        <f t="shared" ref="N192:O192" si="345">INT((INDEX(O$7:O$22,$B192)*(1-$D192)+INDEX(O$7:O$22,$B192+1)*$D192)*O$4*$B$2)</f>
        <v>1248</v>
      </c>
      <c r="O192" s="36">
        <f t="shared" si="345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6">(INDEX(F$7:F$22,$B193)*(1-$D193)+INDEX(F$7:F$22,$B193+1)*$D193)*F$4*$B$2</f>
        <v>0</v>
      </c>
      <c r="F193" s="22">
        <f t="shared" si="346"/>
        <v>0</v>
      </c>
      <c r="G193" s="22">
        <f t="shared" si="346"/>
        <v>3.0000000000000006E-2</v>
      </c>
      <c r="H193" s="22">
        <f t="shared" si="346"/>
        <v>9.2500000000000013E-2</v>
      </c>
      <c r="I193" s="22">
        <f t="shared" si="346"/>
        <v>8.7499999999999991E-3</v>
      </c>
      <c r="J193" s="22">
        <f t="shared" si="346"/>
        <v>0</v>
      </c>
      <c r="K193" s="22">
        <f t="shared" si="346"/>
        <v>0.16500000000000001</v>
      </c>
      <c r="L193" s="22">
        <f t="shared" si="346"/>
        <v>4.2500000000000003E-2</v>
      </c>
      <c r="M193" s="22">
        <f t="shared" si="346"/>
        <v>3.0499999999999999E-2</v>
      </c>
      <c r="N193" s="36">
        <f t="shared" ref="N193:O193" si="347">INT((INDEX(O$7:O$22,$B193)*(1-$D193)+INDEX(O$7:O$22,$B193+1)*$D193)*O$4*$B$2)</f>
        <v>1264</v>
      </c>
      <c r="O193" s="36">
        <f t="shared" si="347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8">(INDEX(F$7:F$22,$B194)*(1-$D194)+INDEX(F$7:F$22,$B194+1)*$D194)*F$4*$B$2</f>
        <v>0</v>
      </c>
      <c r="F194" s="22">
        <f t="shared" si="348"/>
        <v>0</v>
      </c>
      <c r="G194" s="22">
        <f t="shared" si="348"/>
        <v>2.5000000000000001E-2</v>
      </c>
      <c r="H194" s="22">
        <f t="shared" si="348"/>
        <v>9.375E-2</v>
      </c>
      <c r="I194" s="22">
        <f t="shared" si="348"/>
        <v>9.3750000000000014E-3</v>
      </c>
      <c r="J194" s="22">
        <f t="shared" si="348"/>
        <v>0</v>
      </c>
      <c r="K194" s="22">
        <f t="shared" si="348"/>
        <v>0.16250000000000001</v>
      </c>
      <c r="L194" s="22">
        <f t="shared" si="348"/>
        <v>4.3750000000000004E-2</v>
      </c>
      <c r="M194" s="22">
        <f t="shared" si="348"/>
        <v>3.1249999999999997E-2</v>
      </c>
      <c r="N194" s="36">
        <f t="shared" ref="N194:O194" si="349">INT((INDEX(O$7:O$22,$B194)*(1-$D194)+INDEX(O$7:O$22,$B194+1)*$D194)*O$4*$B$2)</f>
        <v>1280</v>
      </c>
      <c r="O194" s="36">
        <f t="shared" si="349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50">(INDEX(F$7:F$22,$B195)*(1-$D195)+INDEX(F$7:F$22,$B195+1)*$D195)*F$4*$B$2</f>
        <v>0</v>
      </c>
      <c r="F195" s="22">
        <f t="shared" si="350"/>
        <v>0</v>
      </c>
      <c r="G195" s="22">
        <f t="shared" si="350"/>
        <v>1.9999999999999997E-2</v>
      </c>
      <c r="H195" s="22">
        <f t="shared" si="350"/>
        <v>9.5000000000000001E-2</v>
      </c>
      <c r="I195" s="22">
        <f t="shared" si="350"/>
        <v>1.0000000000000002E-2</v>
      </c>
      <c r="J195" s="22">
        <f t="shared" si="350"/>
        <v>0</v>
      </c>
      <c r="K195" s="22">
        <f t="shared" si="350"/>
        <v>0.16000000000000003</v>
      </c>
      <c r="L195" s="22">
        <f t="shared" si="350"/>
        <v>4.5000000000000005E-2</v>
      </c>
      <c r="M195" s="22">
        <f t="shared" si="350"/>
        <v>3.1999999999999994E-2</v>
      </c>
      <c r="N195" s="36">
        <f t="shared" ref="N195:O195" si="351">INT((INDEX(O$7:O$22,$B195)*(1-$D195)+INDEX(O$7:O$22,$B195+1)*$D195)*O$4*$B$2)</f>
        <v>1296</v>
      </c>
      <c r="O195" s="36">
        <f t="shared" si="351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2">(INDEX(F$7:F$22,$B196)*(1-$D196)+INDEX(F$7:F$22,$B196+1)*$D196)*F$4*$B$2</f>
        <v>0</v>
      </c>
      <c r="F196" s="22">
        <f t="shared" si="352"/>
        <v>0</v>
      </c>
      <c r="G196" s="22">
        <f t="shared" si="352"/>
        <v>1.5000000000000003E-2</v>
      </c>
      <c r="H196" s="22">
        <f t="shared" si="352"/>
        <v>9.6250000000000002E-2</v>
      </c>
      <c r="I196" s="22">
        <f t="shared" si="352"/>
        <v>1.0625000000000001E-2</v>
      </c>
      <c r="J196" s="22">
        <f t="shared" si="352"/>
        <v>0</v>
      </c>
      <c r="K196" s="22">
        <f t="shared" si="352"/>
        <v>0.1575</v>
      </c>
      <c r="L196" s="22">
        <f t="shared" si="352"/>
        <v>4.6250000000000006E-2</v>
      </c>
      <c r="M196" s="22">
        <f t="shared" si="352"/>
        <v>3.2750000000000001E-2</v>
      </c>
      <c r="N196" s="36">
        <f t="shared" ref="N196:O196" si="353">INT((INDEX(O$7:O$22,$B196)*(1-$D196)+INDEX(O$7:O$22,$B196+1)*$D196)*O$4*$B$2)</f>
        <v>1312</v>
      </c>
      <c r="O196" s="36">
        <f t="shared" si="353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4">(INDEX(F$7:F$22,$B197)*(1-$D197)+INDEX(F$7:F$22,$B197+1)*$D197)*F$4*$B$2</f>
        <v>0</v>
      </c>
      <c r="F197" s="22">
        <f t="shared" si="354"/>
        <v>0</v>
      </c>
      <c r="G197" s="22">
        <f t="shared" si="354"/>
        <v>9.9999999999999985E-3</v>
      </c>
      <c r="H197" s="22">
        <f t="shared" si="354"/>
        <v>9.7500000000000003E-2</v>
      </c>
      <c r="I197" s="22">
        <f t="shared" si="354"/>
        <v>1.1250000000000001E-2</v>
      </c>
      <c r="J197" s="22">
        <f t="shared" si="354"/>
        <v>0</v>
      </c>
      <c r="K197" s="22">
        <f t="shared" si="354"/>
        <v>0.15500000000000003</v>
      </c>
      <c r="L197" s="22">
        <f t="shared" si="354"/>
        <v>4.7500000000000001E-2</v>
      </c>
      <c r="M197" s="22">
        <f t="shared" si="354"/>
        <v>3.3500000000000002E-2</v>
      </c>
      <c r="N197" s="36">
        <f t="shared" ref="N197:O197" si="355">INT((INDEX(O$7:O$22,$B197)*(1-$D197)+INDEX(O$7:O$22,$B197+1)*$D197)*O$4*$B$2)</f>
        <v>1328</v>
      </c>
      <c r="O197" s="36">
        <f t="shared" si="355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6">(INDEX(F$7:F$22,$B198)*(1-$D198)+INDEX(F$7:F$22,$B198+1)*$D198)*F$4*$B$2</f>
        <v>0</v>
      </c>
      <c r="F198" s="22">
        <f t="shared" si="356"/>
        <v>0</v>
      </c>
      <c r="G198" s="22">
        <f t="shared" si="356"/>
        <v>5.0000000000000044E-3</v>
      </c>
      <c r="H198" s="22">
        <f t="shared" si="356"/>
        <v>9.8750000000000004E-2</v>
      </c>
      <c r="I198" s="22">
        <f t="shared" si="356"/>
        <v>1.1875E-2</v>
      </c>
      <c r="J198" s="22">
        <f t="shared" si="356"/>
        <v>0</v>
      </c>
      <c r="K198" s="22">
        <f t="shared" si="356"/>
        <v>0.1525</v>
      </c>
      <c r="L198" s="22">
        <f t="shared" si="356"/>
        <v>4.8750000000000002E-2</v>
      </c>
      <c r="M198" s="22">
        <f t="shared" si="356"/>
        <v>3.4249999999999996E-2</v>
      </c>
      <c r="N198" s="36">
        <f t="shared" ref="N198:O198" si="357">INT((INDEX(O$7:O$22,$B198)*(1-$D198)+INDEX(O$7:O$22,$B198+1)*$D198)*O$4*$B$2)</f>
        <v>1344</v>
      </c>
      <c r="O198" s="36">
        <f t="shared" si="357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8">(INDEX(F$7:F$22,$B199)*(1-$D199)+INDEX(F$7:F$22,$B199+1)*$D199)*F$4*$B$2</f>
        <v>0</v>
      </c>
      <c r="F199" s="22">
        <f t="shared" si="358"/>
        <v>0</v>
      </c>
      <c r="G199" s="22">
        <f t="shared" si="358"/>
        <v>0</v>
      </c>
      <c r="H199" s="22">
        <f t="shared" si="358"/>
        <v>0.1</v>
      </c>
      <c r="I199" s="22">
        <f t="shared" si="358"/>
        <v>1.2500000000000001E-2</v>
      </c>
      <c r="J199" s="22">
        <f t="shared" si="358"/>
        <v>0</v>
      </c>
      <c r="K199" s="22">
        <f t="shared" si="358"/>
        <v>0.15000000000000002</v>
      </c>
      <c r="L199" s="22">
        <f t="shared" si="358"/>
        <v>0.05</v>
      </c>
      <c r="M199" s="22">
        <f t="shared" si="358"/>
        <v>3.4999999999999996E-2</v>
      </c>
      <c r="N199" s="36">
        <f t="shared" ref="N199:O199" si="359">INT((INDEX(O$7:O$22,$B199)*(1-$D199)+INDEX(O$7:O$22,$B199+1)*$D199)*O$4*$B$2)</f>
        <v>1360</v>
      </c>
      <c r="O199" s="36">
        <f t="shared" si="359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60">(INDEX(F$7:F$22,$B200)*(1-$D200)+INDEX(F$7:F$22,$B200+1)*$D200)*F$4*$B$2</f>
        <v>0</v>
      </c>
      <c r="F200" s="22">
        <f t="shared" si="360"/>
        <v>0</v>
      </c>
      <c r="G200" s="22">
        <f t="shared" si="360"/>
        <v>0</v>
      </c>
      <c r="H200" s="22">
        <f t="shared" si="360"/>
        <v>9.2499999999999999E-2</v>
      </c>
      <c r="I200" s="22">
        <f t="shared" si="360"/>
        <v>1.6249999999999997E-2</v>
      </c>
      <c r="J200" s="22">
        <f t="shared" si="360"/>
        <v>0</v>
      </c>
      <c r="K200" s="22">
        <f t="shared" si="360"/>
        <v>0.13499999999999998</v>
      </c>
      <c r="L200" s="22">
        <f t="shared" si="360"/>
        <v>5.7499999999999996E-2</v>
      </c>
      <c r="M200" s="22">
        <f t="shared" si="360"/>
        <v>3.95E-2</v>
      </c>
      <c r="N200" s="36">
        <f t="shared" ref="N200:O200" si="361">INT((INDEX(O$7:O$22,$B200)*(1-$D200)+INDEX(O$7:O$22,$B200+1)*$D200)*O$4*$B$2)</f>
        <v>1492</v>
      </c>
      <c r="O200" s="36">
        <f t="shared" si="361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2">(INDEX(F$7:F$22,$B201)*(1-$D201)+INDEX(F$7:F$22,$B201+1)*$D201)*F$4*$B$2</f>
        <v>0</v>
      </c>
      <c r="F201" s="22">
        <f t="shared" si="362"/>
        <v>0</v>
      </c>
      <c r="G201" s="22">
        <f t="shared" si="362"/>
        <v>0</v>
      </c>
      <c r="H201" s="22">
        <f t="shared" si="362"/>
        <v>9.1249999999999998E-2</v>
      </c>
      <c r="I201" s="22">
        <f t="shared" si="362"/>
        <v>1.6875000000000001E-2</v>
      </c>
      <c r="J201" s="22">
        <f t="shared" si="362"/>
        <v>0</v>
      </c>
      <c r="K201" s="22">
        <f t="shared" si="362"/>
        <v>0.13250000000000003</v>
      </c>
      <c r="L201" s="22">
        <f t="shared" si="362"/>
        <v>5.8749999999999997E-2</v>
      </c>
      <c r="M201" s="22">
        <f t="shared" si="362"/>
        <v>4.0250000000000001E-2</v>
      </c>
      <c r="N201" s="36">
        <f t="shared" ref="N201:O201" si="363">INT((INDEX(O$7:O$22,$B201)*(1-$D201)+INDEX(O$7:O$22,$B201+1)*$D201)*O$4*$B$2)</f>
        <v>1514</v>
      </c>
      <c r="O201" s="36">
        <f t="shared" si="363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4">(INDEX(F$7:F$22,$B202)*(1-$D202)+INDEX(F$7:F$22,$B202+1)*$D202)*F$4*$B$2</f>
        <v>0</v>
      </c>
      <c r="F202" s="22">
        <f t="shared" si="364"/>
        <v>0</v>
      </c>
      <c r="G202" s="22">
        <f t="shared" si="364"/>
        <v>0</v>
      </c>
      <c r="H202" s="22">
        <f t="shared" si="364"/>
        <v>9.0000000000000011E-2</v>
      </c>
      <c r="I202" s="22">
        <f t="shared" si="364"/>
        <v>1.7499999999999998E-2</v>
      </c>
      <c r="J202" s="22">
        <f t="shared" si="364"/>
        <v>0</v>
      </c>
      <c r="K202" s="22">
        <f t="shared" si="364"/>
        <v>0.12999999999999998</v>
      </c>
      <c r="L202" s="22">
        <f t="shared" si="364"/>
        <v>6.0000000000000012E-2</v>
      </c>
      <c r="M202" s="22">
        <f t="shared" si="364"/>
        <v>4.1000000000000009E-2</v>
      </c>
      <c r="N202" s="36">
        <f t="shared" ref="N202:O202" si="365">INT((INDEX(O$7:O$22,$B202)*(1-$D202)+INDEX(O$7:O$22,$B202+1)*$D202)*O$4*$B$2)</f>
        <v>1536</v>
      </c>
      <c r="O202" s="36">
        <f t="shared" si="365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6">(INDEX(F$7:F$22,$B203)*(1-$D203)+INDEX(F$7:F$22,$B203+1)*$D203)*F$4*$B$2</f>
        <v>0</v>
      </c>
      <c r="F203" s="22">
        <f t="shared" si="366"/>
        <v>0</v>
      </c>
      <c r="G203" s="22">
        <f t="shared" si="366"/>
        <v>0</v>
      </c>
      <c r="H203" s="22">
        <f t="shared" si="366"/>
        <v>8.8750000000000009E-2</v>
      </c>
      <c r="I203" s="22">
        <f t="shared" si="366"/>
        <v>1.8125000000000002E-2</v>
      </c>
      <c r="J203" s="22">
        <f t="shared" si="366"/>
        <v>0</v>
      </c>
      <c r="K203" s="22">
        <f t="shared" si="366"/>
        <v>0.12750000000000003</v>
      </c>
      <c r="L203" s="22">
        <f t="shared" si="366"/>
        <v>6.1250000000000006E-2</v>
      </c>
      <c r="M203" s="22">
        <f t="shared" si="366"/>
        <v>4.1750000000000002E-2</v>
      </c>
      <c r="N203" s="36">
        <f t="shared" ref="N203:O203" si="367">INT((INDEX(O$7:O$22,$B203)*(1-$D203)+INDEX(O$7:O$22,$B203+1)*$D203)*O$4*$B$2)</f>
        <v>1558</v>
      </c>
      <c r="O203" s="36">
        <f t="shared" si="367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8">(INDEX(F$7:F$22,$B204)*(1-$D204)+INDEX(F$7:F$22,$B204+1)*$D204)*F$4*$B$2</f>
        <v>0</v>
      </c>
      <c r="F204" s="22">
        <f t="shared" si="368"/>
        <v>0</v>
      </c>
      <c r="G204" s="22">
        <f t="shared" si="368"/>
        <v>0</v>
      </c>
      <c r="H204" s="22">
        <f t="shared" si="368"/>
        <v>8.7500000000000008E-2</v>
      </c>
      <c r="I204" s="22">
        <f t="shared" si="368"/>
        <v>1.8750000000000003E-2</v>
      </c>
      <c r="J204" s="22">
        <f t="shared" si="368"/>
        <v>0</v>
      </c>
      <c r="K204" s="22">
        <f t="shared" si="368"/>
        <v>0.125</v>
      </c>
      <c r="L204" s="22">
        <f t="shared" si="368"/>
        <v>6.25E-2</v>
      </c>
      <c r="M204" s="22">
        <f t="shared" si="368"/>
        <v>4.2500000000000003E-2</v>
      </c>
      <c r="N204" s="36">
        <f t="shared" ref="N204:O204" si="369">INT((INDEX(O$7:O$22,$B204)*(1-$D204)+INDEX(O$7:O$22,$B204+1)*$D204)*O$4*$B$2)</f>
        <v>1580</v>
      </c>
      <c r="O204" s="36">
        <f t="shared" si="369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70">(INDEX(F$7:F$22,$B205)*(1-$D205)+INDEX(F$7:F$22,$B205+1)*$D205)*F$4*$B$2</f>
        <v>0</v>
      </c>
      <c r="F205" s="22">
        <f t="shared" si="370"/>
        <v>0</v>
      </c>
      <c r="G205" s="22">
        <f t="shared" si="370"/>
        <v>0</v>
      </c>
      <c r="H205" s="22">
        <f t="shared" si="370"/>
        <v>8.6250000000000007E-2</v>
      </c>
      <c r="I205" s="22">
        <f t="shared" si="370"/>
        <v>1.9375000000000003E-2</v>
      </c>
      <c r="J205" s="22">
        <f t="shared" si="370"/>
        <v>0</v>
      </c>
      <c r="K205" s="22">
        <f t="shared" si="370"/>
        <v>0.12250000000000001</v>
      </c>
      <c r="L205" s="22">
        <f t="shared" si="370"/>
        <v>6.3750000000000001E-2</v>
      </c>
      <c r="M205" s="22">
        <f t="shared" si="370"/>
        <v>4.3250000000000004E-2</v>
      </c>
      <c r="N205" s="36">
        <f t="shared" ref="N205:O205" si="371">INT((INDEX(O$7:O$22,$B205)*(1-$D205)+INDEX(O$7:O$22,$B205+1)*$D205)*O$4*$B$2)</f>
        <v>1602</v>
      </c>
      <c r="O205" s="36">
        <f t="shared" si="371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2">(INDEX(F$7:F$22,$B206)*(1-$D206)+INDEX(F$7:F$22,$B206+1)*$D206)*F$4*$B$2</f>
        <v>0</v>
      </c>
      <c r="F206" s="22">
        <f t="shared" si="372"/>
        <v>0</v>
      </c>
      <c r="G206" s="22">
        <f t="shared" si="372"/>
        <v>0</v>
      </c>
      <c r="H206" s="22">
        <f t="shared" si="372"/>
        <v>8.5000000000000006E-2</v>
      </c>
      <c r="I206" s="22">
        <f t="shared" si="372"/>
        <v>2.0000000000000004E-2</v>
      </c>
      <c r="J206" s="22">
        <f t="shared" si="372"/>
        <v>0</v>
      </c>
      <c r="K206" s="22">
        <f t="shared" si="372"/>
        <v>0.12000000000000002</v>
      </c>
      <c r="L206" s="22">
        <f t="shared" si="372"/>
        <v>6.4999999999999988E-2</v>
      </c>
      <c r="M206" s="22">
        <f t="shared" si="372"/>
        <v>4.3999999999999997E-2</v>
      </c>
      <c r="N206" s="36">
        <f t="shared" ref="N206:O206" si="373">INT((INDEX(O$7:O$22,$B206)*(1-$D206)+INDEX(O$7:O$22,$B206+1)*$D206)*O$4*$B$2)</f>
        <v>1624</v>
      </c>
      <c r="O206" s="36">
        <f t="shared" si="373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4">(INDEX(F$7:F$22,$B207)*(1-$D207)+INDEX(F$7:F$22,$B207+1)*$D207)*F$4*$B$2</f>
        <v>0</v>
      </c>
      <c r="F207" s="22">
        <f t="shared" si="374"/>
        <v>0</v>
      </c>
      <c r="G207" s="22">
        <f t="shared" si="374"/>
        <v>0</v>
      </c>
      <c r="H207" s="22">
        <f t="shared" si="374"/>
        <v>8.3750000000000005E-2</v>
      </c>
      <c r="I207" s="22">
        <f t="shared" si="374"/>
        <v>2.0625000000000001E-2</v>
      </c>
      <c r="J207" s="22">
        <f t="shared" si="374"/>
        <v>0</v>
      </c>
      <c r="K207" s="22">
        <f t="shared" si="374"/>
        <v>0.11749999999999999</v>
      </c>
      <c r="L207" s="22">
        <f t="shared" si="374"/>
        <v>6.6250000000000017E-2</v>
      </c>
      <c r="M207" s="22">
        <f t="shared" si="374"/>
        <v>4.4750000000000005E-2</v>
      </c>
      <c r="N207" s="36">
        <f t="shared" ref="N207:O207" si="375">INT((INDEX(O$7:O$22,$B207)*(1-$D207)+INDEX(O$7:O$22,$B207+1)*$D207)*O$4*$B$2)</f>
        <v>1646</v>
      </c>
      <c r="O207" s="36">
        <f t="shared" si="375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6">(INDEX(F$7:F$22,$B208)*(1-$D208)+INDEX(F$7:F$22,$B208+1)*$D208)*F$4*$B$2</f>
        <v>0</v>
      </c>
      <c r="F208" s="22">
        <f t="shared" si="376"/>
        <v>0</v>
      </c>
      <c r="G208" s="22">
        <f t="shared" si="376"/>
        <v>0</v>
      </c>
      <c r="H208" s="22">
        <f t="shared" si="376"/>
        <v>8.2500000000000004E-2</v>
      </c>
      <c r="I208" s="22">
        <f t="shared" si="376"/>
        <v>2.1250000000000002E-2</v>
      </c>
      <c r="J208" s="22">
        <f t="shared" si="376"/>
        <v>0</v>
      </c>
      <c r="K208" s="22">
        <f t="shared" si="376"/>
        <v>0.11499999999999999</v>
      </c>
      <c r="L208" s="22">
        <f t="shared" si="376"/>
        <v>6.7499999999999991E-2</v>
      </c>
      <c r="M208" s="22">
        <f t="shared" si="376"/>
        <v>4.5499999999999999E-2</v>
      </c>
      <c r="N208" s="36">
        <f t="shared" ref="N208:O208" si="377">INT((INDEX(O$7:O$22,$B208)*(1-$D208)+INDEX(O$7:O$22,$B208+1)*$D208)*O$4*$B$2)</f>
        <v>1668</v>
      </c>
      <c r="O208" s="36">
        <f t="shared" si="377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8">(INDEX(F$7:F$22,$B209)*(1-$D209)+INDEX(F$7:F$22,$B209+1)*$D209)*F$4*$B$2</f>
        <v>0</v>
      </c>
      <c r="F209" s="22">
        <f t="shared" si="378"/>
        <v>0</v>
      </c>
      <c r="G209" s="22">
        <f t="shared" si="378"/>
        <v>0</v>
      </c>
      <c r="H209" s="22">
        <f t="shared" si="378"/>
        <v>8.1250000000000003E-2</v>
      </c>
      <c r="I209" s="22">
        <f t="shared" si="378"/>
        <v>2.1875000000000002E-2</v>
      </c>
      <c r="J209" s="22">
        <f t="shared" si="378"/>
        <v>0</v>
      </c>
      <c r="K209" s="22">
        <f t="shared" si="378"/>
        <v>0.1125</v>
      </c>
      <c r="L209" s="22">
        <f t="shared" si="378"/>
        <v>6.8750000000000006E-2</v>
      </c>
      <c r="M209" s="22">
        <f t="shared" si="378"/>
        <v>4.6250000000000006E-2</v>
      </c>
      <c r="N209" s="36">
        <f t="shared" ref="N209:O209" si="379">INT((INDEX(O$7:O$22,$B209)*(1-$D209)+INDEX(O$7:O$22,$B209+1)*$D209)*O$4*$B$2)</f>
        <v>1690</v>
      </c>
      <c r="O209" s="36">
        <f t="shared" si="379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80">(INDEX(F$7:F$22,$B210)*(1-$D210)+INDEX(F$7:F$22,$B210+1)*$D210)*F$4*$B$2</f>
        <v>0</v>
      </c>
      <c r="F210" s="22">
        <f t="shared" si="380"/>
        <v>0</v>
      </c>
      <c r="G210" s="22">
        <f t="shared" si="380"/>
        <v>0</v>
      </c>
      <c r="H210" s="22">
        <f t="shared" si="380"/>
        <v>8.0000000000000016E-2</v>
      </c>
      <c r="I210" s="22">
        <f t="shared" si="380"/>
        <v>2.2500000000000003E-2</v>
      </c>
      <c r="J210" s="22">
        <f t="shared" si="380"/>
        <v>0</v>
      </c>
      <c r="K210" s="22">
        <f t="shared" si="380"/>
        <v>0.11000000000000001</v>
      </c>
      <c r="L210" s="22">
        <f t="shared" si="380"/>
        <v>7.0000000000000007E-2</v>
      </c>
      <c r="M210" s="22">
        <f t="shared" si="380"/>
        <v>4.7E-2</v>
      </c>
      <c r="N210" s="36">
        <f t="shared" ref="N210:O210" si="381">INT((INDEX(O$7:O$22,$B210)*(1-$D210)+INDEX(O$7:O$22,$B210+1)*$D210)*O$4*$B$2)</f>
        <v>1712</v>
      </c>
      <c r="O210" s="36">
        <f t="shared" si="381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2">(INDEX(F$7:F$22,$B211)*(1-$D211)+INDEX(F$7:F$22,$B211+1)*$D211)*F$4*$B$2</f>
        <v>0</v>
      </c>
      <c r="F211" s="22">
        <f t="shared" si="382"/>
        <v>0</v>
      </c>
      <c r="G211" s="22">
        <f t="shared" si="382"/>
        <v>0</v>
      </c>
      <c r="H211" s="22">
        <f t="shared" si="382"/>
        <v>7.8750000000000001E-2</v>
      </c>
      <c r="I211" s="22">
        <f t="shared" si="382"/>
        <v>2.3125000000000003E-2</v>
      </c>
      <c r="J211" s="22">
        <f t="shared" si="382"/>
        <v>0</v>
      </c>
      <c r="K211" s="22">
        <f t="shared" si="382"/>
        <v>0.1075</v>
      </c>
      <c r="L211" s="22">
        <f t="shared" si="382"/>
        <v>7.1249999999999994E-2</v>
      </c>
      <c r="M211" s="22">
        <f t="shared" si="382"/>
        <v>4.7750000000000001E-2</v>
      </c>
      <c r="N211" s="36">
        <f t="shared" ref="N211:O211" si="383">INT((INDEX(O$7:O$22,$B211)*(1-$D211)+INDEX(O$7:O$22,$B211+1)*$D211)*O$4*$B$2)</f>
        <v>1734</v>
      </c>
      <c r="O211" s="36">
        <f t="shared" si="383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4">(INDEX(F$7:F$22,$B212)*(1-$D212)+INDEX(F$7:F$22,$B212+1)*$D212)*F$4*$B$2</f>
        <v>0</v>
      </c>
      <c r="F212" s="22">
        <f t="shared" si="384"/>
        <v>0</v>
      </c>
      <c r="G212" s="22">
        <f t="shared" si="384"/>
        <v>0</v>
      </c>
      <c r="H212" s="22">
        <f t="shared" si="384"/>
        <v>7.7500000000000013E-2</v>
      </c>
      <c r="I212" s="22">
        <f t="shared" si="384"/>
        <v>2.375E-2</v>
      </c>
      <c r="J212" s="22">
        <f t="shared" si="384"/>
        <v>0</v>
      </c>
      <c r="K212" s="22">
        <f t="shared" si="384"/>
        <v>0.10500000000000001</v>
      </c>
      <c r="L212" s="22">
        <f t="shared" si="384"/>
        <v>7.2500000000000009E-2</v>
      </c>
      <c r="M212" s="22">
        <f t="shared" si="384"/>
        <v>4.8500000000000001E-2</v>
      </c>
      <c r="N212" s="36">
        <f t="shared" ref="N212:O212" si="385">INT((INDEX(O$7:O$22,$B212)*(1-$D212)+INDEX(O$7:O$22,$B212+1)*$D212)*O$4*$B$2)</f>
        <v>1756</v>
      </c>
      <c r="O212" s="36">
        <f t="shared" si="385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6">(INDEX(F$7:F$22,$B213)*(1-$D213)+INDEX(F$7:F$22,$B213+1)*$D213)*F$4*$B$2</f>
        <v>0</v>
      </c>
      <c r="F213" s="22">
        <f t="shared" si="386"/>
        <v>0</v>
      </c>
      <c r="G213" s="22">
        <f t="shared" si="386"/>
        <v>0</v>
      </c>
      <c r="H213" s="22">
        <f t="shared" si="386"/>
        <v>7.6249999999999998E-2</v>
      </c>
      <c r="I213" s="22">
        <f t="shared" si="386"/>
        <v>2.4375000000000001E-2</v>
      </c>
      <c r="J213" s="22">
        <f t="shared" si="386"/>
        <v>0</v>
      </c>
      <c r="K213" s="22">
        <f t="shared" si="386"/>
        <v>0.10249999999999999</v>
      </c>
      <c r="L213" s="22">
        <f t="shared" si="386"/>
        <v>7.3749999999999996E-2</v>
      </c>
      <c r="M213" s="22">
        <f t="shared" si="386"/>
        <v>4.9250000000000002E-2</v>
      </c>
      <c r="N213" s="36">
        <f t="shared" ref="N213:O213" si="387">INT((INDEX(O$7:O$22,$B213)*(1-$D213)+INDEX(O$7:O$22,$B213+1)*$D213)*O$4*$B$2)</f>
        <v>1778</v>
      </c>
      <c r="O213" s="36">
        <f t="shared" si="387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8">(INDEX(F$7:F$22,$B214)*(1-$D214)+INDEX(F$7:F$22,$B214+1)*$D214)*F$4*$B$2</f>
        <v>0</v>
      </c>
      <c r="F214" s="22">
        <f t="shared" si="388"/>
        <v>0</v>
      </c>
      <c r="G214" s="22">
        <f t="shared" si="388"/>
        <v>0</v>
      </c>
      <c r="H214" s="22">
        <f t="shared" si="388"/>
        <v>7.5000000000000011E-2</v>
      </c>
      <c r="I214" s="22">
        <f t="shared" si="388"/>
        <v>2.5000000000000001E-2</v>
      </c>
      <c r="J214" s="22">
        <f t="shared" si="388"/>
        <v>0</v>
      </c>
      <c r="K214" s="22">
        <f t="shared" si="388"/>
        <v>0.1</v>
      </c>
      <c r="L214" s="22">
        <f t="shared" si="388"/>
        <v>7.5000000000000011E-2</v>
      </c>
      <c r="M214" s="22">
        <f t="shared" si="388"/>
        <v>0.05</v>
      </c>
      <c r="N214" s="36">
        <f t="shared" ref="N214:O214" si="389">INT((INDEX(O$7:O$22,$B214)*(1-$D214)+INDEX(O$7:O$22,$B214+1)*$D214)*O$4*$B$2)</f>
        <v>1800</v>
      </c>
      <c r="O214" s="36">
        <f t="shared" si="389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90">(INDEX(F$7:F$22,$B215)*(1-$D215)+INDEX(F$7:F$22,$B215+1)*$D215)*F$4*$B$2</f>
        <v>0</v>
      </c>
      <c r="F215" s="22">
        <f t="shared" si="390"/>
        <v>0</v>
      </c>
      <c r="G215" s="22">
        <f t="shared" si="390"/>
        <v>0</v>
      </c>
      <c r="H215" s="22">
        <f t="shared" si="390"/>
        <v>6.7499999999999991E-2</v>
      </c>
      <c r="I215" s="22">
        <f t="shared" si="390"/>
        <v>3.2499999999999994E-2</v>
      </c>
      <c r="J215" s="22">
        <f t="shared" si="390"/>
        <v>0</v>
      </c>
      <c r="K215" s="22">
        <f t="shared" si="390"/>
        <v>6.9999999999999993E-2</v>
      </c>
      <c r="L215" s="22">
        <f t="shared" si="390"/>
        <v>8.2500000000000004E-2</v>
      </c>
      <c r="M215" s="22">
        <f t="shared" si="390"/>
        <v>6.4999999999999988E-2</v>
      </c>
      <c r="N215" s="36">
        <f t="shared" ref="N215:O215" si="391">INT((INDEX(O$7:O$22,$B215)*(1-$D215)+INDEX(O$7:O$22,$B215+1)*$D215)*O$4*$B$2)</f>
        <v>2010</v>
      </c>
      <c r="O215" s="36">
        <f t="shared" si="391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2">(INDEX(F$7:F$22,$B216)*(1-$D216)+INDEX(F$7:F$22,$B216+1)*$D216)*F$4*$B$2</f>
        <v>0</v>
      </c>
      <c r="F216" s="22">
        <f t="shared" si="392"/>
        <v>0</v>
      </c>
      <c r="G216" s="22">
        <f t="shared" si="392"/>
        <v>0</v>
      </c>
      <c r="H216" s="22">
        <f t="shared" si="392"/>
        <v>6.6250000000000017E-2</v>
      </c>
      <c r="I216" s="22">
        <f t="shared" si="392"/>
        <v>3.3750000000000002E-2</v>
      </c>
      <c r="J216" s="22">
        <f t="shared" si="392"/>
        <v>0</v>
      </c>
      <c r="K216" s="22">
        <f t="shared" si="392"/>
        <v>6.5000000000000002E-2</v>
      </c>
      <c r="L216" s="22">
        <f t="shared" si="392"/>
        <v>8.3750000000000005E-2</v>
      </c>
      <c r="M216" s="22">
        <f t="shared" si="392"/>
        <v>6.7500000000000004E-2</v>
      </c>
      <c r="N216" s="36">
        <f t="shared" ref="N216:O216" si="393">INT((INDEX(O$7:O$22,$B216)*(1-$D216)+INDEX(O$7:O$22,$B216+1)*$D216)*O$4*$B$2)</f>
        <v>2045</v>
      </c>
      <c r="O216" s="36">
        <f t="shared" si="393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4">(INDEX(F$7:F$22,$B217)*(1-$D217)+INDEX(F$7:F$22,$B217+1)*$D217)*F$4*$B$2</f>
        <v>0</v>
      </c>
      <c r="F217" s="22">
        <f t="shared" si="394"/>
        <v>0</v>
      </c>
      <c r="G217" s="22">
        <f t="shared" si="394"/>
        <v>0</v>
      </c>
      <c r="H217" s="22">
        <f t="shared" si="394"/>
        <v>6.4999999999999988E-2</v>
      </c>
      <c r="I217" s="22">
        <f t="shared" si="394"/>
        <v>3.4999999999999996E-2</v>
      </c>
      <c r="J217" s="22">
        <f t="shared" si="394"/>
        <v>0</v>
      </c>
      <c r="K217" s="22">
        <f t="shared" si="394"/>
        <v>0.06</v>
      </c>
      <c r="L217" s="22">
        <f t="shared" si="394"/>
        <v>8.5000000000000006E-2</v>
      </c>
      <c r="M217" s="22">
        <f t="shared" si="394"/>
        <v>6.9999999999999993E-2</v>
      </c>
      <c r="N217" s="36">
        <f t="shared" ref="N217:O217" si="395">INT((INDEX(O$7:O$22,$B217)*(1-$D217)+INDEX(O$7:O$22,$B217+1)*$D217)*O$4*$B$2)</f>
        <v>2080</v>
      </c>
      <c r="O217" s="36">
        <f t="shared" si="395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6">(INDEX(F$7:F$22,$B218)*(1-$D218)+INDEX(F$7:F$22,$B218+1)*$D218)*F$4*$B$2</f>
        <v>0</v>
      </c>
      <c r="F218" s="22">
        <f t="shared" si="396"/>
        <v>0</v>
      </c>
      <c r="G218" s="22">
        <f t="shared" si="396"/>
        <v>0</v>
      </c>
      <c r="H218" s="22">
        <f t="shared" si="396"/>
        <v>6.3750000000000015E-2</v>
      </c>
      <c r="I218" s="22">
        <f t="shared" si="396"/>
        <v>3.6250000000000004E-2</v>
      </c>
      <c r="J218" s="22">
        <f t="shared" si="396"/>
        <v>0</v>
      </c>
      <c r="K218" s="22">
        <f t="shared" si="396"/>
        <v>5.5000000000000007E-2</v>
      </c>
      <c r="L218" s="22">
        <f t="shared" si="396"/>
        <v>8.6250000000000007E-2</v>
      </c>
      <c r="M218" s="22">
        <f t="shared" si="396"/>
        <v>7.2500000000000009E-2</v>
      </c>
      <c r="N218" s="36">
        <f t="shared" ref="N218:O218" si="397">INT((INDEX(O$7:O$22,$B218)*(1-$D218)+INDEX(O$7:O$22,$B218+1)*$D218)*O$4*$B$2)</f>
        <v>2115</v>
      </c>
      <c r="O218" s="36">
        <f t="shared" si="397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8">(INDEX(F$7:F$22,$B219)*(1-$D219)+INDEX(F$7:F$22,$B219+1)*$D219)*F$4*$B$2</f>
        <v>0</v>
      </c>
      <c r="F219" s="22">
        <f t="shared" si="398"/>
        <v>0</v>
      </c>
      <c r="G219" s="22">
        <f t="shared" si="398"/>
        <v>0</v>
      </c>
      <c r="H219" s="22">
        <f t="shared" si="398"/>
        <v>6.25E-2</v>
      </c>
      <c r="I219" s="22">
        <f t="shared" si="398"/>
        <v>3.7500000000000006E-2</v>
      </c>
      <c r="J219" s="22">
        <f t="shared" si="398"/>
        <v>0</v>
      </c>
      <c r="K219" s="22">
        <f t="shared" si="398"/>
        <v>0.05</v>
      </c>
      <c r="L219" s="22">
        <f t="shared" si="398"/>
        <v>8.7500000000000008E-2</v>
      </c>
      <c r="M219" s="22">
        <f t="shared" si="398"/>
        <v>7.5000000000000011E-2</v>
      </c>
      <c r="N219" s="36">
        <f t="shared" ref="N219:O219" si="399">INT((INDEX(O$7:O$22,$B219)*(1-$D219)+INDEX(O$7:O$22,$B219+1)*$D219)*O$4*$B$2)</f>
        <v>2150</v>
      </c>
      <c r="O219" s="36">
        <f t="shared" si="399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400">(INDEX(F$7:F$22,$B220)*(1-$D220)+INDEX(F$7:F$22,$B220+1)*$D220)*F$4*$B$2</f>
        <v>0</v>
      </c>
      <c r="F220" s="22">
        <f t="shared" si="400"/>
        <v>0</v>
      </c>
      <c r="G220" s="22">
        <f t="shared" si="400"/>
        <v>0</v>
      </c>
      <c r="H220" s="22">
        <f t="shared" si="400"/>
        <v>6.1250000000000006E-2</v>
      </c>
      <c r="I220" s="22">
        <f t="shared" si="400"/>
        <v>3.8750000000000007E-2</v>
      </c>
      <c r="J220" s="22">
        <f t="shared" si="400"/>
        <v>0</v>
      </c>
      <c r="K220" s="22">
        <f t="shared" si="400"/>
        <v>4.4999999999999998E-2</v>
      </c>
      <c r="L220" s="22">
        <f t="shared" si="400"/>
        <v>8.8749999999999996E-2</v>
      </c>
      <c r="M220" s="22">
        <f t="shared" si="400"/>
        <v>7.7500000000000013E-2</v>
      </c>
      <c r="N220" s="36">
        <f t="shared" ref="N220:O220" si="401">INT((INDEX(O$7:O$22,$B220)*(1-$D220)+INDEX(O$7:O$22,$B220+1)*$D220)*O$4*$B$2)</f>
        <v>2185</v>
      </c>
      <c r="O220" s="36">
        <f t="shared" si="401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2">(INDEX(F$7:F$22,$B221)*(1-$D221)+INDEX(F$7:F$22,$B221+1)*$D221)*F$4*$B$2</f>
        <v>0</v>
      </c>
      <c r="F221" s="22">
        <f t="shared" si="402"/>
        <v>0</v>
      </c>
      <c r="G221" s="22">
        <f t="shared" si="402"/>
        <v>0</v>
      </c>
      <c r="H221" s="22">
        <f t="shared" si="402"/>
        <v>6.0000000000000012E-2</v>
      </c>
      <c r="I221" s="22">
        <f t="shared" si="402"/>
        <v>4.0000000000000008E-2</v>
      </c>
      <c r="J221" s="22">
        <f t="shared" si="402"/>
        <v>0</v>
      </c>
      <c r="K221" s="22">
        <f t="shared" si="402"/>
        <v>4.0000000000000008E-2</v>
      </c>
      <c r="L221" s="22">
        <f t="shared" si="402"/>
        <v>9.0000000000000011E-2</v>
      </c>
      <c r="M221" s="22">
        <f t="shared" si="402"/>
        <v>8.0000000000000016E-2</v>
      </c>
      <c r="N221" s="36">
        <f t="shared" ref="N221:O221" si="403">INT((INDEX(O$7:O$22,$B221)*(1-$D221)+INDEX(O$7:O$22,$B221+1)*$D221)*O$4*$B$2)</f>
        <v>2220</v>
      </c>
      <c r="O221" s="36">
        <f t="shared" si="403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4">(INDEX(F$7:F$22,$B222)*(1-$D222)+INDEX(F$7:F$22,$B222+1)*$D222)*F$4*$B$2</f>
        <v>0</v>
      </c>
      <c r="F222" s="22">
        <f t="shared" si="404"/>
        <v>0</v>
      </c>
      <c r="G222" s="22">
        <f t="shared" si="404"/>
        <v>0</v>
      </c>
      <c r="H222" s="22">
        <f t="shared" si="404"/>
        <v>5.8749999999999997E-2</v>
      </c>
      <c r="I222" s="22">
        <f t="shared" si="404"/>
        <v>4.1250000000000002E-2</v>
      </c>
      <c r="J222" s="22">
        <f t="shared" si="404"/>
        <v>0</v>
      </c>
      <c r="K222" s="22">
        <f t="shared" si="404"/>
        <v>3.4999999999999996E-2</v>
      </c>
      <c r="L222" s="22">
        <f t="shared" si="404"/>
        <v>9.1249999999999998E-2</v>
      </c>
      <c r="M222" s="22">
        <f t="shared" si="404"/>
        <v>8.2500000000000004E-2</v>
      </c>
      <c r="N222" s="36">
        <f t="shared" ref="N222:O222" si="405">INT((INDEX(O$7:O$22,$B222)*(1-$D222)+INDEX(O$7:O$22,$B222+1)*$D222)*O$4*$B$2)</f>
        <v>2255</v>
      </c>
      <c r="O222" s="36">
        <f t="shared" si="405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6">(INDEX(F$7:F$22,$B223)*(1-$D223)+INDEX(F$7:F$22,$B223+1)*$D223)*F$4*$B$2</f>
        <v>0</v>
      </c>
      <c r="F223" s="22">
        <f t="shared" si="406"/>
        <v>0</v>
      </c>
      <c r="G223" s="22">
        <f t="shared" si="406"/>
        <v>0</v>
      </c>
      <c r="H223" s="22">
        <f t="shared" si="406"/>
        <v>5.7499999999999996E-2</v>
      </c>
      <c r="I223" s="22">
        <f t="shared" si="406"/>
        <v>4.2500000000000003E-2</v>
      </c>
      <c r="J223" s="22">
        <f t="shared" si="406"/>
        <v>0</v>
      </c>
      <c r="K223" s="22">
        <f t="shared" si="406"/>
        <v>3.0000000000000006E-2</v>
      </c>
      <c r="L223" s="22">
        <f t="shared" si="406"/>
        <v>9.2500000000000013E-2</v>
      </c>
      <c r="M223" s="22">
        <f t="shared" si="406"/>
        <v>8.5000000000000006E-2</v>
      </c>
      <c r="N223" s="36">
        <f t="shared" ref="N223:O223" si="407">INT((INDEX(O$7:O$22,$B223)*(1-$D223)+INDEX(O$7:O$22,$B223+1)*$D223)*O$4*$B$2)</f>
        <v>2290</v>
      </c>
      <c r="O223" s="36">
        <f t="shared" si="407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8">(INDEX(F$7:F$22,$B224)*(1-$D224)+INDEX(F$7:F$22,$B224+1)*$D224)*F$4*$B$2</f>
        <v>0</v>
      </c>
      <c r="F224" s="22">
        <f t="shared" si="408"/>
        <v>0</v>
      </c>
      <c r="G224" s="22">
        <f t="shared" si="408"/>
        <v>0</v>
      </c>
      <c r="H224" s="22">
        <f t="shared" si="408"/>
        <v>5.6250000000000001E-2</v>
      </c>
      <c r="I224" s="22">
        <f t="shared" si="408"/>
        <v>4.3750000000000004E-2</v>
      </c>
      <c r="J224" s="22">
        <f t="shared" si="408"/>
        <v>0</v>
      </c>
      <c r="K224" s="22">
        <f t="shared" si="408"/>
        <v>2.5000000000000001E-2</v>
      </c>
      <c r="L224" s="22">
        <f t="shared" si="408"/>
        <v>9.375E-2</v>
      </c>
      <c r="M224" s="22">
        <f t="shared" si="408"/>
        <v>8.7500000000000008E-2</v>
      </c>
      <c r="N224" s="36">
        <f t="shared" ref="N224:O224" si="409">INT((INDEX(O$7:O$22,$B224)*(1-$D224)+INDEX(O$7:O$22,$B224+1)*$D224)*O$4*$B$2)</f>
        <v>2325</v>
      </c>
      <c r="O224" s="36">
        <f t="shared" si="409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10">(INDEX(F$7:F$22,$B225)*(1-$D225)+INDEX(F$7:F$22,$B225+1)*$D225)*F$4*$B$2</f>
        <v>0</v>
      </c>
      <c r="F225" s="22">
        <f t="shared" si="410"/>
        <v>0</v>
      </c>
      <c r="G225" s="22">
        <f t="shared" si="410"/>
        <v>0</v>
      </c>
      <c r="H225" s="22">
        <f t="shared" si="410"/>
        <v>5.5000000000000007E-2</v>
      </c>
      <c r="I225" s="22">
        <f t="shared" si="410"/>
        <v>4.5000000000000005E-2</v>
      </c>
      <c r="J225" s="22">
        <f t="shared" si="410"/>
        <v>0</v>
      </c>
      <c r="K225" s="22">
        <f t="shared" si="410"/>
        <v>1.9999999999999997E-2</v>
      </c>
      <c r="L225" s="22">
        <f t="shared" si="410"/>
        <v>9.5000000000000001E-2</v>
      </c>
      <c r="M225" s="22">
        <f t="shared" si="410"/>
        <v>9.0000000000000011E-2</v>
      </c>
      <c r="N225" s="36">
        <f t="shared" ref="N225:O225" si="411">INT((INDEX(O$7:O$22,$B225)*(1-$D225)+INDEX(O$7:O$22,$B225+1)*$D225)*O$4*$B$2)</f>
        <v>2360</v>
      </c>
      <c r="O225" s="36">
        <f t="shared" si="411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2">(INDEX(F$7:F$22,$B226)*(1-$D226)+INDEX(F$7:F$22,$B226+1)*$D226)*F$4*$B$2</f>
        <v>0</v>
      </c>
      <c r="F226" s="22">
        <f t="shared" si="412"/>
        <v>0</v>
      </c>
      <c r="G226" s="22">
        <f t="shared" si="412"/>
        <v>0</v>
      </c>
      <c r="H226" s="22">
        <f t="shared" si="412"/>
        <v>5.3749999999999999E-2</v>
      </c>
      <c r="I226" s="22">
        <f t="shared" si="412"/>
        <v>4.6250000000000006E-2</v>
      </c>
      <c r="J226" s="22">
        <f t="shared" si="412"/>
        <v>0</v>
      </c>
      <c r="K226" s="22">
        <f t="shared" si="412"/>
        <v>1.5000000000000003E-2</v>
      </c>
      <c r="L226" s="22">
        <f t="shared" si="412"/>
        <v>9.6250000000000002E-2</v>
      </c>
      <c r="M226" s="22">
        <f t="shared" si="412"/>
        <v>9.2500000000000013E-2</v>
      </c>
      <c r="N226" s="36">
        <f t="shared" ref="N226:O226" si="413">INT((INDEX(O$7:O$22,$B226)*(1-$D226)+INDEX(O$7:O$22,$B226+1)*$D226)*O$4*$B$2)</f>
        <v>2395</v>
      </c>
      <c r="O226" s="36">
        <f t="shared" si="413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4">(INDEX(F$7:F$22,$B227)*(1-$D227)+INDEX(F$7:F$22,$B227+1)*$D227)*F$4*$B$2</f>
        <v>0</v>
      </c>
      <c r="F227" s="22">
        <f t="shared" si="414"/>
        <v>0</v>
      </c>
      <c r="G227" s="22">
        <f t="shared" si="414"/>
        <v>0</v>
      </c>
      <c r="H227" s="22">
        <f t="shared" si="414"/>
        <v>5.2500000000000005E-2</v>
      </c>
      <c r="I227" s="22">
        <f t="shared" si="414"/>
        <v>4.7500000000000001E-2</v>
      </c>
      <c r="J227" s="22">
        <f t="shared" si="414"/>
        <v>0</v>
      </c>
      <c r="K227" s="22">
        <f t="shared" si="414"/>
        <v>9.9999999999999985E-3</v>
      </c>
      <c r="L227" s="22">
        <f t="shared" si="414"/>
        <v>9.7500000000000003E-2</v>
      </c>
      <c r="M227" s="22">
        <f t="shared" si="414"/>
        <v>9.5000000000000001E-2</v>
      </c>
      <c r="N227" s="36">
        <f t="shared" ref="N227:O227" si="415">INT((INDEX(O$7:O$22,$B227)*(1-$D227)+INDEX(O$7:O$22,$B227+1)*$D227)*O$4*$B$2)</f>
        <v>2430</v>
      </c>
      <c r="O227" s="36">
        <f t="shared" si="415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6">(INDEX(F$7:F$22,$B228)*(1-$D228)+INDEX(F$7:F$22,$B228+1)*$D228)*F$4*$B$2</f>
        <v>0</v>
      </c>
      <c r="F228" s="22">
        <f t="shared" si="416"/>
        <v>0</v>
      </c>
      <c r="G228" s="22">
        <f t="shared" si="416"/>
        <v>0</v>
      </c>
      <c r="H228" s="22">
        <f t="shared" si="416"/>
        <v>5.1249999999999997E-2</v>
      </c>
      <c r="I228" s="22">
        <f t="shared" si="416"/>
        <v>4.8750000000000002E-2</v>
      </c>
      <c r="J228" s="22">
        <f t="shared" si="416"/>
        <v>0</v>
      </c>
      <c r="K228" s="22">
        <f t="shared" si="416"/>
        <v>5.0000000000000044E-3</v>
      </c>
      <c r="L228" s="22">
        <f t="shared" si="416"/>
        <v>9.8750000000000004E-2</v>
      </c>
      <c r="M228" s="22">
        <f t="shared" si="416"/>
        <v>9.7500000000000003E-2</v>
      </c>
      <c r="N228" s="36">
        <f t="shared" ref="N228:O228" si="417">INT((INDEX(O$7:O$22,$B228)*(1-$D228)+INDEX(O$7:O$22,$B228+1)*$D228)*O$4*$B$2)</f>
        <v>2465</v>
      </c>
      <c r="O228" s="36">
        <f t="shared" si="417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8">(INDEX(F$7:F$22,$B229)*(1-$D229)+INDEX(F$7:F$22,$B229+1)*$D229)*F$4*$B$2</f>
        <v>0</v>
      </c>
      <c r="F229" s="22">
        <f t="shared" si="418"/>
        <v>0</v>
      </c>
      <c r="G229" s="22">
        <f t="shared" si="418"/>
        <v>0</v>
      </c>
      <c r="H229" s="22">
        <f t="shared" si="418"/>
        <v>0.05</v>
      </c>
      <c r="I229" s="22">
        <f t="shared" si="418"/>
        <v>0.05</v>
      </c>
      <c r="J229" s="22">
        <f t="shared" si="418"/>
        <v>0</v>
      </c>
      <c r="K229" s="22">
        <f t="shared" si="418"/>
        <v>0</v>
      </c>
      <c r="L229" s="22">
        <f t="shared" si="418"/>
        <v>0.1</v>
      </c>
      <c r="M229" s="22">
        <f t="shared" si="418"/>
        <v>0.1</v>
      </c>
      <c r="N229" s="36">
        <f t="shared" ref="N229:O229" si="419">INT((INDEX(O$7:O$22,$B229)*(1-$D229)+INDEX(O$7:O$22,$B229+1)*$D229)*O$4*$B$2)</f>
        <v>2500</v>
      </c>
      <c r="O229" s="36">
        <f t="shared" si="419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workbookViewId="0">
      <selection activeCell="AT6" sqref="AT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  <col min="52" max="52" width="12.5" customWidth="1"/>
  </cols>
  <sheetData>
    <row r="2" spans="1:52" ht="16.5" x14ac:dyDescent="0.2">
      <c r="G2" s="34" t="s">
        <v>316</v>
      </c>
      <c r="H2" s="34" t="s">
        <v>317</v>
      </c>
      <c r="I2" s="34" t="s">
        <v>318</v>
      </c>
      <c r="J2" s="34" t="s">
        <v>319</v>
      </c>
      <c r="K2" s="34" t="s">
        <v>320</v>
      </c>
      <c r="L2" s="34" t="s">
        <v>321</v>
      </c>
    </row>
    <row r="3" spans="1:52" ht="20.25" x14ac:dyDescent="0.2">
      <c r="A3" s="115" t="s">
        <v>251</v>
      </c>
      <c r="B3" s="115"/>
      <c r="C3" s="115"/>
      <c r="D3" s="115"/>
      <c r="E3" s="115"/>
      <c r="F3" s="115"/>
      <c r="M3" s="115" t="s">
        <v>819</v>
      </c>
      <c r="N3" s="115"/>
      <c r="O3" s="115"/>
      <c r="P3" s="115"/>
      <c r="Q3" s="115"/>
      <c r="AF3" s="115" t="s">
        <v>560</v>
      </c>
      <c r="AG3" s="115"/>
      <c r="AH3" s="115"/>
      <c r="AI3" s="115"/>
      <c r="AJ3" s="115"/>
      <c r="AK3" s="115"/>
      <c r="AL3" s="115"/>
      <c r="AM3" s="115"/>
      <c r="AN3" s="115"/>
      <c r="AO3" s="115"/>
      <c r="AP3" s="115"/>
    </row>
    <row r="4" spans="1:52" ht="17.25" x14ac:dyDescent="0.2">
      <c r="A4" s="12" t="s">
        <v>256</v>
      </c>
      <c r="B4" s="12" t="s">
        <v>252</v>
      </c>
      <c r="C4" s="12" t="s">
        <v>253</v>
      </c>
      <c r="D4" s="12" t="s">
        <v>254</v>
      </c>
      <c r="E4" s="12" t="s">
        <v>255</v>
      </c>
      <c r="F4" s="12" t="s">
        <v>799</v>
      </c>
      <c r="M4" s="12" t="s">
        <v>798</v>
      </c>
      <c r="N4" s="12" t="s">
        <v>253</v>
      </c>
      <c r="O4" s="12" t="s">
        <v>254</v>
      </c>
      <c r="P4" s="12" t="s">
        <v>255</v>
      </c>
      <c r="Q4" s="12" t="s">
        <v>797</v>
      </c>
      <c r="AF4" s="12" t="s">
        <v>561</v>
      </c>
      <c r="AG4" s="12" t="s">
        <v>562</v>
      </c>
      <c r="AH4" s="12" t="s">
        <v>579</v>
      </c>
      <c r="AI4" s="12" t="s">
        <v>582</v>
      </c>
      <c r="AJ4" s="12" t="s">
        <v>581</v>
      </c>
      <c r="AK4" s="12" t="s">
        <v>584</v>
      </c>
      <c r="AL4" s="12" t="s">
        <v>583</v>
      </c>
      <c r="AM4" s="35" t="s">
        <v>585</v>
      </c>
      <c r="AN4" s="35" t="s">
        <v>586</v>
      </c>
      <c r="AO4" s="35" t="s">
        <v>587</v>
      </c>
      <c r="AP4" s="12" t="s">
        <v>588</v>
      </c>
      <c r="AS4" s="12" t="s">
        <v>589</v>
      </c>
      <c r="AT4" s="12" t="s">
        <v>565</v>
      </c>
      <c r="AU4" s="12" t="s">
        <v>590</v>
      </c>
      <c r="AV4" s="12" t="s">
        <v>591</v>
      </c>
      <c r="AW4" s="12" t="s">
        <v>592</v>
      </c>
      <c r="AX4" s="12" t="s">
        <v>593</v>
      </c>
      <c r="AY4" s="12" t="s">
        <v>565</v>
      </c>
      <c r="AZ4" s="12" t="s">
        <v>565</v>
      </c>
    </row>
    <row r="5" spans="1:52" ht="16.5" x14ac:dyDescent="0.2">
      <c r="A5" s="33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83">
        <v>1</v>
      </c>
      <c r="N5" s="83">
        <v>20</v>
      </c>
      <c r="O5" s="83">
        <v>40</v>
      </c>
      <c r="P5" s="83">
        <v>80</v>
      </c>
      <c r="Q5" s="83">
        <v>80</v>
      </c>
      <c r="AF5" s="66" t="s">
        <v>566</v>
      </c>
      <c r="AG5" s="66">
        <v>10</v>
      </c>
      <c r="AH5" s="66">
        <f>章节关卡!H5*节奏总表!L4*60</f>
        <v>1200</v>
      </c>
      <c r="AI5" s="66">
        <v>1</v>
      </c>
      <c r="AJ5" s="66">
        <f>SUMIFS(章节关卡!$AU$5:$AU$205,章节关卡!$AQ$5:$AQ$205,"="&amp;卡牌消耗!AI5)</f>
        <v>10125</v>
      </c>
      <c r="AK5" s="66"/>
      <c r="AL5" s="66"/>
      <c r="AM5" s="66">
        <f>AH5+AJ5+AL5</f>
        <v>11325</v>
      </c>
      <c r="AN5" s="20">
        <v>0.5</v>
      </c>
      <c r="AO5" s="66">
        <f>INT(AM5*AN5)</f>
        <v>5662</v>
      </c>
      <c r="AP5" s="66">
        <v>1</v>
      </c>
      <c r="AS5" s="66" t="s">
        <v>596</v>
      </c>
      <c r="AT5">
        <v>1</v>
      </c>
      <c r="AU5" s="66">
        <v>1</v>
      </c>
      <c r="AV5" s="66">
        <v>1</v>
      </c>
      <c r="AW5" s="22">
        <f>AV5/$AT$8</f>
        <v>1.8181818181818181E-2</v>
      </c>
      <c r="AX5" s="66">
        <v>3</v>
      </c>
      <c r="AY5" s="66">
        <f>INT($AT$6*AW5/AX5/5)*5</f>
        <v>30</v>
      </c>
      <c r="AZ5" s="66">
        <f>SUM(AY$5:AY5)</f>
        <v>30</v>
      </c>
    </row>
    <row r="6" spans="1:52" ht="16.5" x14ac:dyDescent="0.2">
      <c r="A6" s="33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83">
        <v>2</v>
      </c>
      <c r="N6" s="83">
        <v>40</v>
      </c>
      <c r="O6" s="83">
        <v>80</v>
      </c>
      <c r="P6" s="83">
        <v>80</v>
      </c>
      <c r="Q6" s="83">
        <v>80</v>
      </c>
      <c r="AF6" s="66" t="s">
        <v>567</v>
      </c>
      <c r="AG6" s="66">
        <v>20</v>
      </c>
      <c r="AH6" s="66">
        <f>章节关卡!H6*节奏总表!L5*60</f>
        <v>6000</v>
      </c>
      <c r="AI6" s="66">
        <v>2</v>
      </c>
      <c r="AJ6" s="66">
        <f>SUMIFS(章节关卡!$AU$5:$AU$205,章节关卡!$AQ$5:$AQ$205,"="&amp;卡牌消耗!AI6)</f>
        <v>17010</v>
      </c>
      <c r="AK6" s="66">
        <v>1</v>
      </c>
      <c r="AL6" s="66">
        <f>SUMIFS(章节关卡!$BC$5:$BC$205,章节关卡!$AY$5:$AY$205,"="&amp;卡牌消耗!AK6)</f>
        <v>20250</v>
      </c>
      <c r="AM6" s="66">
        <f t="shared" ref="AM6:AM19" si="0">AH6+AJ6+AL6</f>
        <v>43260</v>
      </c>
      <c r="AN6" s="20">
        <v>0.7</v>
      </c>
      <c r="AO6" s="66">
        <f t="shared" ref="AO6:AO19" si="1">INT(AM6*AN6)</f>
        <v>30282</v>
      </c>
      <c r="AP6" s="66">
        <v>2</v>
      </c>
      <c r="AS6" s="15" t="str">
        <f>INDEX($AF$5:$AF$19,AT5)</f>
        <v>1~10</v>
      </c>
      <c r="AT6" s="15">
        <f>INDEX($AO$5:$AO$19,AT5)</f>
        <v>5662</v>
      </c>
      <c r="AU6" s="66">
        <v>2</v>
      </c>
      <c r="AV6" s="66">
        <v>2</v>
      </c>
      <c r="AW6" s="22">
        <f t="shared" ref="AW6:AW13" si="2">AV6/$AT$8</f>
        <v>3.6363636363636362E-2</v>
      </c>
      <c r="AX6" s="94">
        <v>3</v>
      </c>
      <c r="AY6" s="66">
        <f t="shared" ref="AY6:AY14" si="3">INT($AT$6*AW6/AX6/5)*5</f>
        <v>65</v>
      </c>
      <c r="AZ6" s="66">
        <f>SUM(AY$5:AY6)</f>
        <v>95</v>
      </c>
    </row>
    <row r="7" spans="1:52" ht="16.5" x14ac:dyDescent="0.2">
      <c r="A7" s="33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83">
        <v>3</v>
      </c>
      <c r="N7" s="83">
        <v>80</v>
      </c>
      <c r="O7" s="83">
        <v>120</v>
      </c>
      <c r="P7" s="83">
        <v>160</v>
      </c>
      <c r="Q7" s="83">
        <v>160</v>
      </c>
      <c r="AF7" s="66" t="s">
        <v>568</v>
      </c>
      <c r="AG7" s="66">
        <v>30</v>
      </c>
      <c r="AH7" s="66">
        <f>章节关卡!H7*节奏总表!L6*60</f>
        <v>30240</v>
      </c>
      <c r="AI7" s="66">
        <v>3</v>
      </c>
      <c r="AJ7" s="66">
        <f>SUMIFS(章节关卡!$AU$5:$AU$205,章节关卡!$AQ$5:$AQ$205,"="&amp;卡牌消耗!AI7)</f>
        <v>28350</v>
      </c>
      <c r="AK7" s="66">
        <v>2</v>
      </c>
      <c r="AL7" s="66">
        <f>SUMIFS(章节关卡!$BC$5:$BC$205,章节关卡!$AY$5:$AY$205,"="&amp;卡牌消耗!AK7)</f>
        <v>34020</v>
      </c>
      <c r="AM7" s="66">
        <f t="shared" si="0"/>
        <v>92610</v>
      </c>
      <c r="AN7" s="20">
        <v>0.85</v>
      </c>
      <c r="AO7" s="66">
        <f t="shared" si="1"/>
        <v>78718</v>
      </c>
      <c r="AP7" s="66">
        <v>3</v>
      </c>
      <c r="AS7" s="66" t="s">
        <v>594</v>
      </c>
      <c r="AT7" s="15">
        <v>1</v>
      </c>
      <c r="AU7" s="66">
        <v>3</v>
      </c>
      <c r="AV7" s="66">
        <v>3</v>
      </c>
      <c r="AW7" s="22">
        <f t="shared" si="2"/>
        <v>5.4545454545454543E-2</v>
      </c>
      <c r="AX7" s="94">
        <v>3</v>
      </c>
      <c r="AY7" s="66">
        <f t="shared" si="3"/>
        <v>100</v>
      </c>
      <c r="AZ7" s="66">
        <f>SUM(AY$5:AY7)</f>
        <v>195</v>
      </c>
    </row>
    <row r="8" spans="1:52" ht="16.5" x14ac:dyDescent="0.2">
      <c r="A8" s="33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83">
        <v>4</v>
      </c>
      <c r="N8" s="83">
        <v>120</v>
      </c>
      <c r="O8" s="83">
        <v>160</v>
      </c>
      <c r="P8" s="83">
        <v>240</v>
      </c>
      <c r="Q8" s="83">
        <v>240</v>
      </c>
      <c r="AF8" s="66" t="s">
        <v>595</v>
      </c>
      <c r="AG8" s="66">
        <v>40</v>
      </c>
      <c r="AH8" s="66">
        <f>章节关卡!H8*节奏总表!L7*60</f>
        <v>100800</v>
      </c>
      <c r="AI8" s="66">
        <v>4</v>
      </c>
      <c r="AJ8" s="66">
        <f>SUMIFS(章节关卡!$AU$5:$AU$205,章节关卡!$AQ$5:$AQ$205,"="&amp;卡牌消耗!AI8)</f>
        <v>42120</v>
      </c>
      <c r="AK8" s="66">
        <v>3</v>
      </c>
      <c r="AL8" s="66">
        <f>SUMIFS(章节关卡!$BC$5:$BC$205,章节关卡!$AY$5:$AY$205,"="&amp;卡牌消耗!AK8)</f>
        <v>56700</v>
      </c>
      <c r="AM8" s="66">
        <f t="shared" si="0"/>
        <v>199620</v>
      </c>
      <c r="AN8" s="20">
        <v>1</v>
      </c>
      <c r="AO8" s="66">
        <f t="shared" si="1"/>
        <v>199620</v>
      </c>
      <c r="AP8" s="66">
        <v>3</v>
      </c>
      <c r="AS8" s="16"/>
      <c r="AT8" s="15">
        <f>SUM(AV5:AV14)</f>
        <v>55</v>
      </c>
      <c r="AU8" s="66">
        <v>4</v>
      </c>
      <c r="AV8" s="66">
        <v>4</v>
      </c>
      <c r="AW8" s="22">
        <f t="shared" si="2"/>
        <v>7.2727272727272724E-2</v>
      </c>
      <c r="AX8" s="94">
        <v>3</v>
      </c>
      <c r="AY8" s="66">
        <f t="shared" si="3"/>
        <v>135</v>
      </c>
      <c r="AZ8" s="66">
        <f>SUM(AY$5:AY8)</f>
        <v>330</v>
      </c>
    </row>
    <row r="9" spans="1:52" ht="16.5" x14ac:dyDescent="0.2">
      <c r="M9" s="83">
        <v>5</v>
      </c>
      <c r="N9" s="83">
        <v>160</v>
      </c>
      <c r="O9" s="83">
        <v>240</v>
      </c>
      <c r="P9" s="83">
        <v>320</v>
      </c>
      <c r="Q9" s="83">
        <v>320</v>
      </c>
      <c r="AF9" s="66" t="s">
        <v>569</v>
      </c>
      <c r="AG9" s="66">
        <v>50</v>
      </c>
      <c r="AH9" s="66">
        <f>章节关卡!H9*节奏总表!L8*60</f>
        <v>249600</v>
      </c>
      <c r="AI9" s="66">
        <v>5</v>
      </c>
      <c r="AJ9" s="66">
        <f>SUMIFS(章节关卡!$AU$5:$AU$205,章节关卡!$AQ$5:$AQ$205,"="&amp;卡牌消耗!AI9)</f>
        <v>97200</v>
      </c>
      <c r="AK9" s="66">
        <v>4</v>
      </c>
      <c r="AL9" s="66">
        <f>SUMIFS(章节关卡!$BC$5:$BC$205,章节关卡!$AY$5:$AY$205,"="&amp;卡牌消耗!AK9)</f>
        <v>84240</v>
      </c>
      <c r="AM9" s="66">
        <f t="shared" si="0"/>
        <v>431040</v>
      </c>
      <c r="AN9" s="20">
        <v>1</v>
      </c>
      <c r="AO9" s="66">
        <f t="shared" si="1"/>
        <v>431040</v>
      </c>
      <c r="AP9" s="66">
        <v>4</v>
      </c>
      <c r="AS9" s="16"/>
      <c r="AT9" s="16"/>
      <c r="AU9" s="66">
        <v>5</v>
      </c>
      <c r="AV9" s="66">
        <v>5</v>
      </c>
      <c r="AW9" s="22">
        <f t="shared" si="2"/>
        <v>9.0909090909090912E-2</v>
      </c>
      <c r="AX9" s="94">
        <v>3</v>
      </c>
      <c r="AY9" s="66">
        <f t="shared" si="3"/>
        <v>170</v>
      </c>
      <c r="AZ9" s="66">
        <f>SUM(AY$5:AY9)</f>
        <v>500</v>
      </c>
    </row>
    <row r="10" spans="1:52" ht="16.5" x14ac:dyDescent="0.2">
      <c r="AF10" s="66" t="s">
        <v>570</v>
      </c>
      <c r="AG10" s="66">
        <v>60</v>
      </c>
      <c r="AH10" s="66">
        <f>章节关卡!H10*节奏总表!L9*60</f>
        <v>518400</v>
      </c>
      <c r="AI10" s="66">
        <v>6</v>
      </c>
      <c r="AJ10" s="66">
        <f>SUMIFS(章节关卡!$AU$5:$AU$205,章节关卡!$AQ$5:$AQ$205,"="&amp;卡牌消耗!AI10)</f>
        <v>135000</v>
      </c>
      <c r="AK10" s="66">
        <v>5</v>
      </c>
      <c r="AL10" s="66">
        <f>SUMIFS(章节关卡!$BC$5:$BC$205,章节关卡!$AY$5:$AY$205,"="&amp;卡牌消耗!AK10)</f>
        <v>194400</v>
      </c>
      <c r="AM10" s="66">
        <f t="shared" si="0"/>
        <v>847800</v>
      </c>
      <c r="AN10" s="20">
        <v>1</v>
      </c>
      <c r="AO10" s="66">
        <f t="shared" si="1"/>
        <v>847800</v>
      </c>
      <c r="AP10" s="66">
        <v>5</v>
      </c>
      <c r="AS10" s="16"/>
      <c r="AT10" s="16"/>
      <c r="AU10" s="66">
        <v>6</v>
      </c>
      <c r="AV10" s="66">
        <v>6</v>
      </c>
      <c r="AW10" s="22">
        <f t="shared" si="2"/>
        <v>0.10909090909090909</v>
      </c>
      <c r="AX10" s="94">
        <v>3</v>
      </c>
      <c r="AY10" s="66">
        <f t="shared" si="3"/>
        <v>205</v>
      </c>
      <c r="AZ10" s="66">
        <f>SUM(AY$5:AY10)</f>
        <v>705</v>
      </c>
    </row>
    <row r="11" spans="1:52" ht="20.25" x14ac:dyDescent="0.2">
      <c r="A11" s="37" t="s">
        <v>277</v>
      </c>
      <c r="B11">
        <v>20</v>
      </c>
      <c r="C11">
        <v>30</v>
      </c>
      <c r="D11">
        <v>45</v>
      </c>
      <c r="M11" s="115" t="s">
        <v>820</v>
      </c>
      <c r="N11" s="115"/>
      <c r="O11" s="115"/>
      <c r="P11" s="115"/>
      <c r="Q11" s="115"/>
      <c r="AF11" s="66" t="s">
        <v>571</v>
      </c>
      <c r="AG11" s="66">
        <v>70</v>
      </c>
      <c r="AH11" s="66">
        <f>章节关卡!H11*节奏总表!L10*60</f>
        <v>960000</v>
      </c>
      <c r="AI11" s="66">
        <v>7</v>
      </c>
      <c r="AJ11" s="66">
        <f>SUMIFS(章节关卡!$AU$5:$AU$205,章节关卡!$AQ$5:$AQ$205,"="&amp;卡牌消耗!AI11)</f>
        <v>185625</v>
      </c>
      <c r="AK11" s="66">
        <v>6</v>
      </c>
      <c r="AL11" s="66">
        <f>SUMIFS(章节关卡!$BC$5:$BC$205,章节关卡!$AY$5:$AY$205,"="&amp;卡牌消耗!AK11)</f>
        <v>270000</v>
      </c>
      <c r="AM11" s="66">
        <f t="shared" si="0"/>
        <v>1415625</v>
      </c>
      <c r="AN11" s="20">
        <v>1</v>
      </c>
      <c r="AO11" s="66">
        <f t="shared" si="1"/>
        <v>1415625</v>
      </c>
      <c r="AP11" s="66">
        <v>6</v>
      </c>
      <c r="AS11" s="16"/>
      <c r="AT11" s="16"/>
      <c r="AU11" s="66">
        <v>7</v>
      </c>
      <c r="AV11" s="66">
        <v>7</v>
      </c>
      <c r="AW11" s="22">
        <f t="shared" si="2"/>
        <v>0.12727272727272726</v>
      </c>
      <c r="AX11" s="94">
        <v>3</v>
      </c>
      <c r="AY11" s="66">
        <f t="shared" si="3"/>
        <v>240</v>
      </c>
      <c r="AZ11" s="66">
        <f>SUM(AY$5:AY11)</f>
        <v>945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394</v>
      </c>
      <c r="M12" s="12" t="s">
        <v>798</v>
      </c>
      <c r="N12" s="12" t="s">
        <v>253</v>
      </c>
      <c r="O12" s="12" t="s">
        <v>254</v>
      </c>
      <c r="P12" s="12" t="s">
        <v>255</v>
      </c>
      <c r="Q12" s="12" t="s">
        <v>797</v>
      </c>
      <c r="AF12" s="66" t="s">
        <v>572</v>
      </c>
      <c r="AG12" s="66">
        <v>80</v>
      </c>
      <c r="AH12" s="66">
        <f>章节关卡!H12*节奏总表!L11*60</f>
        <v>1650000</v>
      </c>
      <c r="AI12" s="66">
        <v>8</v>
      </c>
      <c r="AJ12" s="66">
        <f>SUMIFS(章节关卡!$AU$5:$AU$205,章节关卡!$AQ$5:$AQ$205,"="&amp;卡牌消耗!AI12)</f>
        <v>243000</v>
      </c>
      <c r="AK12" s="66">
        <v>7</v>
      </c>
      <c r="AL12" s="66">
        <f>SUMIFS(章节关卡!$BC$5:$BC$205,章节关卡!$AY$5:$AY$205,"="&amp;卡牌消耗!AK12)</f>
        <v>371250</v>
      </c>
      <c r="AM12" s="66">
        <f t="shared" si="0"/>
        <v>2264250</v>
      </c>
      <c r="AN12" s="20">
        <v>1</v>
      </c>
      <c r="AO12" s="66">
        <f t="shared" si="1"/>
        <v>2264250</v>
      </c>
      <c r="AP12" s="66">
        <v>6</v>
      </c>
      <c r="AS12" s="16"/>
      <c r="AT12" s="16"/>
      <c r="AU12" s="66">
        <v>8</v>
      </c>
      <c r="AV12" s="66">
        <v>8</v>
      </c>
      <c r="AW12" s="22">
        <f t="shared" si="2"/>
        <v>0.14545454545454545</v>
      </c>
      <c r="AX12" s="94">
        <v>3</v>
      </c>
      <c r="AY12" s="66">
        <f t="shared" si="3"/>
        <v>270</v>
      </c>
      <c r="AZ12" s="66">
        <f>SUM(AY$5:AY12)</f>
        <v>1215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4" t="s">
        <v>270</v>
      </c>
      <c r="G13" s="34" t="str">
        <f t="shared" ref="G13:G34" si="4">F13&amp;"修身材料"</f>
        <v>土修身材料</v>
      </c>
      <c r="H13" s="48">
        <v>1501001</v>
      </c>
      <c r="M13" s="83">
        <v>1</v>
      </c>
      <c r="N13" s="83">
        <f>INDEX(金币总产!$U$24:$U$28,卡牌消耗!$M13)*C$8</f>
        <v>0</v>
      </c>
      <c r="O13" s="83">
        <f>INDEX(金币总产!$U$24:$U$28,卡牌消耗!$M13)*D$8</f>
        <v>0</v>
      </c>
      <c r="P13" s="83">
        <f>INDEX(金币总产!$U$24:$U$28,卡牌消耗!$M13)*E$8</f>
        <v>0</v>
      </c>
      <c r="Q13" s="83">
        <f>INDEX(金币总产!$U$24:$U$28,卡牌消耗!$M13)*F$8</f>
        <v>0</v>
      </c>
      <c r="AF13" s="66" t="s">
        <v>573</v>
      </c>
      <c r="AG13" s="66">
        <v>90</v>
      </c>
      <c r="AH13" s="66">
        <f>章节关卡!H13*节奏总表!L12*60</f>
        <v>3240000</v>
      </c>
      <c r="AI13" s="66">
        <v>9</v>
      </c>
      <c r="AJ13" s="66">
        <f>SUMIFS(章节关卡!$AU$5:$AU$205,章节关卡!$AQ$5:$AQ$205,"="&amp;卡牌消耗!AI13)</f>
        <v>315900</v>
      </c>
      <c r="AK13" s="66">
        <v>8</v>
      </c>
      <c r="AL13" s="66">
        <f>SUMIFS(章节关卡!$BC$5:$BC$205,章节关卡!$AY$5:$AY$205,"="&amp;卡牌消耗!AK13)</f>
        <v>486000</v>
      </c>
      <c r="AM13" s="66">
        <f t="shared" si="0"/>
        <v>4041900</v>
      </c>
      <c r="AN13" s="20">
        <v>1</v>
      </c>
      <c r="AO13" s="66">
        <f t="shared" si="1"/>
        <v>4041900</v>
      </c>
      <c r="AP13" s="66">
        <v>7</v>
      </c>
      <c r="AS13" s="16"/>
      <c r="AT13" s="16"/>
      <c r="AU13" s="66">
        <v>9</v>
      </c>
      <c r="AV13" s="66">
        <v>9</v>
      </c>
      <c r="AW13" s="22">
        <f t="shared" si="2"/>
        <v>0.16363636363636364</v>
      </c>
      <c r="AX13" s="94">
        <v>3</v>
      </c>
      <c r="AY13" s="66">
        <f t="shared" si="3"/>
        <v>305</v>
      </c>
      <c r="AZ13" s="66">
        <f>SUM(AY$5:AY13)</f>
        <v>1520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4" t="s">
        <v>268</v>
      </c>
      <c r="G14" s="34" t="str">
        <f t="shared" si="4"/>
        <v>雷修身材料</v>
      </c>
      <c r="H14" s="48">
        <v>1501002</v>
      </c>
      <c r="M14" s="83">
        <v>2</v>
      </c>
      <c r="N14" s="83">
        <f>INDEX(金币总产!$U$24:$U$28,卡牌消耗!$M14)*C$8</f>
        <v>0</v>
      </c>
      <c r="O14" s="83">
        <f>INDEX(金币总产!$U$24:$U$28,卡牌消耗!$M14)*D$8</f>
        <v>0</v>
      </c>
      <c r="P14" s="83">
        <f>INDEX(金币总产!$U$24:$U$28,卡牌消耗!$M14)*E$8</f>
        <v>0</v>
      </c>
      <c r="Q14" s="83">
        <f>INDEX(金币总产!$U$24:$U$28,卡牌消耗!$M14)*F$8</f>
        <v>0</v>
      </c>
      <c r="AF14" s="66" t="s">
        <v>574</v>
      </c>
      <c r="AG14" s="66">
        <v>100</v>
      </c>
      <c r="AH14" s="66">
        <f>章节关卡!H14*节奏总表!L13*60</f>
        <v>7020000</v>
      </c>
      <c r="AI14" s="66">
        <v>10</v>
      </c>
      <c r="AJ14" s="66">
        <f>SUMIFS(章节关卡!$AU$5:$AU$205,章节关卡!$AQ$5:$AQ$205,"="&amp;卡牌消耗!AI14)</f>
        <v>415800</v>
      </c>
      <c r="AK14" s="66">
        <v>9</v>
      </c>
      <c r="AL14" s="66">
        <f>SUMIFS(章节关卡!$BC$5:$BC$205,章节关卡!$AY$5:$AY$205,"="&amp;卡牌消耗!AK14)</f>
        <v>631800</v>
      </c>
      <c r="AM14" s="66">
        <f t="shared" si="0"/>
        <v>8067600</v>
      </c>
      <c r="AN14" s="20">
        <v>1</v>
      </c>
      <c r="AO14" s="66">
        <f t="shared" si="1"/>
        <v>8067600</v>
      </c>
      <c r="AP14" s="66">
        <v>8</v>
      </c>
      <c r="AU14" s="66">
        <v>10</v>
      </c>
      <c r="AV14" s="66">
        <v>10</v>
      </c>
      <c r="AW14" s="22">
        <f>AV14/$AT$8</f>
        <v>0.18181818181818182</v>
      </c>
      <c r="AX14" s="94">
        <v>3</v>
      </c>
      <c r="AY14" s="66">
        <f t="shared" si="3"/>
        <v>340</v>
      </c>
      <c r="AZ14" s="66">
        <f>SUM(AY$5:AY14)</f>
        <v>1860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4" t="s">
        <v>268</v>
      </c>
      <c r="G15" s="34" t="str">
        <f t="shared" si="4"/>
        <v>雷修身材料</v>
      </c>
      <c r="H15" s="48">
        <v>1501003</v>
      </c>
      <c r="M15" s="83">
        <v>3</v>
      </c>
      <c r="N15" s="83">
        <f>INDEX(金币总产!$U$24:$U$28,卡牌消耗!$M15)*C$8</f>
        <v>0</v>
      </c>
      <c r="O15" s="83">
        <f>INDEX(金币总产!$U$24:$U$28,卡牌消耗!$M15)*D$8</f>
        <v>0</v>
      </c>
      <c r="P15" s="83">
        <f>INDEX(金币总产!$U$24:$U$28,卡牌消耗!$M15)*E$8</f>
        <v>0</v>
      </c>
      <c r="Q15" s="83">
        <f>INDEX(金币总产!$U$24:$U$28,卡牌消耗!$M15)*F$8</f>
        <v>0</v>
      </c>
      <c r="AF15" s="66" t="s">
        <v>575</v>
      </c>
      <c r="AG15" s="66">
        <v>110</v>
      </c>
      <c r="AH15" s="66">
        <f>章节关卡!H15*节奏总表!L14*60</f>
        <v>14784000</v>
      </c>
      <c r="AI15" s="66">
        <v>11</v>
      </c>
      <c r="AJ15" s="66">
        <f>SUMIFS(章节关卡!$AU$5:$AU$205,章节关卡!$AQ$5:$AQ$205,"="&amp;卡牌消耗!AI15)</f>
        <v>536625</v>
      </c>
      <c r="AK15" s="66">
        <v>10</v>
      </c>
      <c r="AL15" s="66">
        <f>SUMIFS(章节关卡!$BC$5:$BC$205,章节关卡!$AY$5:$AY$205,"="&amp;卡牌消耗!AK15)</f>
        <v>831600</v>
      </c>
      <c r="AM15" s="66">
        <f t="shared" si="0"/>
        <v>16152225</v>
      </c>
      <c r="AN15" s="20">
        <v>1</v>
      </c>
      <c r="AO15" s="66">
        <f t="shared" si="1"/>
        <v>16152225</v>
      </c>
      <c r="AP15" s="66">
        <v>9</v>
      </c>
      <c r="AS15" s="66" t="s">
        <v>596</v>
      </c>
      <c r="AT15" s="66">
        <v>2</v>
      </c>
      <c r="AU15" s="66">
        <v>11</v>
      </c>
      <c r="AV15" s="66">
        <v>5</v>
      </c>
      <c r="AW15" s="22">
        <f>AV15/$AT$18</f>
        <v>0.05</v>
      </c>
      <c r="AX15" s="66">
        <v>3.1</v>
      </c>
      <c r="AY15" s="66">
        <f>INT(AT$16*AW15/AX15/5)*5</f>
        <v>485</v>
      </c>
      <c r="AZ15" s="66">
        <f>SUM(AY$5:AY15)</f>
        <v>2345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4" t="s">
        <v>271</v>
      </c>
      <c r="G16" s="34" t="str">
        <f t="shared" si="4"/>
        <v>风修身材料</v>
      </c>
      <c r="H16" s="48">
        <v>1501004</v>
      </c>
      <c r="M16" s="83">
        <v>4</v>
      </c>
      <c r="N16" s="83">
        <f>INDEX(金币总产!$U$24:$U$28,卡牌消耗!$M16)*C$8</f>
        <v>0</v>
      </c>
      <c r="O16" s="83">
        <f>INDEX(金币总产!$U$24:$U$28,卡牌消耗!$M16)*D$8</f>
        <v>0</v>
      </c>
      <c r="P16" s="83">
        <f>INDEX(金币总产!$U$24:$U$28,卡牌消耗!$M16)*E$8</f>
        <v>0</v>
      </c>
      <c r="Q16" s="83">
        <f>INDEX(金币总产!$U$24:$U$28,卡牌消耗!$M16)*F$8</f>
        <v>0</v>
      </c>
      <c r="AF16" s="66" t="s">
        <v>576</v>
      </c>
      <c r="AG16" s="66">
        <v>120</v>
      </c>
      <c r="AH16" s="66">
        <f>章节关卡!H16*节奏总表!L15*60</f>
        <v>26235000</v>
      </c>
      <c r="AI16" s="66">
        <v>12</v>
      </c>
      <c r="AJ16" s="66">
        <f>SUMIFS(章节关卡!$AU$5:$AU$205,章节关卡!$AQ$5:$AQ$205,"="&amp;卡牌消耗!AI16)</f>
        <v>702000</v>
      </c>
      <c r="AK16" s="66">
        <v>11</v>
      </c>
      <c r="AL16" s="66">
        <f>SUMIFS(章节关卡!$BC$5:$BC$205,章节关卡!$AY$5:$AY$205,"="&amp;卡牌消耗!AK16)</f>
        <v>1073250</v>
      </c>
      <c r="AM16" s="66">
        <f t="shared" si="0"/>
        <v>28010250</v>
      </c>
      <c r="AN16" s="20">
        <v>1</v>
      </c>
      <c r="AO16" s="66">
        <f t="shared" si="1"/>
        <v>28010250</v>
      </c>
      <c r="AP16" s="66">
        <v>9</v>
      </c>
      <c r="AS16" s="15" t="str">
        <f>INDEX($AF$5:$AF$19,AT15)</f>
        <v>10~20</v>
      </c>
      <c r="AT16" s="15">
        <f>INDEX($AO$5:$AO$19,AT15)</f>
        <v>30282</v>
      </c>
      <c r="AU16" s="66">
        <v>12</v>
      </c>
      <c r="AV16" s="66">
        <v>6</v>
      </c>
      <c r="AW16" s="22">
        <f t="shared" ref="AW16:AW24" si="5">AV16/$AT$18</f>
        <v>0.06</v>
      </c>
      <c r="AX16" s="94">
        <v>3.2</v>
      </c>
      <c r="AY16" s="66">
        <f t="shared" ref="AY16:AY24" si="6">INT(AT$16*AW16/AX16/5)*5</f>
        <v>565</v>
      </c>
      <c r="AZ16" s="66">
        <f>SUM(AY$5:AY16)</f>
        <v>2910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4" t="s">
        <v>268</v>
      </c>
      <c r="G17" s="34" t="str">
        <f t="shared" si="4"/>
        <v>雷修身材料</v>
      </c>
      <c r="H17" s="48">
        <v>1501005</v>
      </c>
      <c r="M17" s="83">
        <v>5</v>
      </c>
      <c r="N17" s="83">
        <f>INDEX(金币总产!$U$24:$U$28,卡牌消耗!$M17)*C$8</f>
        <v>0</v>
      </c>
      <c r="O17" s="83">
        <f>INDEX(金币总产!$U$24:$U$28,卡牌消耗!$M17)*D$8</f>
        <v>0</v>
      </c>
      <c r="P17" s="83">
        <f>INDEX(金币总产!$U$24:$U$28,卡牌消耗!$M17)*E$8</f>
        <v>0</v>
      </c>
      <c r="Q17" s="83">
        <f>INDEX(金币总产!$U$24:$U$28,卡牌消耗!$M17)*F$8</f>
        <v>0</v>
      </c>
      <c r="AF17" s="66" t="s">
        <v>577</v>
      </c>
      <c r="AG17" s="66">
        <v>130</v>
      </c>
      <c r="AH17" s="66">
        <f>章节关卡!H17*节奏总表!L16*60</f>
        <v>43680000</v>
      </c>
      <c r="AI17" s="66">
        <v>13</v>
      </c>
      <c r="AJ17" s="66">
        <f>SUMIFS(章节关卡!$AU$5:$AU$205,章节关卡!$AQ$5:$AQ$205,"="&amp;卡牌消耗!AI17)</f>
        <v>918000</v>
      </c>
      <c r="AK17" s="66">
        <v>12</v>
      </c>
      <c r="AL17" s="66">
        <f>SUMIFS(章节关卡!$BC$5:$BC$205,章节关卡!$AY$5:$AY$205,"="&amp;卡牌消耗!AK17)</f>
        <v>1404000</v>
      </c>
      <c r="AM17" s="66">
        <f t="shared" si="0"/>
        <v>46002000</v>
      </c>
      <c r="AN17" s="20">
        <v>1</v>
      </c>
      <c r="AO17" s="66">
        <f t="shared" si="1"/>
        <v>46002000</v>
      </c>
      <c r="AP17" s="66">
        <v>9</v>
      </c>
      <c r="AS17" s="66" t="s">
        <v>594</v>
      </c>
      <c r="AT17" s="15">
        <f>INDEX($AP$5:$AP$19,AT15)</f>
        <v>2</v>
      </c>
      <c r="AU17" s="66">
        <v>13</v>
      </c>
      <c r="AV17" s="66">
        <v>7</v>
      </c>
      <c r="AW17" s="22">
        <f t="shared" si="5"/>
        <v>7.0000000000000007E-2</v>
      </c>
      <c r="AX17" s="94">
        <v>3.3</v>
      </c>
      <c r="AY17" s="66">
        <f t="shared" si="6"/>
        <v>640</v>
      </c>
      <c r="AZ17" s="66">
        <f>SUM(AY$5:AY17)</f>
        <v>3550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4" t="s">
        <v>269</v>
      </c>
      <c r="G18" s="34" t="str">
        <f t="shared" si="4"/>
        <v>水修身材料</v>
      </c>
      <c r="H18" s="48">
        <v>1501006</v>
      </c>
      <c r="AF18" s="66" t="s">
        <v>580</v>
      </c>
      <c r="AG18" s="66">
        <v>140</v>
      </c>
      <c r="AH18" s="66">
        <f>章节关卡!H18*节奏总表!L17*60</f>
        <v>81600000</v>
      </c>
      <c r="AI18" s="66">
        <v>14</v>
      </c>
      <c r="AJ18" s="66">
        <f>SUMIFS(章节关卡!$AU$5:$AU$205,章节关卡!$AQ$5:$AQ$205,"="&amp;卡牌消耗!AI18)</f>
        <v>1215000</v>
      </c>
      <c r="AK18" s="66">
        <v>13</v>
      </c>
      <c r="AL18" s="66">
        <f>SUMIFS(章节关卡!$BC$5:$BC$205,章节关卡!$AY$5:$AY$205,"="&amp;卡牌消耗!AK18)</f>
        <v>1836000</v>
      </c>
      <c r="AM18" s="66">
        <f t="shared" si="0"/>
        <v>84651000</v>
      </c>
      <c r="AN18" s="20">
        <v>1</v>
      </c>
      <c r="AO18" s="66">
        <f t="shared" si="1"/>
        <v>84651000</v>
      </c>
      <c r="AP18" s="66">
        <v>9</v>
      </c>
      <c r="AS18" s="16"/>
      <c r="AT18" s="15">
        <f>SUM(AV15:AV24)</f>
        <v>100</v>
      </c>
      <c r="AU18" s="66">
        <v>14</v>
      </c>
      <c r="AV18" s="66">
        <v>8</v>
      </c>
      <c r="AW18" s="22">
        <f t="shared" si="5"/>
        <v>0.08</v>
      </c>
      <c r="AX18" s="94">
        <v>3.4</v>
      </c>
      <c r="AY18" s="66">
        <f t="shared" si="6"/>
        <v>710</v>
      </c>
      <c r="AZ18" s="66">
        <f>SUM(AY$5:AY18)</f>
        <v>4260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4" t="s">
        <v>271</v>
      </c>
      <c r="G19" s="34" t="str">
        <f t="shared" si="4"/>
        <v>风修身材料</v>
      </c>
      <c r="H19" s="48">
        <v>1501007</v>
      </c>
      <c r="AF19" s="66" t="s">
        <v>578</v>
      </c>
      <c r="AG19" s="66">
        <v>150</v>
      </c>
      <c r="AH19" s="66">
        <f>章节关卡!H19*节奏总表!L18*60</f>
        <v>162000000</v>
      </c>
      <c r="AI19" s="66">
        <v>15</v>
      </c>
      <c r="AJ19" s="66">
        <f>SUMIFS(章节关卡!$AU$5:$AU$205,章节关卡!$AQ$5:$AQ$205,"="&amp;卡牌消耗!AI19)</f>
        <v>1687500</v>
      </c>
      <c r="AK19" s="66">
        <v>14</v>
      </c>
      <c r="AL19" s="66">
        <f>SUMIFS(章节关卡!$BC$5:$BC$205,章节关卡!$AY$5:$AY$205,"="&amp;卡牌消耗!AK19)</f>
        <v>2430000</v>
      </c>
      <c r="AM19" s="66">
        <f t="shared" si="0"/>
        <v>166117500</v>
      </c>
      <c r="AN19" s="20">
        <v>1</v>
      </c>
      <c r="AO19" s="66">
        <f t="shared" si="1"/>
        <v>166117500</v>
      </c>
      <c r="AP19" s="66">
        <v>9</v>
      </c>
      <c r="AS19" s="16"/>
      <c r="AT19" s="16"/>
      <c r="AU19" s="66">
        <v>15</v>
      </c>
      <c r="AV19" s="66">
        <v>9</v>
      </c>
      <c r="AW19" s="22">
        <f t="shared" si="5"/>
        <v>0.09</v>
      </c>
      <c r="AX19" s="94">
        <v>3.5</v>
      </c>
      <c r="AY19" s="66">
        <f t="shared" si="6"/>
        <v>775</v>
      </c>
      <c r="AZ19" s="66">
        <f>SUM(AY$5:AY19)</f>
        <v>5035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4" t="s">
        <v>271</v>
      </c>
      <c r="G20" s="34" t="str">
        <f t="shared" si="4"/>
        <v>风修身材料</v>
      </c>
      <c r="H20" s="48">
        <v>1501008</v>
      </c>
      <c r="AS20" s="16"/>
      <c r="AT20" s="16"/>
      <c r="AU20" s="66">
        <v>16</v>
      </c>
      <c r="AV20" s="66">
        <v>11</v>
      </c>
      <c r="AW20" s="22">
        <f t="shared" si="5"/>
        <v>0.11</v>
      </c>
      <c r="AX20" s="94">
        <v>3.6</v>
      </c>
      <c r="AY20" s="66">
        <f t="shared" si="6"/>
        <v>925</v>
      </c>
      <c r="AZ20" s="66">
        <f>SUM(AY$5:AY20)</f>
        <v>5960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4" t="s">
        <v>269</v>
      </c>
      <c r="G21" s="34" t="str">
        <f t="shared" si="4"/>
        <v>水修身材料</v>
      </c>
      <c r="H21" s="48">
        <v>1501009</v>
      </c>
      <c r="AS21" s="16"/>
      <c r="AT21" s="16"/>
      <c r="AU21" s="66">
        <v>17</v>
      </c>
      <c r="AV21" s="66">
        <v>12</v>
      </c>
      <c r="AW21" s="22">
        <f t="shared" si="5"/>
        <v>0.12</v>
      </c>
      <c r="AX21" s="94">
        <v>3.7</v>
      </c>
      <c r="AY21" s="66">
        <f t="shared" si="6"/>
        <v>980</v>
      </c>
      <c r="AZ21" s="66">
        <f>SUM(AY$5:AY21)</f>
        <v>6940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4" t="s">
        <v>272</v>
      </c>
      <c r="G22" s="34" t="str">
        <f t="shared" si="4"/>
        <v>火修身材料</v>
      </c>
      <c r="H22" s="48">
        <v>1501010</v>
      </c>
      <c r="AS22" s="16"/>
      <c r="AT22" s="16"/>
      <c r="AU22" s="66">
        <v>18</v>
      </c>
      <c r="AV22" s="66">
        <v>13</v>
      </c>
      <c r="AW22" s="22">
        <f t="shared" si="5"/>
        <v>0.13</v>
      </c>
      <c r="AX22" s="94">
        <v>3.8</v>
      </c>
      <c r="AY22" s="66">
        <f t="shared" si="6"/>
        <v>1035</v>
      </c>
      <c r="AZ22" s="66">
        <f>SUM(AY$5:AY22)</f>
        <v>7975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4" t="s">
        <v>267</v>
      </c>
      <c r="G23" s="34" t="str">
        <f t="shared" si="4"/>
        <v>火修身材料</v>
      </c>
      <c r="H23" s="48">
        <v>1501011</v>
      </c>
      <c r="AS23" s="16"/>
      <c r="AT23" s="16"/>
      <c r="AU23" s="66">
        <v>19</v>
      </c>
      <c r="AV23" s="66">
        <v>14</v>
      </c>
      <c r="AW23" s="22">
        <f t="shared" si="5"/>
        <v>0.14000000000000001</v>
      </c>
      <c r="AX23" s="94">
        <v>3.9</v>
      </c>
      <c r="AY23" s="66">
        <f t="shared" si="6"/>
        <v>1085</v>
      </c>
      <c r="AZ23" s="66">
        <f>SUM(AY$5:AY23)</f>
        <v>9060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4" t="s">
        <v>268</v>
      </c>
      <c r="G24" s="34" t="str">
        <f t="shared" si="4"/>
        <v>雷修身材料</v>
      </c>
      <c r="H24" s="48">
        <v>1501012</v>
      </c>
      <c r="AS24" s="16"/>
      <c r="AT24" s="16"/>
      <c r="AU24" s="66">
        <v>20</v>
      </c>
      <c r="AV24" s="66">
        <v>15</v>
      </c>
      <c r="AW24" s="22">
        <f t="shared" si="5"/>
        <v>0.15</v>
      </c>
      <c r="AX24" s="94">
        <v>4</v>
      </c>
      <c r="AY24" s="66">
        <f t="shared" si="6"/>
        <v>1135</v>
      </c>
      <c r="AZ24" s="66">
        <f>SUM(AY$5:AY24)</f>
        <v>10195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4" t="s">
        <v>269</v>
      </c>
      <c r="G25" s="34" t="str">
        <f t="shared" si="4"/>
        <v>水修身材料</v>
      </c>
      <c r="H25" s="48">
        <v>1501013</v>
      </c>
      <c r="AS25" s="66" t="s">
        <v>596</v>
      </c>
      <c r="AT25" s="66">
        <v>3</v>
      </c>
      <c r="AU25" s="66">
        <v>21</v>
      </c>
      <c r="AV25" s="66">
        <v>10</v>
      </c>
      <c r="AW25" s="22">
        <f>AV25/AT$28</f>
        <v>6.8493150684931503E-2</v>
      </c>
      <c r="AX25" s="94">
        <v>4.0999999999999996</v>
      </c>
      <c r="AY25" s="66">
        <f>INT(AT$26*AW25/AX25/5)*5</f>
        <v>1315</v>
      </c>
      <c r="AZ25" s="66">
        <f>SUM(AY$5:AY25)</f>
        <v>11510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4" t="s">
        <v>270</v>
      </c>
      <c r="G26" s="34" t="str">
        <f t="shared" si="4"/>
        <v>土修身材料</v>
      </c>
      <c r="H26" s="48">
        <v>1501014</v>
      </c>
      <c r="AS26" s="15" t="str">
        <f>INDEX($AF$5:$AF$19,AT25)</f>
        <v>20~30</v>
      </c>
      <c r="AT26" s="15">
        <f>INDEX($AO$5:$AO$19,AT25)</f>
        <v>78718</v>
      </c>
      <c r="AU26" s="66">
        <v>22</v>
      </c>
      <c r="AV26" s="66">
        <v>11</v>
      </c>
      <c r="AW26" s="22">
        <f t="shared" ref="AW26:AW34" si="7">AV26/AT$28</f>
        <v>7.5342465753424653E-2</v>
      </c>
      <c r="AX26" s="94">
        <v>4.2</v>
      </c>
      <c r="AY26" s="66">
        <f t="shared" ref="AY26:AY34" si="8">INT(AT$26*AW26/AX26/5)*5</f>
        <v>1410</v>
      </c>
      <c r="AZ26" s="66">
        <f>SUM(AY$5:AY26)</f>
        <v>12920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4" t="s">
        <v>267</v>
      </c>
      <c r="G27" s="34" t="str">
        <f t="shared" si="4"/>
        <v>火修身材料</v>
      </c>
      <c r="H27" s="48">
        <v>1501015</v>
      </c>
      <c r="AS27" s="66" t="s">
        <v>594</v>
      </c>
      <c r="AT27" s="15">
        <f>INDEX($AP$5:$AP$19,AT25)</f>
        <v>3</v>
      </c>
      <c r="AU27" s="66">
        <v>23</v>
      </c>
      <c r="AV27" s="66">
        <v>12</v>
      </c>
      <c r="AW27" s="22">
        <f t="shared" si="7"/>
        <v>8.2191780821917804E-2</v>
      </c>
      <c r="AX27" s="94">
        <v>4.3</v>
      </c>
      <c r="AY27" s="66">
        <f t="shared" si="8"/>
        <v>1500</v>
      </c>
      <c r="AZ27" s="66">
        <f>SUM(AY$5:AY27)</f>
        <v>14420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4" t="s">
        <v>273</v>
      </c>
      <c r="G28" s="34" t="str">
        <f t="shared" si="4"/>
        <v>火修身材料</v>
      </c>
      <c r="H28" s="48">
        <v>1501016</v>
      </c>
      <c r="AS28" s="16"/>
      <c r="AT28" s="15">
        <f>SUM(AV25:AV34)</f>
        <v>146</v>
      </c>
      <c r="AU28" s="66">
        <v>24</v>
      </c>
      <c r="AV28" s="66">
        <v>13</v>
      </c>
      <c r="AW28" s="22">
        <f t="shared" si="7"/>
        <v>8.9041095890410954E-2</v>
      </c>
      <c r="AX28" s="94">
        <v>4.4000000000000004</v>
      </c>
      <c r="AY28" s="66">
        <f t="shared" si="8"/>
        <v>1590</v>
      </c>
      <c r="AZ28" s="66">
        <f>SUM(AY$5:AY28)</f>
        <v>16010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4" t="s">
        <v>274</v>
      </c>
      <c r="G29" s="34" t="str">
        <f t="shared" si="4"/>
        <v>雷修身材料</v>
      </c>
      <c r="H29" s="48">
        <v>1501017</v>
      </c>
      <c r="AS29" s="16"/>
      <c r="AT29" s="16"/>
      <c r="AU29" s="66">
        <v>25</v>
      </c>
      <c r="AV29" s="66">
        <v>14</v>
      </c>
      <c r="AW29" s="22">
        <f t="shared" si="7"/>
        <v>9.5890410958904104E-2</v>
      </c>
      <c r="AX29" s="94">
        <v>4.5</v>
      </c>
      <c r="AY29" s="66">
        <f t="shared" si="8"/>
        <v>1675</v>
      </c>
      <c r="AZ29" s="66">
        <f>SUM(AY$5:AY29)</f>
        <v>17685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4" t="s">
        <v>275</v>
      </c>
      <c r="G30" s="34" t="str">
        <f t="shared" si="4"/>
        <v>风修身材料</v>
      </c>
      <c r="H30" s="48">
        <v>1501018</v>
      </c>
      <c r="AS30" s="16"/>
      <c r="AT30" s="16"/>
      <c r="AU30" s="66">
        <v>26</v>
      </c>
      <c r="AV30" s="66">
        <v>15</v>
      </c>
      <c r="AW30" s="22">
        <f t="shared" si="7"/>
        <v>0.10273972602739725</v>
      </c>
      <c r="AX30" s="94">
        <v>4.5999999999999996</v>
      </c>
      <c r="AY30" s="66">
        <f t="shared" si="8"/>
        <v>1755</v>
      </c>
      <c r="AZ30" s="66">
        <f>SUM(AY$5:AY30)</f>
        <v>19440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4" t="s">
        <v>269</v>
      </c>
      <c r="G31" s="34" t="str">
        <f t="shared" si="4"/>
        <v>水修身材料</v>
      </c>
      <c r="H31" s="48">
        <v>1501019</v>
      </c>
      <c r="AS31" s="16"/>
      <c r="AT31" s="16"/>
      <c r="AU31" s="66">
        <v>27</v>
      </c>
      <c r="AV31" s="66">
        <v>16</v>
      </c>
      <c r="AW31" s="22">
        <f t="shared" si="7"/>
        <v>0.1095890410958904</v>
      </c>
      <c r="AX31" s="94">
        <v>4.7</v>
      </c>
      <c r="AY31" s="66">
        <f t="shared" si="8"/>
        <v>1835</v>
      </c>
      <c r="AZ31" s="66">
        <f>SUM(AY$5:AY31)</f>
        <v>21275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4" t="s">
        <v>276</v>
      </c>
      <c r="G32" s="34" t="str">
        <f t="shared" si="4"/>
        <v>火修身材料</v>
      </c>
      <c r="H32" s="48">
        <v>1501020</v>
      </c>
      <c r="AU32" s="66">
        <v>28</v>
      </c>
      <c r="AV32" s="66">
        <v>17</v>
      </c>
      <c r="AW32" s="22">
        <f t="shared" si="7"/>
        <v>0.11643835616438356</v>
      </c>
      <c r="AX32" s="94">
        <v>4.8</v>
      </c>
      <c r="AY32" s="66">
        <f t="shared" si="8"/>
        <v>1905</v>
      </c>
      <c r="AZ32" s="66">
        <f>SUM(AY$5:AY32)</f>
        <v>23180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4" t="s">
        <v>270</v>
      </c>
      <c r="G33" s="34" t="str">
        <f t="shared" si="4"/>
        <v>土修身材料</v>
      </c>
      <c r="H33" s="48">
        <v>1501021</v>
      </c>
      <c r="AU33" s="66">
        <v>29</v>
      </c>
      <c r="AV33" s="66">
        <v>18</v>
      </c>
      <c r="AW33" s="22">
        <f t="shared" si="7"/>
        <v>0.12328767123287671</v>
      </c>
      <c r="AX33" s="94">
        <v>4.9000000000000004</v>
      </c>
      <c r="AY33" s="66">
        <f t="shared" si="8"/>
        <v>1980</v>
      </c>
      <c r="AZ33" s="66">
        <f>SUM(AY$5:AY33)</f>
        <v>25160</v>
      </c>
    </row>
    <row r="34" spans="1:52" ht="16.5" x14ac:dyDescent="0.2">
      <c r="A34" s="15">
        <v>1102050</v>
      </c>
      <c r="B34" s="15" t="s">
        <v>815</v>
      </c>
      <c r="C34" s="15">
        <v>2</v>
      </c>
      <c r="D34" s="15">
        <v>50</v>
      </c>
      <c r="E34" s="15">
        <v>3</v>
      </c>
      <c r="F34" s="91" t="s">
        <v>269</v>
      </c>
      <c r="G34" s="91" t="str">
        <f t="shared" si="4"/>
        <v>水修身材料</v>
      </c>
      <c r="H34" s="85">
        <v>1501050</v>
      </c>
      <c r="AU34" s="66">
        <v>30</v>
      </c>
      <c r="AV34" s="66">
        <v>20</v>
      </c>
      <c r="AW34" s="22">
        <f t="shared" si="7"/>
        <v>0.13698630136986301</v>
      </c>
      <c r="AX34" s="94">
        <v>5</v>
      </c>
      <c r="AY34" s="66">
        <f t="shared" si="8"/>
        <v>2155</v>
      </c>
      <c r="AZ34" s="66">
        <f>SUM(AY$5:AY34)</f>
        <v>27315</v>
      </c>
    </row>
    <row r="35" spans="1:52" ht="16.5" x14ac:dyDescent="0.2">
      <c r="AS35" s="66" t="s">
        <v>596</v>
      </c>
      <c r="AT35" s="66">
        <v>4</v>
      </c>
      <c r="AU35" s="66">
        <v>31</v>
      </c>
      <c r="AV35" s="66">
        <v>8</v>
      </c>
      <c r="AW35" s="22">
        <f>AV35/AT$38</f>
        <v>6.4000000000000001E-2</v>
      </c>
      <c r="AX35" s="94">
        <v>5.0999999999999996</v>
      </c>
      <c r="AY35" s="66">
        <f>INT(AT$36*AW35/AX35)</f>
        <v>2505</v>
      </c>
      <c r="AZ35" s="66">
        <f>SUM(AY$5:AY35)</f>
        <v>29820</v>
      </c>
    </row>
    <row r="36" spans="1:52" ht="20.25" x14ac:dyDescent="0.2">
      <c r="I36" s="115" t="s">
        <v>307</v>
      </c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W36" s="115" t="s">
        <v>796</v>
      </c>
      <c r="X36" s="115"/>
      <c r="Y36" s="115"/>
      <c r="Z36" s="115"/>
      <c r="AA36" s="115"/>
      <c r="AB36" s="115"/>
      <c r="AC36" s="115"/>
      <c r="AD36" s="115"/>
      <c r="AS36" s="15" t="str">
        <f>INDEX($AF$5:$AF$19,AT35)</f>
        <v>30~40</v>
      </c>
      <c r="AT36" s="15">
        <f>INDEX($AO$5:$AO$19,AT35)</f>
        <v>199620</v>
      </c>
      <c r="AU36" s="66">
        <v>32</v>
      </c>
      <c r="AV36" s="66">
        <v>9</v>
      </c>
      <c r="AW36" s="22">
        <f>AV36/AT$38</f>
        <v>7.1999999999999995E-2</v>
      </c>
      <c r="AX36" s="94">
        <v>5.2</v>
      </c>
      <c r="AY36" s="66">
        <f>INT(AT$36*AW36/AX36)</f>
        <v>2763</v>
      </c>
      <c r="AZ36" s="66">
        <f>SUM(AY$5:AY36)</f>
        <v>32583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818</v>
      </c>
      <c r="Y37" s="12" t="s">
        <v>300</v>
      </c>
      <c r="Z37" s="12" t="s">
        <v>816</v>
      </c>
      <c r="AA37" s="12" t="s">
        <v>792</v>
      </c>
      <c r="AB37" s="12" t="s">
        <v>793</v>
      </c>
      <c r="AC37" s="12" t="s">
        <v>794</v>
      </c>
      <c r="AD37" s="12" t="s">
        <v>795</v>
      </c>
      <c r="AS37" s="66" t="s">
        <v>594</v>
      </c>
      <c r="AT37" s="15">
        <f>INDEX($AP$5:$AP$19,AT35)</f>
        <v>3</v>
      </c>
      <c r="AU37" s="66">
        <v>33</v>
      </c>
      <c r="AV37" s="66">
        <v>10</v>
      </c>
      <c r="AW37" s="22">
        <f>AV37/AT$38</f>
        <v>0.08</v>
      </c>
      <c r="AX37" s="94">
        <v>5.3</v>
      </c>
      <c r="AY37" s="66">
        <f>INT(AT$36*AW37/AX37)</f>
        <v>3013</v>
      </c>
      <c r="AZ37" s="66">
        <f>SUM(AY$5:AY37)</f>
        <v>35596</v>
      </c>
    </row>
    <row r="38" spans="1:52" ht="16.5" x14ac:dyDescent="0.2">
      <c r="A38" s="83">
        <v>1101001</v>
      </c>
      <c r="B38" s="83" t="s">
        <v>800</v>
      </c>
      <c r="C38" s="83">
        <v>3</v>
      </c>
      <c r="I38" s="34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83">
        <v>1</v>
      </c>
      <c r="X38" s="83">
        <f>INT((W38-1)/5+1)</f>
        <v>1</v>
      </c>
      <c r="Y38" s="83">
        <f>INDEX($A$38:$A$75,X38)</f>
        <v>1101001</v>
      </c>
      <c r="Z38" s="83">
        <f>MOD(W38-1,5)+1</f>
        <v>1</v>
      </c>
      <c r="AA38" s="83" t="s">
        <v>817</v>
      </c>
      <c r="AB38" s="15">
        <f>INDEX($N$13:$Q$17,Z38,INDEX($C$38:$C$75,X38)-1)</f>
        <v>0</v>
      </c>
      <c r="AC38" s="83" t="str">
        <f>INDEX($B$38:$B$75,X38)&amp;"碎片"</f>
        <v>常服曹焱兵碎片</v>
      </c>
      <c r="AD38" s="15">
        <f t="shared" ref="AD38:AD69" si="9">INDEX($N$5:$Q$9,Z38,INDEX($C$38:$C$75,X38)-1)</f>
        <v>40</v>
      </c>
      <c r="AS38" s="16"/>
      <c r="AT38" s="15">
        <f>SUM(AV35:AV44)</f>
        <v>125</v>
      </c>
      <c r="AU38" s="66">
        <v>34</v>
      </c>
      <c r="AV38" s="66">
        <v>11</v>
      </c>
      <c r="AW38" s="22">
        <f>AV38/AT$38</f>
        <v>8.7999999999999995E-2</v>
      </c>
      <c r="AX38" s="94">
        <v>5.4</v>
      </c>
      <c r="AY38" s="66">
        <f>INT(AT$36*AW38/AX38)</f>
        <v>3253</v>
      </c>
      <c r="AZ38" s="66">
        <f>SUM(AY$5:AY38)</f>
        <v>38849</v>
      </c>
    </row>
    <row r="39" spans="1:52" ht="16.5" x14ac:dyDescent="0.2">
      <c r="A39" s="83">
        <v>1101002</v>
      </c>
      <c r="B39" s="83" t="s">
        <v>801</v>
      </c>
      <c r="C39" s="83">
        <v>2</v>
      </c>
      <c r="I39" s="34">
        <v>2</v>
      </c>
      <c r="J39" s="15">
        <f t="shared" ref="J39:J102" si="10">INDEX($A$13:$A$34,INT((I39-1)/21)+1)</f>
        <v>1102001</v>
      </c>
      <c r="K39" s="15">
        <f t="shared" ref="K39:K102" si="11">VLOOKUP(J39,$A$13:$D$34,3)</f>
        <v>5</v>
      </c>
      <c r="L39" s="15">
        <f t="shared" ref="L39:L102" si="12">MOD((I39-1),21)+1</f>
        <v>2</v>
      </c>
      <c r="M39" s="15" t="str">
        <f t="shared" ref="M39:M102" si="13">INDEX($J$2:$L$2,INDEX($E$13:$E$34,INT((I39-1)/21)+1))</f>
        <v>蓝</v>
      </c>
      <c r="N39" s="15" t="str">
        <f t="shared" ref="N39:N102" si="14">IF(L39&gt;1,"金币","")</f>
        <v>金币</v>
      </c>
      <c r="O39" s="15">
        <f>IF(L39&gt;1,INDEX(挂机升级突破!$AI$35:$AI$55,卡牌消耗!L39),"")</f>
        <v>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83">
        <v>2</v>
      </c>
      <c r="X39" s="83">
        <f t="shared" ref="X39:X102" si="15">INT((W39-1)/5+1)</f>
        <v>1</v>
      </c>
      <c r="Y39" s="83">
        <f t="shared" ref="Y39:Y102" si="16">INDEX($A$38:$A$75,X39)</f>
        <v>1101001</v>
      </c>
      <c r="Z39" s="83">
        <f t="shared" ref="Z39:Z102" si="17">MOD(W39-1,5)+1</f>
        <v>2</v>
      </c>
      <c r="AA39" s="83" t="s">
        <v>817</v>
      </c>
      <c r="AB39" s="15">
        <f t="shared" ref="AB39:AB102" si="18">INDEX($N$13:$Q$17,Z39,INDEX($C$38:$C$75,X39)-1)</f>
        <v>0</v>
      </c>
      <c r="AC39" s="83" t="str">
        <f t="shared" ref="AC39:AC102" si="19">INDEX($B$38:$B$75,X39)&amp;"碎片"</f>
        <v>常服曹焱兵碎片</v>
      </c>
      <c r="AD39" s="15">
        <f t="shared" si="9"/>
        <v>80</v>
      </c>
      <c r="AU39" s="66">
        <v>35</v>
      </c>
      <c r="AV39" s="66">
        <v>12</v>
      </c>
      <c r="AW39" s="22">
        <f>AV39/AT$38</f>
        <v>9.6000000000000002E-2</v>
      </c>
      <c r="AX39" s="94">
        <v>5.5</v>
      </c>
      <c r="AY39" s="66">
        <f>INT(AT$36*AW39/AX39)</f>
        <v>3484</v>
      </c>
      <c r="AZ39" s="66">
        <f>SUM(AY$5:AY39)</f>
        <v>42333</v>
      </c>
    </row>
    <row r="40" spans="1:52" ht="16.5" x14ac:dyDescent="0.2">
      <c r="A40" s="83">
        <v>1101003</v>
      </c>
      <c r="B40" s="83" t="s">
        <v>802</v>
      </c>
      <c r="C40" s="83">
        <v>3</v>
      </c>
      <c r="I40" s="34">
        <v>3</v>
      </c>
      <c r="J40" s="15">
        <f t="shared" si="10"/>
        <v>1102001</v>
      </c>
      <c r="K40" s="15">
        <f t="shared" si="11"/>
        <v>5</v>
      </c>
      <c r="L40" s="15">
        <f t="shared" si="12"/>
        <v>3</v>
      </c>
      <c r="M40" s="15" t="str">
        <f t="shared" si="13"/>
        <v>蓝</v>
      </c>
      <c r="N40" s="15" t="str">
        <f t="shared" si="14"/>
        <v>金币</v>
      </c>
      <c r="O40" s="15">
        <f>IF(L40&gt;1,INDEX(挂机升级突破!$AI$35:$AI$55,卡牌消耗!L40),"")</f>
        <v>2500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83">
        <v>3</v>
      </c>
      <c r="X40" s="83">
        <f t="shared" si="15"/>
        <v>1</v>
      </c>
      <c r="Y40" s="83">
        <f t="shared" si="16"/>
        <v>1101001</v>
      </c>
      <c r="Z40" s="83">
        <f t="shared" si="17"/>
        <v>3</v>
      </c>
      <c r="AA40" s="83" t="s">
        <v>817</v>
      </c>
      <c r="AB40" s="15">
        <f t="shared" si="18"/>
        <v>0</v>
      </c>
      <c r="AC40" s="83" t="str">
        <f t="shared" si="19"/>
        <v>常服曹焱兵碎片</v>
      </c>
      <c r="AD40" s="15">
        <f t="shared" si="9"/>
        <v>120</v>
      </c>
      <c r="AU40" s="66">
        <v>36</v>
      </c>
      <c r="AV40" s="66">
        <v>13</v>
      </c>
      <c r="AW40" s="22">
        <f>AV40/AT$38</f>
        <v>0.104</v>
      </c>
      <c r="AX40" s="94">
        <v>5.6</v>
      </c>
      <c r="AY40" s="66">
        <f>INT(AT$36*AW40/AX40)</f>
        <v>3707</v>
      </c>
      <c r="AZ40" s="66">
        <f>SUM(AY$5:AY40)</f>
        <v>46040</v>
      </c>
    </row>
    <row r="41" spans="1:52" ht="16.5" x14ac:dyDescent="0.2">
      <c r="A41" s="83">
        <v>1101004</v>
      </c>
      <c r="B41" s="83" t="s">
        <v>803</v>
      </c>
      <c r="C41" s="83">
        <v>4</v>
      </c>
      <c r="I41" s="34">
        <v>4</v>
      </c>
      <c r="J41" s="15">
        <f t="shared" si="10"/>
        <v>1102001</v>
      </c>
      <c r="K41" s="15">
        <f t="shared" si="11"/>
        <v>5</v>
      </c>
      <c r="L41" s="15">
        <f t="shared" si="12"/>
        <v>4</v>
      </c>
      <c r="M41" s="15" t="str">
        <f t="shared" si="13"/>
        <v>蓝</v>
      </c>
      <c r="N41" s="15" t="str">
        <f t="shared" si="14"/>
        <v>金币</v>
      </c>
      <c r="O41" s="15">
        <f>IF(L41&gt;1,INDEX(挂机升级突破!$AI$35:$AI$55,卡牌消耗!L41),"")</f>
        <v>5500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83">
        <v>4</v>
      </c>
      <c r="X41" s="83">
        <f t="shared" si="15"/>
        <v>1</v>
      </c>
      <c r="Y41" s="83">
        <f t="shared" si="16"/>
        <v>1101001</v>
      </c>
      <c r="Z41" s="83">
        <f t="shared" si="17"/>
        <v>4</v>
      </c>
      <c r="AA41" s="83" t="s">
        <v>817</v>
      </c>
      <c r="AB41" s="15">
        <f t="shared" si="18"/>
        <v>0</v>
      </c>
      <c r="AC41" s="83" t="str">
        <f t="shared" si="19"/>
        <v>常服曹焱兵碎片</v>
      </c>
      <c r="AD41" s="15">
        <f t="shared" si="9"/>
        <v>160</v>
      </c>
      <c r="AU41" s="66">
        <v>37</v>
      </c>
      <c r="AV41" s="66">
        <v>14</v>
      </c>
      <c r="AW41" s="22">
        <f>AV41/AT$38</f>
        <v>0.112</v>
      </c>
      <c r="AX41" s="94">
        <v>5.7</v>
      </c>
      <c r="AY41" s="66">
        <f>INT(AT$36*AW41/AX41)</f>
        <v>3922</v>
      </c>
      <c r="AZ41" s="66">
        <f>SUM(AY$5:AY41)</f>
        <v>49962</v>
      </c>
    </row>
    <row r="42" spans="1:52" ht="16.5" x14ac:dyDescent="0.2">
      <c r="A42" s="83">
        <v>1101005</v>
      </c>
      <c r="B42" s="83" t="s">
        <v>804</v>
      </c>
      <c r="C42" s="83">
        <v>4</v>
      </c>
      <c r="I42" s="34">
        <v>5</v>
      </c>
      <c r="J42" s="15">
        <f t="shared" si="10"/>
        <v>1102001</v>
      </c>
      <c r="K42" s="15">
        <f t="shared" si="11"/>
        <v>5</v>
      </c>
      <c r="L42" s="15">
        <f t="shared" si="12"/>
        <v>5</v>
      </c>
      <c r="M42" s="15" t="str">
        <f t="shared" si="13"/>
        <v>蓝</v>
      </c>
      <c r="N42" s="15" t="str">
        <f t="shared" si="14"/>
        <v>金币</v>
      </c>
      <c r="O42" s="15">
        <f>IF(L42&gt;1,INDEX(挂机升级突破!$AI$35:$AI$55,卡牌消耗!L42),"")</f>
        <v>7500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83">
        <v>5</v>
      </c>
      <c r="X42" s="83">
        <f t="shared" si="15"/>
        <v>1</v>
      </c>
      <c r="Y42" s="83">
        <f t="shared" si="16"/>
        <v>1101001</v>
      </c>
      <c r="Z42" s="83">
        <f t="shared" si="17"/>
        <v>5</v>
      </c>
      <c r="AA42" s="83" t="s">
        <v>817</v>
      </c>
      <c r="AB42" s="15">
        <f t="shared" si="18"/>
        <v>0</v>
      </c>
      <c r="AC42" s="83" t="str">
        <f t="shared" si="19"/>
        <v>常服曹焱兵碎片</v>
      </c>
      <c r="AD42" s="15">
        <f t="shared" si="9"/>
        <v>240</v>
      </c>
      <c r="AU42" s="66">
        <v>38</v>
      </c>
      <c r="AV42" s="66">
        <v>15</v>
      </c>
      <c r="AW42" s="22">
        <f>AV42/AT$38</f>
        <v>0.12</v>
      </c>
      <c r="AX42" s="94">
        <v>5.8</v>
      </c>
      <c r="AY42" s="66">
        <f>INT(AT$36*AW42/AX42)</f>
        <v>4130</v>
      </c>
      <c r="AZ42" s="66">
        <f>SUM(AY$5:AY42)</f>
        <v>54092</v>
      </c>
    </row>
    <row r="43" spans="1:52" ht="16.5" x14ac:dyDescent="0.2">
      <c r="A43" s="83">
        <v>1101006</v>
      </c>
      <c r="B43" s="83" t="s">
        <v>805</v>
      </c>
      <c r="C43" s="83">
        <v>4</v>
      </c>
      <c r="I43" s="34">
        <v>6</v>
      </c>
      <c r="J43" s="15">
        <f t="shared" si="10"/>
        <v>1102001</v>
      </c>
      <c r="K43" s="15">
        <f t="shared" si="11"/>
        <v>5</v>
      </c>
      <c r="L43" s="15">
        <f t="shared" si="12"/>
        <v>6</v>
      </c>
      <c r="M43" s="15" t="str">
        <f t="shared" si="13"/>
        <v>蓝</v>
      </c>
      <c r="N43" s="15" t="str">
        <f t="shared" si="14"/>
        <v>金币</v>
      </c>
      <c r="O43" s="15">
        <f>IF(L43&gt;1,INDEX(挂机升级突破!$AI$35:$AI$55,卡牌消耗!L43),"")</f>
        <v>17500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83">
        <v>6</v>
      </c>
      <c r="X43" s="83">
        <f t="shared" si="15"/>
        <v>2</v>
      </c>
      <c r="Y43" s="83">
        <f t="shared" si="16"/>
        <v>1101002</v>
      </c>
      <c r="Z43" s="83">
        <f t="shared" si="17"/>
        <v>1</v>
      </c>
      <c r="AA43" s="83" t="s">
        <v>817</v>
      </c>
      <c r="AB43" s="15">
        <f t="shared" si="18"/>
        <v>0</v>
      </c>
      <c r="AC43" s="83" t="str">
        <f t="shared" si="19"/>
        <v>曹玄亮碎片</v>
      </c>
      <c r="AD43" s="15">
        <f t="shared" si="9"/>
        <v>20</v>
      </c>
      <c r="AU43" s="66">
        <v>39</v>
      </c>
      <c r="AV43" s="66">
        <v>16</v>
      </c>
      <c r="AW43" s="22">
        <f>AV43/AT$38</f>
        <v>0.128</v>
      </c>
      <c r="AX43" s="94">
        <v>5.9</v>
      </c>
      <c r="AY43" s="66">
        <f>INT(AT$36*AW43/AX43)</f>
        <v>4330</v>
      </c>
      <c r="AZ43" s="66">
        <f>SUM(AY$5:AY43)</f>
        <v>58422</v>
      </c>
    </row>
    <row r="44" spans="1:52" ht="16.5" x14ac:dyDescent="0.2">
      <c r="A44" s="83">
        <v>1101007</v>
      </c>
      <c r="B44" s="83" t="s">
        <v>806</v>
      </c>
      <c r="C44" s="83">
        <v>4</v>
      </c>
      <c r="I44" s="34">
        <v>7</v>
      </c>
      <c r="J44" s="15">
        <f t="shared" si="10"/>
        <v>1102001</v>
      </c>
      <c r="K44" s="15">
        <f t="shared" si="11"/>
        <v>5</v>
      </c>
      <c r="L44" s="15">
        <f t="shared" si="12"/>
        <v>7</v>
      </c>
      <c r="M44" s="15" t="str">
        <f t="shared" si="13"/>
        <v>蓝</v>
      </c>
      <c r="N44" s="15" t="str">
        <f t="shared" si="14"/>
        <v>金币</v>
      </c>
      <c r="O44" s="15">
        <f>IF(L44&gt;1,INDEX(挂机升级突破!$AI$35:$AI$55,卡牌消耗!L44),"")</f>
        <v>19500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83">
        <v>7</v>
      </c>
      <c r="X44" s="83">
        <f t="shared" si="15"/>
        <v>2</v>
      </c>
      <c r="Y44" s="83">
        <f t="shared" si="16"/>
        <v>1101002</v>
      </c>
      <c r="Z44" s="83">
        <f t="shared" si="17"/>
        <v>2</v>
      </c>
      <c r="AA44" s="83" t="s">
        <v>817</v>
      </c>
      <c r="AB44" s="15">
        <f t="shared" si="18"/>
        <v>0</v>
      </c>
      <c r="AC44" s="83" t="str">
        <f t="shared" si="19"/>
        <v>曹玄亮碎片</v>
      </c>
      <c r="AD44" s="15">
        <f t="shared" si="9"/>
        <v>40</v>
      </c>
      <c r="AU44" s="66">
        <v>40</v>
      </c>
      <c r="AV44" s="66">
        <v>17</v>
      </c>
      <c r="AW44" s="22">
        <f>AV44/AT$38</f>
        <v>0.13600000000000001</v>
      </c>
      <c r="AX44" s="94">
        <v>6</v>
      </c>
      <c r="AY44" s="66">
        <f>INT(AT$36*AW44/AX44)</f>
        <v>4524</v>
      </c>
      <c r="AZ44" s="66">
        <f>SUM(AY$5:AY44)</f>
        <v>62946</v>
      </c>
    </row>
    <row r="45" spans="1:52" ht="16.5" x14ac:dyDescent="0.2">
      <c r="A45" s="83">
        <v>1101008</v>
      </c>
      <c r="B45" s="83" t="s">
        <v>807</v>
      </c>
      <c r="C45" s="83">
        <v>2</v>
      </c>
      <c r="I45" s="34">
        <v>8</v>
      </c>
      <c r="J45" s="15">
        <f t="shared" si="10"/>
        <v>1102001</v>
      </c>
      <c r="K45" s="15">
        <f t="shared" si="11"/>
        <v>5</v>
      </c>
      <c r="L45" s="15">
        <f t="shared" si="12"/>
        <v>8</v>
      </c>
      <c r="M45" s="15" t="str">
        <f t="shared" si="13"/>
        <v>蓝</v>
      </c>
      <c r="N45" s="15" t="str">
        <f t="shared" si="14"/>
        <v>金币</v>
      </c>
      <c r="O45" s="15">
        <f>IF(L45&gt;1,INDEX(挂机升级突破!$AI$35:$AI$55,卡牌消耗!L45),"")</f>
        <v>22000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83">
        <v>8</v>
      </c>
      <c r="X45" s="83">
        <f t="shared" si="15"/>
        <v>2</v>
      </c>
      <c r="Y45" s="83">
        <f t="shared" si="16"/>
        <v>1101002</v>
      </c>
      <c r="Z45" s="83">
        <f t="shared" si="17"/>
        <v>3</v>
      </c>
      <c r="AA45" s="83" t="s">
        <v>817</v>
      </c>
      <c r="AB45" s="15">
        <f t="shared" si="18"/>
        <v>0</v>
      </c>
      <c r="AC45" s="83" t="str">
        <f t="shared" si="19"/>
        <v>曹玄亮碎片</v>
      </c>
      <c r="AD45" s="15">
        <f t="shared" si="9"/>
        <v>80</v>
      </c>
      <c r="AS45" s="66" t="s">
        <v>596</v>
      </c>
      <c r="AT45" s="66">
        <v>5</v>
      </c>
      <c r="AU45" s="66">
        <v>41</v>
      </c>
      <c r="AV45" s="66">
        <v>10</v>
      </c>
      <c r="AW45" s="22">
        <f>AV45/AT$48</f>
        <v>6.8493150684931503E-2</v>
      </c>
      <c r="AX45" s="94">
        <v>6.1</v>
      </c>
      <c r="AY45" s="66">
        <f>INT(AT$46*AW45/AX45)</f>
        <v>4839</v>
      </c>
      <c r="AZ45" s="66">
        <f>SUM(AY$5:AY45)</f>
        <v>67785</v>
      </c>
    </row>
    <row r="46" spans="1:52" ht="16.5" x14ac:dyDescent="0.2">
      <c r="A46" s="83">
        <v>1101009</v>
      </c>
      <c r="B46" s="83" t="s">
        <v>808</v>
      </c>
      <c r="C46" s="83">
        <v>3</v>
      </c>
      <c r="I46" s="34">
        <v>9</v>
      </c>
      <c r="J46" s="15">
        <f t="shared" si="10"/>
        <v>1102001</v>
      </c>
      <c r="K46" s="15">
        <f t="shared" si="11"/>
        <v>5</v>
      </c>
      <c r="L46" s="15">
        <f t="shared" si="12"/>
        <v>9</v>
      </c>
      <c r="M46" s="15" t="str">
        <f t="shared" si="13"/>
        <v>蓝</v>
      </c>
      <c r="N46" s="15" t="str">
        <f t="shared" si="14"/>
        <v>金币</v>
      </c>
      <c r="O46" s="15">
        <f>IF(L46&gt;1,INDEX(挂机升级突破!$AI$35:$AI$55,卡牌消耗!L46),"")</f>
        <v>25000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83">
        <v>9</v>
      </c>
      <c r="X46" s="83">
        <f t="shared" si="15"/>
        <v>2</v>
      </c>
      <c r="Y46" s="83">
        <f t="shared" si="16"/>
        <v>1101002</v>
      </c>
      <c r="Z46" s="83">
        <f t="shared" si="17"/>
        <v>4</v>
      </c>
      <c r="AA46" s="83" t="s">
        <v>817</v>
      </c>
      <c r="AB46" s="15">
        <f t="shared" si="18"/>
        <v>0</v>
      </c>
      <c r="AC46" s="83" t="str">
        <f t="shared" si="19"/>
        <v>曹玄亮碎片</v>
      </c>
      <c r="AD46" s="15">
        <f t="shared" si="9"/>
        <v>120</v>
      </c>
      <c r="AS46" s="15" t="str">
        <f>INDEX($AF$5:$AF$19,AT45)</f>
        <v>40~50</v>
      </c>
      <c r="AT46" s="15">
        <f>INDEX($AO$5:$AO$19,AT45)</f>
        <v>431040</v>
      </c>
      <c r="AU46" s="66">
        <v>42</v>
      </c>
      <c r="AV46" s="66">
        <v>11</v>
      </c>
      <c r="AW46" s="22">
        <f>AV46/AT$48</f>
        <v>7.5342465753424653E-2</v>
      </c>
      <c r="AX46" s="94">
        <v>6.2</v>
      </c>
      <c r="AY46" s="66">
        <f>INT(AT$46*AW46/AX46)</f>
        <v>5238</v>
      </c>
      <c r="AZ46" s="66">
        <f>SUM(AY$5:AY46)</f>
        <v>73023</v>
      </c>
    </row>
    <row r="47" spans="1:52" ht="16.5" x14ac:dyDescent="0.2">
      <c r="A47" s="83">
        <v>1101010</v>
      </c>
      <c r="B47" s="83" t="s">
        <v>809</v>
      </c>
      <c r="C47" s="83">
        <v>4</v>
      </c>
      <c r="I47" s="34">
        <v>10</v>
      </c>
      <c r="J47" s="15">
        <f t="shared" si="10"/>
        <v>1102001</v>
      </c>
      <c r="K47" s="15">
        <f t="shared" si="11"/>
        <v>5</v>
      </c>
      <c r="L47" s="15">
        <f t="shared" si="12"/>
        <v>10</v>
      </c>
      <c r="M47" s="15" t="str">
        <f t="shared" si="13"/>
        <v>蓝</v>
      </c>
      <c r="N47" s="15" t="str">
        <f t="shared" si="14"/>
        <v>金币</v>
      </c>
      <c r="O47" s="15">
        <f>IF(L47&gt;1,INDEX(挂机升级突破!$AI$35:$AI$55,卡牌消耗!L47),"")</f>
        <v>27500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83">
        <v>10</v>
      </c>
      <c r="X47" s="83">
        <f t="shared" si="15"/>
        <v>2</v>
      </c>
      <c r="Y47" s="83">
        <f t="shared" si="16"/>
        <v>1101002</v>
      </c>
      <c r="Z47" s="83">
        <f t="shared" si="17"/>
        <v>5</v>
      </c>
      <c r="AA47" s="83" t="s">
        <v>817</v>
      </c>
      <c r="AB47" s="15">
        <f t="shared" si="18"/>
        <v>0</v>
      </c>
      <c r="AC47" s="83" t="str">
        <f t="shared" si="19"/>
        <v>曹玄亮碎片</v>
      </c>
      <c r="AD47" s="15">
        <f t="shared" si="9"/>
        <v>160</v>
      </c>
      <c r="AS47" s="66" t="s">
        <v>594</v>
      </c>
      <c r="AT47" s="15">
        <f>INDEX($AP$5:$AP$19,AT45)</f>
        <v>4</v>
      </c>
      <c r="AU47" s="66">
        <v>43</v>
      </c>
      <c r="AV47" s="66">
        <v>12</v>
      </c>
      <c r="AW47" s="22">
        <f>AV47/AT$48</f>
        <v>8.2191780821917804E-2</v>
      </c>
      <c r="AX47" s="94">
        <v>6.3</v>
      </c>
      <c r="AY47" s="66">
        <f>INT(AT$46*AW47/AX47)</f>
        <v>5623</v>
      </c>
      <c r="AZ47" s="66">
        <f>SUM(AY$5:AY47)</f>
        <v>78646</v>
      </c>
    </row>
    <row r="48" spans="1:52" ht="16.5" x14ac:dyDescent="0.2">
      <c r="A48" s="83">
        <v>1101011</v>
      </c>
      <c r="B48" s="83" t="s">
        <v>735</v>
      </c>
      <c r="C48" s="83">
        <v>3</v>
      </c>
      <c r="I48" s="34">
        <v>11</v>
      </c>
      <c r="J48" s="15">
        <f t="shared" si="10"/>
        <v>1102001</v>
      </c>
      <c r="K48" s="15">
        <f t="shared" si="11"/>
        <v>5</v>
      </c>
      <c r="L48" s="15">
        <f t="shared" si="12"/>
        <v>11</v>
      </c>
      <c r="M48" s="15" t="str">
        <f t="shared" si="13"/>
        <v>蓝</v>
      </c>
      <c r="N48" s="15" t="str">
        <f t="shared" si="14"/>
        <v>金币</v>
      </c>
      <c r="O48" s="15">
        <f>IF(L48&gt;1,INDEX(挂机升级突破!$AI$35:$AI$55,卡牌消耗!L48),"")</f>
        <v>30000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83">
        <v>11</v>
      </c>
      <c r="X48" s="83">
        <f t="shared" si="15"/>
        <v>3</v>
      </c>
      <c r="Y48" s="83">
        <f t="shared" si="16"/>
        <v>1101003</v>
      </c>
      <c r="Z48" s="83">
        <f t="shared" si="17"/>
        <v>1</v>
      </c>
      <c r="AA48" s="83" t="s">
        <v>817</v>
      </c>
      <c r="AB48" s="15">
        <f t="shared" si="18"/>
        <v>0</v>
      </c>
      <c r="AC48" s="83" t="str">
        <f t="shared" si="19"/>
        <v>战斗夏铃碎片</v>
      </c>
      <c r="AD48" s="15">
        <f t="shared" si="9"/>
        <v>40</v>
      </c>
      <c r="AS48" s="16"/>
      <c r="AT48" s="15">
        <f>SUM(AV45:AV54)</f>
        <v>146</v>
      </c>
      <c r="AU48" s="66">
        <v>44</v>
      </c>
      <c r="AV48" s="66">
        <v>13</v>
      </c>
      <c r="AW48" s="22">
        <f>AV48/AT$48</f>
        <v>8.9041095890410954E-2</v>
      </c>
      <c r="AX48" s="94">
        <v>6.3999999999999897</v>
      </c>
      <c r="AY48" s="66">
        <f>INT(AT$46*AW48/AX48)</f>
        <v>5996</v>
      </c>
      <c r="AZ48" s="66">
        <f>SUM(AY$5:AY48)</f>
        <v>84642</v>
      </c>
    </row>
    <row r="49" spans="1:52" ht="16.5" x14ac:dyDescent="0.2">
      <c r="A49" s="83">
        <v>1101012</v>
      </c>
      <c r="B49" s="83" t="s">
        <v>810</v>
      </c>
      <c r="C49" s="83">
        <v>3</v>
      </c>
      <c r="I49" s="34">
        <v>12</v>
      </c>
      <c r="J49" s="15">
        <f t="shared" si="10"/>
        <v>1102001</v>
      </c>
      <c r="K49" s="15">
        <f t="shared" si="11"/>
        <v>5</v>
      </c>
      <c r="L49" s="15">
        <f t="shared" si="12"/>
        <v>12</v>
      </c>
      <c r="M49" s="15" t="str">
        <f t="shared" si="13"/>
        <v>蓝</v>
      </c>
      <c r="N49" s="15" t="str">
        <f t="shared" si="14"/>
        <v>金币</v>
      </c>
      <c r="O49" s="15">
        <f>IF(L49&gt;1,INDEX(挂机升级突破!$AI$35:$AI$55,卡牌消耗!L49),"")</f>
        <v>32000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83">
        <v>12</v>
      </c>
      <c r="X49" s="83">
        <f t="shared" si="15"/>
        <v>3</v>
      </c>
      <c r="Y49" s="83">
        <f t="shared" si="16"/>
        <v>1101003</v>
      </c>
      <c r="Z49" s="83">
        <f t="shared" si="17"/>
        <v>2</v>
      </c>
      <c r="AA49" s="83" t="s">
        <v>817</v>
      </c>
      <c r="AB49" s="15">
        <f t="shared" si="18"/>
        <v>0</v>
      </c>
      <c r="AC49" s="83" t="str">
        <f t="shared" si="19"/>
        <v>战斗夏铃碎片</v>
      </c>
      <c r="AD49" s="15">
        <f t="shared" si="9"/>
        <v>80</v>
      </c>
      <c r="AU49" s="66">
        <v>45</v>
      </c>
      <c r="AV49" s="66">
        <v>14</v>
      </c>
      <c r="AW49" s="22">
        <f>AV49/AT$48</f>
        <v>9.5890410958904104E-2</v>
      </c>
      <c r="AX49" s="94">
        <v>6.4999999999999902</v>
      </c>
      <c r="AY49" s="66">
        <f>INT(AT$46*AW49/AX49)</f>
        <v>6358</v>
      </c>
      <c r="AZ49" s="66">
        <f>SUM(AY$5:AY49)</f>
        <v>91000</v>
      </c>
    </row>
    <row r="50" spans="1:52" ht="16.5" x14ac:dyDescent="0.2">
      <c r="A50" s="83">
        <v>1101013</v>
      </c>
      <c r="B50" s="83" t="s">
        <v>811</v>
      </c>
      <c r="C50" s="83">
        <v>2</v>
      </c>
      <c r="I50" s="34">
        <v>13</v>
      </c>
      <c r="J50" s="15">
        <f t="shared" si="10"/>
        <v>1102001</v>
      </c>
      <c r="K50" s="15">
        <f t="shared" si="11"/>
        <v>5</v>
      </c>
      <c r="L50" s="15">
        <f t="shared" si="12"/>
        <v>13</v>
      </c>
      <c r="M50" s="15" t="str">
        <f t="shared" si="13"/>
        <v>蓝</v>
      </c>
      <c r="N50" s="15" t="str">
        <f t="shared" si="14"/>
        <v>金币</v>
      </c>
      <c r="O50" s="15">
        <f>IF(L50&gt;1,INDEX(挂机升级突破!$AI$35:$AI$55,卡牌消耗!L50),"")</f>
        <v>40500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83">
        <v>13</v>
      </c>
      <c r="X50" s="83">
        <f t="shared" si="15"/>
        <v>3</v>
      </c>
      <c r="Y50" s="83">
        <f t="shared" si="16"/>
        <v>1101003</v>
      </c>
      <c r="Z50" s="83">
        <f t="shared" si="17"/>
        <v>3</v>
      </c>
      <c r="AA50" s="83" t="s">
        <v>817</v>
      </c>
      <c r="AB50" s="15">
        <f t="shared" si="18"/>
        <v>0</v>
      </c>
      <c r="AC50" s="83" t="str">
        <f t="shared" si="19"/>
        <v>战斗夏铃碎片</v>
      </c>
      <c r="AD50" s="15">
        <f t="shared" si="9"/>
        <v>120</v>
      </c>
      <c r="AU50" s="66">
        <v>46</v>
      </c>
      <c r="AV50" s="66">
        <v>15</v>
      </c>
      <c r="AW50" s="22">
        <f>AV50/AT$48</f>
        <v>0.10273972602739725</v>
      </c>
      <c r="AX50" s="94">
        <v>6.5999999999999899</v>
      </c>
      <c r="AY50" s="66">
        <f>INT(AT$46*AW50/AX50)</f>
        <v>6709</v>
      </c>
      <c r="AZ50" s="66">
        <f>SUM(AY$5:AY50)</f>
        <v>97709</v>
      </c>
    </row>
    <row r="51" spans="1:52" ht="16.5" x14ac:dyDescent="0.2">
      <c r="A51" s="83">
        <v>1101014</v>
      </c>
      <c r="B51" s="83" t="s">
        <v>812</v>
      </c>
      <c r="C51" s="83">
        <v>3</v>
      </c>
      <c r="I51" s="34">
        <v>14</v>
      </c>
      <c r="J51" s="15">
        <f t="shared" si="10"/>
        <v>1102001</v>
      </c>
      <c r="K51" s="15">
        <f t="shared" si="11"/>
        <v>5</v>
      </c>
      <c r="L51" s="15">
        <f t="shared" si="12"/>
        <v>14</v>
      </c>
      <c r="M51" s="15" t="str">
        <f t="shared" si="13"/>
        <v>蓝</v>
      </c>
      <c r="N51" s="15" t="str">
        <f t="shared" si="14"/>
        <v>金币</v>
      </c>
      <c r="O51" s="15">
        <f>IF(L51&gt;1,INDEX(挂机升级突破!$AI$35:$AI$55,卡牌消耗!L51),"")</f>
        <v>54000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83">
        <v>14</v>
      </c>
      <c r="X51" s="83">
        <f t="shared" si="15"/>
        <v>3</v>
      </c>
      <c r="Y51" s="83">
        <f t="shared" si="16"/>
        <v>1101003</v>
      </c>
      <c r="Z51" s="83">
        <f t="shared" si="17"/>
        <v>4</v>
      </c>
      <c r="AA51" s="83" t="s">
        <v>817</v>
      </c>
      <c r="AB51" s="15">
        <f t="shared" si="18"/>
        <v>0</v>
      </c>
      <c r="AC51" s="83" t="str">
        <f t="shared" si="19"/>
        <v>战斗夏铃碎片</v>
      </c>
      <c r="AD51" s="15">
        <f t="shared" si="9"/>
        <v>160</v>
      </c>
      <c r="AU51" s="66">
        <v>47</v>
      </c>
      <c r="AV51" s="66">
        <v>16</v>
      </c>
      <c r="AW51" s="22">
        <f>AV51/AT$48</f>
        <v>0.1095890410958904</v>
      </c>
      <c r="AX51" s="94">
        <v>6.6999999999999904</v>
      </c>
      <c r="AY51" s="66">
        <f>INT(AT$46*AW51/AX51)</f>
        <v>7050</v>
      </c>
      <c r="AZ51" s="66">
        <f>SUM(AY$5:AY51)</f>
        <v>104759</v>
      </c>
    </row>
    <row r="52" spans="1:52" ht="16.5" x14ac:dyDescent="0.2">
      <c r="A52" s="83">
        <v>1101015</v>
      </c>
      <c r="B52" s="83" t="s">
        <v>813</v>
      </c>
      <c r="C52" s="83">
        <v>2</v>
      </c>
      <c r="I52" s="34">
        <v>15</v>
      </c>
      <c r="J52" s="15">
        <f t="shared" si="10"/>
        <v>1102001</v>
      </c>
      <c r="K52" s="15">
        <f t="shared" si="11"/>
        <v>5</v>
      </c>
      <c r="L52" s="15">
        <f t="shared" si="12"/>
        <v>15</v>
      </c>
      <c r="M52" s="15" t="str">
        <f t="shared" si="13"/>
        <v>蓝</v>
      </c>
      <c r="N52" s="15" t="str">
        <f t="shared" si="14"/>
        <v>金币</v>
      </c>
      <c r="O52" s="15">
        <f>IF(L52&gt;1,INDEX(挂机升级突破!$AI$35:$AI$55,卡牌消耗!L52),"")</f>
        <v>63000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83">
        <v>15</v>
      </c>
      <c r="X52" s="83">
        <f t="shared" si="15"/>
        <v>3</v>
      </c>
      <c r="Y52" s="83">
        <f t="shared" si="16"/>
        <v>1101003</v>
      </c>
      <c r="Z52" s="83">
        <f t="shared" si="17"/>
        <v>5</v>
      </c>
      <c r="AA52" s="83" t="s">
        <v>817</v>
      </c>
      <c r="AB52" s="15">
        <f t="shared" si="18"/>
        <v>0</v>
      </c>
      <c r="AC52" s="83" t="str">
        <f t="shared" si="19"/>
        <v>战斗夏铃碎片</v>
      </c>
      <c r="AD52" s="15">
        <f t="shared" si="9"/>
        <v>240</v>
      </c>
      <c r="AU52" s="66">
        <v>48</v>
      </c>
      <c r="AV52" s="66">
        <v>17</v>
      </c>
      <c r="AW52" s="22">
        <f>AV52/AT$48</f>
        <v>0.11643835616438356</v>
      </c>
      <c r="AX52" s="94">
        <v>6.7999999999999901</v>
      </c>
      <c r="AY52" s="66">
        <f>INT(AT$46*AW52/AX52)</f>
        <v>7380</v>
      </c>
      <c r="AZ52" s="66">
        <f>SUM(AY$5:AY52)</f>
        <v>112139</v>
      </c>
    </row>
    <row r="53" spans="1:52" ht="16.5" x14ac:dyDescent="0.2">
      <c r="A53" s="83">
        <v>1101041</v>
      </c>
      <c r="B53" s="83" t="s">
        <v>814</v>
      </c>
      <c r="C53" s="83">
        <v>2</v>
      </c>
      <c r="I53" s="34">
        <v>16</v>
      </c>
      <c r="J53" s="15">
        <f t="shared" si="10"/>
        <v>1102001</v>
      </c>
      <c r="K53" s="15">
        <f t="shared" si="11"/>
        <v>5</v>
      </c>
      <c r="L53" s="15">
        <f t="shared" si="12"/>
        <v>16</v>
      </c>
      <c r="M53" s="15" t="str">
        <f t="shared" si="13"/>
        <v>蓝</v>
      </c>
      <c r="N53" s="15" t="str">
        <f t="shared" si="14"/>
        <v>金币</v>
      </c>
      <c r="O53" s="15">
        <f>IF(L53&gt;1,INDEX(挂机升级突破!$AI$35:$AI$55,卡牌消耗!L53),"")</f>
        <v>73000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83">
        <v>16</v>
      </c>
      <c r="X53" s="83">
        <f t="shared" si="15"/>
        <v>4</v>
      </c>
      <c r="Y53" s="83">
        <f t="shared" si="16"/>
        <v>1101004</v>
      </c>
      <c r="Z53" s="83">
        <f t="shared" si="17"/>
        <v>1</v>
      </c>
      <c r="AA53" s="83" t="s">
        <v>817</v>
      </c>
      <c r="AB53" s="15">
        <f t="shared" si="18"/>
        <v>0</v>
      </c>
      <c r="AC53" s="83" t="str">
        <f t="shared" si="19"/>
        <v>项昆仑碎片</v>
      </c>
      <c r="AD53" s="15">
        <f t="shared" si="9"/>
        <v>80</v>
      </c>
      <c r="AU53" s="66">
        <v>49</v>
      </c>
      <c r="AV53" s="66">
        <v>18</v>
      </c>
      <c r="AW53" s="22">
        <f>AV53/AT$48</f>
        <v>0.12328767123287671</v>
      </c>
      <c r="AX53" s="94">
        <v>6.8999999999999897</v>
      </c>
      <c r="AY53" s="66">
        <f>INT(AT$46*AW53/AX53)</f>
        <v>7701</v>
      </c>
      <c r="AZ53" s="66">
        <f>SUM(AY$5:AY53)</f>
        <v>119840</v>
      </c>
    </row>
    <row r="54" spans="1:52" ht="16.5" x14ac:dyDescent="0.2">
      <c r="A54" s="83">
        <v>1102001</v>
      </c>
      <c r="B54" s="83" t="s">
        <v>278</v>
      </c>
      <c r="C54" s="83">
        <v>5</v>
      </c>
      <c r="I54" s="34">
        <v>17</v>
      </c>
      <c r="J54" s="15">
        <f t="shared" si="10"/>
        <v>1102001</v>
      </c>
      <c r="K54" s="15">
        <f t="shared" si="11"/>
        <v>5</v>
      </c>
      <c r="L54" s="15">
        <f t="shared" si="12"/>
        <v>17</v>
      </c>
      <c r="M54" s="15" t="str">
        <f t="shared" si="13"/>
        <v>蓝</v>
      </c>
      <c r="N54" s="15" t="str">
        <f t="shared" si="14"/>
        <v>金币</v>
      </c>
      <c r="O54" s="15">
        <f>IF(L54&gt;1,INDEX(挂机升级突破!$AI$35:$AI$55,卡牌消耗!L54),"")</f>
        <v>76000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83">
        <v>17</v>
      </c>
      <c r="X54" s="83">
        <f t="shared" si="15"/>
        <v>4</v>
      </c>
      <c r="Y54" s="83">
        <f t="shared" si="16"/>
        <v>1101004</v>
      </c>
      <c r="Z54" s="83">
        <f t="shared" si="17"/>
        <v>2</v>
      </c>
      <c r="AA54" s="83" t="s">
        <v>817</v>
      </c>
      <c r="AB54" s="15">
        <f t="shared" si="18"/>
        <v>0</v>
      </c>
      <c r="AC54" s="83" t="str">
        <f t="shared" si="19"/>
        <v>项昆仑碎片</v>
      </c>
      <c r="AD54" s="15">
        <f t="shared" si="9"/>
        <v>80</v>
      </c>
      <c r="AU54" s="66">
        <v>50</v>
      </c>
      <c r="AV54" s="66">
        <v>20</v>
      </c>
      <c r="AW54" s="22">
        <f>AV54/AT$48</f>
        <v>0.13698630136986301</v>
      </c>
      <c r="AX54" s="94">
        <v>6.9999999999999902</v>
      </c>
      <c r="AY54" s="66">
        <f>INT(AT$46*AW54/AX54)</f>
        <v>8435</v>
      </c>
      <c r="AZ54" s="66">
        <f>SUM(AY$5:AY54)</f>
        <v>128275</v>
      </c>
    </row>
    <row r="55" spans="1:52" ht="16.5" x14ac:dyDescent="0.2">
      <c r="A55" s="83">
        <v>1102002</v>
      </c>
      <c r="B55" s="83" t="s">
        <v>279</v>
      </c>
      <c r="C55" s="83">
        <v>3</v>
      </c>
      <c r="I55" s="34">
        <v>18</v>
      </c>
      <c r="J55" s="15">
        <f t="shared" si="10"/>
        <v>1102001</v>
      </c>
      <c r="K55" s="15">
        <f t="shared" si="11"/>
        <v>5</v>
      </c>
      <c r="L55" s="15">
        <f t="shared" si="12"/>
        <v>18</v>
      </c>
      <c r="M55" s="15" t="str">
        <f t="shared" si="13"/>
        <v>蓝</v>
      </c>
      <c r="N55" s="15" t="str">
        <f t="shared" si="14"/>
        <v>金币</v>
      </c>
      <c r="O55" s="15">
        <f>IF(L55&gt;1,INDEX(挂机升级突破!$AI$35:$AI$55,卡牌消耗!L55),"")</f>
        <v>106500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83">
        <v>18</v>
      </c>
      <c r="X55" s="83">
        <f t="shared" si="15"/>
        <v>4</v>
      </c>
      <c r="Y55" s="83">
        <f t="shared" si="16"/>
        <v>1101004</v>
      </c>
      <c r="Z55" s="83">
        <f t="shared" si="17"/>
        <v>3</v>
      </c>
      <c r="AA55" s="83" t="s">
        <v>817</v>
      </c>
      <c r="AB55" s="15">
        <f t="shared" si="18"/>
        <v>0</v>
      </c>
      <c r="AC55" s="83" t="str">
        <f t="shared" si="19"/>
        <v>项昆仑碎片</v>
      </c>
      <c r="AD55" s="15">
        <f t="shared" si="9"/>
        <v>160</v>
      </c>
      <c r="AS55" s="66" t="s">
        <v>596</v>
      </c>
      <c r="AT55" s="66">
        <v>6</v>
      </c>
      <c r="AU55" s="66">
        <v>51</v>
      </c>
      <c r="AV55" s="66">
        <v>15</v>
      </c>
      <c r="AW55" s="22">
        <f>AV55/AT$58</f>
        <v>7.6923076923076927E-2</v>
      </c>
      <c r="AX55" s="94">
        <v>7.0999999999999899</v>
      </c>
      <c r="AY55" s="66">
        <f>INT(AT$56*AW55/AX55)</f>
        <v>9185</v>
      </c>
      <c r="AZ55" s="66">
        <f>SUM(AY$5:AY55)</f>
        <v>137460</v>
      </c>
    </row>
    <row r="56" spans="1:52" ht="16.5" x14ac:dyDescent="0.2">
      <c r="A56" s="83">
        <v>1102003</v>
      </c>
      <c r="B56" s="83" t="s">
        <v>280</v>
      </c>
      <c r="C56" s="83">
        <v>3</v>
      </c>
      <c r="I56" s="34">
        <v>19</v>
      </c>
      <c r="J56" s="15">
        <f t="shared" si="10"/>
        <v>1102001</v>
      </c>
      <c r="K56" s="15">
        <f t="shared" si="11"/>
        <v>5</v>
      </c>
      <c r="L56" s="15">
        <f t="shared" si="12"/>
        <v>19</v>
      </c>
      <c r="M56" s="15" t="str">
        <f t="shared" si="13"/>
        <v>蓝</v>
      </c>
      <c r="N56" s="15" t="str">
        <f t="shared" si="14"/>
        <v>金币</v>
      </c>
      <c r="O56" s="15">
        <f>IF(L56&gt;1,INDEX(挂机升级突破!$AI$35:$AI$55,卡牌消耗!L56),"")</f>
        <v>142000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83">
        <v>19</v>
      </c>
      <c r="X56" s="83">
        <f t="shared" si="15"/>
        <v>4</v>
      </c>
      <c r="Y56" s="83">
        <f t="shared" si="16"/>
        <v>1101004</v>
      </c>
      <c r="Z56" s="83">
        <f t="shared" si="17"/>
        <v>4</v>
      </c>
      <c r="AA56" s="83" t="s">
        <v>817</v>
      </c>
      <c r="AB56" s="15">
        <f t="shared" si="18"/>
        <v>0</v>
      </c>
      <c r="AC56" s="83" t="str">
        <f t="shared" si="19"/>
        <v>项昆仑碎片</v>
      </c>
      <c r="AD56" s="15">
        <f t="shared" si="9"/>
        <v>240</v>
      </c>
      <c r="AS56" s="15" t="str">
        <f>INDEX($AF$5:$AF$19,AT55)</f>
        <v>50~60</v>
      </c>
      <c r="AT56" s="15">
        <f>INDEX($AO$5:$AO$19,AT55)</f>
        <v>847800</v>
      </c>
      <c r="AU56" s="66">
        <v>52</v>
      </c>
      <c r="AV56" s="66">
        <v>16</v>
      </c>
      <c r="AW56" s="22">
        <f>AV56/AT$58</f>
        <v>8.2051282051282051E-2</v>
      </c>
      <c r="AX56" s="94">
        <v>7.1999999999999904</v>
      </c>
      <c r="AY56" s="66">
        <f>INT(AT$56*AW56/AX56)</f>
        <v>9661</v>
      </c>
      <c r="AZ56" s="66">
        <f>SUM(AY$5:AY56)</f>
        <v>147121</v>
      </c>
    </row>
    <row r="57" spans="1:52" ht="16.5" x14ac:dyDescent="0.2">
      <c r="A57" s="83">
        <v>1102004</v>
      </c>
      <c r="B57" s="83" t="s">
        <v>281</v>
      </c>
      <c r="C57" s="83">
        <v>2</v>
      </c>
      <c r="I57" s="34">
        <v>20</v>
      </c>
      <c r="J57" s="15">
        <f t="shared" si="10"/>
        <v>1102001</v>
      </c>
      <c r="K57" s="15">
        <f t="shared" si="11"/>
        <v>5</v>
      </c>
      <c r="L57" s="15">
        <f t="shared" si="12"/>
        <v>20</v>
      </c>
      <c r="M57" s="15" t="str">
        <f t="shared" si="13"/>
        <v>蓝</v>
      </c>
      <c r="N57" s="15" t="str">
        <f t="shared" si="14"/>
        <v>金币</v>
      </c>
      <c r="O57" s="15">
        <f>IF(L57&gt;1,INDEX(挂机升级突破!$AI$35:$AI$55,卡牌消耗!L57),"")</f>
        <v>177500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83">
        <v>20</v>
      </c>
      <c r="X57" s="83">
        <f t="shared" si="15"/>
        <v>4</v>
      </c>
      <c r="Y57" s="83">
        <f t="shared" si="16"/>
        <v>1101004</v>
      </c>
      <c r="Z57" s="83">
        <f t="shared" si="17"/>
        <v>5</v>
      </c>
      <c r="AA57" s="83" t="s">
        <v>817</v>
      </c>
      <c r="AB57" s="15">
        <f t="shared" si="18"/>
        <v>0</v>
      </c>
      <c r="AC57" s="83" t="str">
        <f t="shared" si="19"/>
        <v>项昆仑碎片</v>
      </c>
      <c r="AD57" s="15">
        <f t="shared" si="9"/>
        <v>320</v>
      </c>
      <c r="AS57" s="66" t="s">
        <v>594</v>
      </c>
      <c r="AT57" s="15">
        <f>INDEX($AP$5:$AP$19,AT55)</f>
        <v>5</v>
      </c>
      <c r="AU57" s="66">
        <v>53</v>
      </c>
      <c r="AV57" s="66">
        <v>17</v>
      </c>
      <c r="AW57" s="22">
        <f>AV57/AT$58</f>
        <v>8.7179487179487175E-2</v>
      </c>
      <c r="AX57" s="94">
        <v>7.2999999999999901</v>
      </c>
      <c r="AY57" s="66">
        <f>INT(AT$56*AW57/AX57)</f>
        <v>10124</v>
      </c>
      <c r="AZ57" s="66">
        <f>SUM(AY$5:AY57)</f>
        <v>157245</v>
      </c>
    </row>
    <row r="58" spans="1:52" ht="16.5" x14ac:dyDescent="0.2">
      <c r="A58" s="83">
        <v>1102005</v>
      </c>
      <c r="B58" s="83" t="s">
        <v>282</v>
      </c>
      <c r="C58" s="83">
        <v>3</v>
      </c>
      <c r="I58" s="34">
        <v>21</v>
      </c>
      <c r="J58" s="15">
        <f t="shared" si="10"/>
        <v>1102001</v>
      </c>
      <c r="K58" s="15">
        <f t="shared" si="11"/>
        <v>5</v>
      </c>
      <c r="L58" s="15">
        <f t="shared" si="12"/>
        <v>21</v>
      </c>
      <c r="M58" s="15" t="str">
        <f t="shared" si="13"/>
        <v>蓝</v>
      </c>
      <c r="N58" s="15" t="str">
        <f t="shared" si="14"/>
        <v>金币</v>
      </c>
      <c r="O58" s="15">
        <f>IF(L58&gt;1,INDEX(挂机升级突破!$AI$35:$AI$55,卡牌消耗!L58),"")</f>
        <v>213000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83">
        <v>21</v>
      </c>
      <c r="X58" s="83">
        <f t="shared" si="15"/>
        <v>5</v>
      </c>
      <c r="Y58" s="83">
        <f t="shared" si="16"/>
        <v>1101005</v>
      </c>
      <c r="Z58" s="83">
        <f t="shared" si="17"/>
        <v>1</v>
      </c>
      <c r="AA58" s="83" t="s">
        <v>817</v>
      </c>
      <c r="AB58" s="15">
        <f t="shared" si="18"/>
        <v>0</v>
      </c>
      <c r="AC58" s="83" t="str">
        <f t="shared" si="19"/>
        <v>刘羽禅碎片</v>
      </c>
      <c r="AD58" s="15">
        <f t="shared" si="9"/>
        <v>80</v>
      </c>
      <c r="AS58" s="16"/>
      <c r="AT58" s="15">
        <f>SUM(AV55:AV64)</f>
        <v>195</v>
      </c>
      <c r="AU58" s="66">
        <v>54</v>
      </c>
      <c r="AV58" s="66">
        <v>18</v>
      </c>
      <c r="AW58" s="22">
        <f>AV58/AT$58</f>
        <v>9.2307692307692313E-2</v>
      </c>
      <c r="AX58" s="94">
        <v>7.3999999999999897</v>
      </c>
      <c r="AY58" s="66">
        <f>INT(AT$56*AW58/AX58)</f>
        <v>10575</v>
      </c>
      <c r="AZ58" s="66">
        <f>SUM(AY$5:AY58)</f>
        <v>167820</v>
      </c>
    </row>
    <row r="59" spans="1:52" ht="16.5" x14ac:dyDescent="0.2">
      <c r="A59" s="83">
        <v>1102006</v>
      </c>
      <c r="B59" s="83" t="s">
        <v>283</v>
      </c>
      <c r="C59" s="83">
        <v>5</v>
      </c>
      <c r="I59" s="34">
        <v>22</v>
      </c>
      <c r="J59" s="15">
        <f t="shared" si="10"/>
        <v>1102002</v>
      </c>
      <c r="K59" s="15">
        <f t="shared" si="11"/>
        <v>3</v>
      </c>
      <c r="L59" s="15">
        <f t="shared" si="12"/>
        <v>1</v>
      </c>
      <c r="M59" s="15" t="str">
        <f t="shared" si="13"/>
        <v>红</v>
      </c>
      <c r="N59" s="15" t="str">
        <f t="shared" si="14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83">
        <v>22</v>
      </c>
      <c r="X59" s="83">
        <f t="shared" si="15"/>
        <v>5</v>
      </c>
      <c r="Y59" s="83">
        <f t="shared" si="16"/>
        <v>1101005</v>
      </c>
      <c r="Z59" s="83">
        <f t="shared" si="17"/>
        <v>2</v>
      </c>
      <c r="AA59" s="83" t="s">
        <v>817</v>
      </c>
      <c r="AB59" s="15">
        <f t="shared" si="18"/>
        <v>0</v>
      </c>
      <c r="AC59" s="83" t="str">
        <f t="shared" si="19"/>
        <v>刘羽禅碎片</v>
      </c>
      <c r="AD59" s="15">
        <f t="shared" si="9"/>
        <v>80</v>
      </c>
      <c r="AU59" s="66">
        <v>55</v>
      </c>
      <c r="AV59" s="66">
        <v>19</v>
      </c>
      <c r="AW59" s="22">
        <f>AV59/AT$58</f>
        <v>9.7435897435897437E-2</v>
      </c>
      <c r="AX59" s="94">
        <v>7.4999999999999902</v>
      </c>
      <c r="AY59" s="66">
        <f>INT(AT$56*AW59/AX59)</f>
        <v>11014</v>
      </c>
      <c r="AZ59" s="66">
        <f>SUM(AY$5:AY59)</f>
        <v>178834</v>
      </c>
    </row>
    <row r="60" spans="1:52" ht="16.5" x14ac:dyDescent="0.2">
      <c r="A60" s="83">
        <v>1102007</v>
      </c>
      <c r="B60" s="83" t="s">
        <v>284</v>
      </c>
      <c r="C60" s="83">
        <v>4</v>
      </c>
      <c r="I60" s="34">
        <v>23</v>
      </c>
      <c r="J60" s="15">
        <f t="shared" si="10"/>
        <v>1102002</v>
      </c>
      <c r="K60" s="15">
        <f t="shared" si="11"/>
        <v>3</v>
      </c>
      <c r="L60" s="15">
        <f t="shared" si="12"/>
        <v>2</v>
      </c>
      <c r="M60" s="15" t="str">
        <f t="shared" si="13"/>
        <v>红</v>
      </c>
      <c r="N60" s="15" t="str">
        <f t="shared" si="14"/>
        <v>金币</v>
      </c>
      <c r="O60" s="15">
        <f>IF(L60&gt;1,INDEX(挂机升级突破!$AI$35:$AI$55,卡牌消耗!L60),"")</f>
        <v>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83">
        <v>23</v>
      </c>
      <c r="X60" s="83">
        <f t="shared" si="15"/>
        <v>5</v>
      </c>
      <c r="Y60" s="83">
        <f t="shared" si="16"/>
        <v>1101005</v>
      </c>
      <c r="Z60" s="83">
        <f t="shared" si="17"/>
        <v>3</v>
      </c>
      <c r="AA60" s="83" t="s">
        <v>817</v>
      </c>
      <c r="AB60" s="15">
        <f t="shared" si="18"/>
        <v>0</v>
      </c>
      <c r="AC60" s="83" t="str">
        <f t="shared" si="19"/>
        <v>刘羽禅碎片</v>
      </c>
      <c r="AD60" s="15">
        <f t="shared" si="9"/>
        <v>160</v>
      </c>
      <c r="AU60" s="66">
        <v>56</v>
      </c>
      <c r="AV60" s="66">
        <v>20</v>
      </c>
      <c r="AW60" s="22">
        <f>AV60/AT$58</f>
        <v>0.10256410256410256</v>
      </c>
      <c r="AX60" s="94">
        <v>7.5999999999999899</v>
      </c>
      <c r="AY60" s="66">
        <f>INT(AT$56*AW60/AX60)</f>
        <v>11441</v>
      </c>
      <c r="AZ60" s="66">
        <f>SUM(AY$5:AY60)</f>
        <v>190275</v>
      </c>
    </row>
    <row r="61" spans="1:52" ht="16.5" x14ac:dyDescent="0.2">
      <c r="A61" s="83">
        <v>1102008</v>
      </c>
      <c r="B61" s="83" t="s">
        <v>285</v>
      </c>
      <c r="C61" s="83">
        <v>4</v>
      </c>
      <c r="I61" s="34">
        <v>24</v>
      </c>
      <c r="J61" s="15">
        <f t="shared" si="10"/>
        <v>1102002</v>
      </c>
      <c r="K61" s="15">
        <f t="shared" si="11"/>
        <v>3</v>
      </c>
      <c r="L61" s="15">
        <f t="shared" si="12"/>
        <v>3</v>
      </c>
      <c r="M61" s="15" t="str">
        <f t="shared" si="13"/>
        <v>红</v>
      </c>
      <c r="N61" s="15" t="str">
        <f t="shared" si="14"/>
        <v>金币</v>
      </c>
      <c r="O61" s="15">
        <f>IF(L61&gt;1,INDEX(挂机升级突破!$AI$35:$AI$55,卡牌消耗!L61),"")</f>
        <v>2500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83">
        <v>24</v>
      </c>
      <c r="X61" s="83">
        <f t="shared" si="15"/>
        <v>5</v>
      </c>
      <c r="Y61" s="83">
        <f t="shared" si="16"/>
        <v>1101005</v>
      </c>
      <c r="Z61" s="83">
        <f t="shared" si="17"/>
        <v>4</v>
      </c>
      <c r="AA61" s="83" t="s">
        <v>817</v>
      </c>
      <c r="AB61" s="15">
        <f t="shared" si="18"/>
        <v>0</v>
      </c>
      <c r="AC61" s="83" t="str">
        <f t="shared" si="19"/>
        <v>刘羽禅碎片</v>
      </c>
      <c r="AD61" s="15">
        <f t="shared" si="9"/>
        <v>240</v>
      </c>
      <c r="AU61" s="66">
        <v>57</v>
      </c>
      <c r="AV61" s="66">
        <v>21</v>
      </c>
      <c r="AW61" s="22">
        <f>AV61/AT$58</f>
        <v>0.1076923076923077</v>
      </c>
      <c r="AX61" s="94">
        <v>7.6999999999999904</v>
      </c>
      <c r="AY61" s="66">
        <f>INT(AT$56*AW61/AX61)</f>
        <v>11857</v>
      </c>
      <c r="AZ61" s="66">
        <f>SUM(AY$5:AY61)</f>
        <v>202132</v>
      </c>
    </row>
    <row r="62" spans="1:52" ht="16.5" x14ac:dyDescent="0.2">
      <c r="A62" s="83">
        <v>1102009</v>
      </c>
      <c r="B62" s="83" t="s">
        <v>286</v>
      </c>
      <c r="C62" s="83">
        <v>4</v>
      </c>
      <c r="I62" s="34">
        <v>25</v>
      </c>
      <c r="J62" s="15">
        <f t="shared" si="10"/>
        <v>1102002</v>
      </c>
      <c r="K62" s="15">
        <f t="shared" si="11"/>
        <v>3</v>
      </c>
      <c r="L62" s="15">
        <f t="shared" si="12"/>
        <v>4</v>
      </c>
      <c r="M62" s="15" t="str">
        <f t="shared" si="13"/>
        <v>红</v>
      </c>
      <c r="N62" s="15" t="str">
        <f t="shared" si="14"/>
        <v>金币</v>
      </c>
      <c r="O62" s="15">
        <f>IF(L62&gt;1,INDEX(挂机升级突破!$AI$35:$AI$55,卡牌消耗!L62),"")</f>
        <v>5500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83">
        <v>25</v>
      </c>
      <c r="X62" s="83">
        <f t="shared" si="15"/>
        <v>5</v>
      </c>
      <c r="Y62" s="83">
        <f t="shared" si="16"/>
        <v>1101005</v>
      </c>
      <c r="Z62" s="83">
        <f t="shared" si="17"/>
        <v>5</v>
      </c>
      <c r="AA62" s="83" t="s">
        <v>817</v>
      </c>
      <c r="AB62" s="15">
        <f t="shared" si="18"/>
        <v>0</v>
      </c>
      <c r="AC62" s="83" t="str">
        <f t="shared" si="19"/>
        <v>刘羽禅碎片</v>
      </c>
      <c r="AD62" s="15">
        <f t="shared" si="9"/>
        <v>320</v>
      </c>
      <c r="AU62" s="66">
        <v>58</v>
      </c>
      <c r="AV62" s="66">
        <v>22</v>
      </c>
      <c r="AW62" s="22">
        <f>AV62/AT$58</f>
        <v>0.11282051282051282</v>
      </c>
      <c r="AX62" s="94">
        <v>7.7999999999999901</v>
      </c>
      <c r="AY62" s="66">
        <f>INT(AT$56*AW62/AX62)</f>
        <v>12262</v>
      </c>
      <c r="AZ62" s="66">
        <f>SUM(AY$5:AY62)</f>
        <v>214394</v>
      </c>
    </row>
    <row r="63" spans="1:52" ht="16.5" x14ac:dyDescent="0.2">
      <c r="A63" s="83">
        <v>1102010</v>
      </c>
      <c r="B63" s="83" t="s">
        <v>287</v>
      </c>
      <c r="C63" s="83">
        <v>5</v>
      </c>
      <c r="I63" s="34">
        <v>26</v>
      </c>
      <c r="J63" s="15">
        <f t="shared" si="10"/>
        <v>1102002</v>
      </c>
      <c r="K63" s="15">
        <f t="shared" si="11"/>
        <v>3</v>
      </c>
      <c r="L63" s="15">
        <f t="shared" si="12"/>
        <v>5</v>
      </c>
      <c r="M63" s="15" t="str">
        <f t="shared" si="13"/>
        <v>红</v>
      </c>
      <c r="N63" s="15" t="str">
        <f t="shared" si="14"/>
        <v>金币</v>
      </c>
      <c r="O63" s="15">
        <f>IF(L63&gt;1,INDEX(挂机升级突破!$AI$35:$AI$55,卡牌消耗!L63),"")</f>
        <v>7500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83">
        <v>26</v>
      </c>
      <c r="X63" s="83">
        <f t="shared" si="15"/>
        <v>6</v>
      </c>
      <c r="Y63" s="83">
        <f t="shared" si="16"/>
        <v>1101006</v>
      </c>
      <c r="Z63" s="83">
        <f t="shared" si="17"/>
        <v>1</v>
      </c>
      <c r="AA63" s="83" t="s">
        <v>817</v>
      </c>
      <c r="AB63" s="15">
        <f t="shared" si="18"/>
        <v>0</v>
      </c>
      <c r="AC63" s="83" t="str">
        <f t="shared" si="19"/>
        <v>红莲缇娜碎片</v>
      </c>
      <c r="AD63" s="15">
        <f t="shared" si="9"/>
        <v>80</v>
      </c>
      <c r="AU63" s="66">
        <v>59</v>
      </c>
      <c r="AV63" s="66">
        <v>23</v>
      </c>
      <c r="AW63" s="22">
        <f>AV63/AT$58</f>
        <v>0.11794871794871795</v>
      </c>
      <c r="AX63" s="94">
        <v>7.8999999999999897</v>
      </c>
      <c r="AY63" s="66">
        <f>INT(AT$56*AW63/AX63)</f>
        <v>12657</v>
      </c>
      <c r="AZ63" s="66">
        <f>SUM(AY$5:AY63)</f>
        <v>227051</v>
      </c>
    </row>
    <row r="64" spans="1:52" ht="16.5" x14ac:dyDescent="0.2">
      <c r="A64" s="83">
        <v>1102011</v>
      </c>
      <c r="B64" s="83" t="s">
        <v>288</v>
      </c>
      <c r="C64" s="83">
        <v>5</v>
      </c>
      <c r="I64" s="34">
        <v>27</v>
      </c>
      <c r="J64" s="15">
        <f t="shared" si="10"/>
        <v>1102002</v>
      </c>
      <c r="K64" s="15">
        <f t="shared" si="11"/>
        <v>3</v>
      </c>
      <c r="L64" s="15">
        <f t="shared" si="12"/>
        <v>6</v>
      </c>
      <c r="M64" s="15" t="str">
        <f t="shared" si="13"/>
        <v>红</v>
      </c>
      <c r="N64" s="15" t="str">
        <f t="shared" si="14"/>
        <v>金币</v>
      </c>
      <c r="O64" s="15">
        <f>IF(L64&gt;1,INDEX(挂机升级突破!$AI$35:$AI$55,卡牌消耗!L64),"")</f>
        <v>17500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83">
        <v>27</v>
      </c>
      <c r="X64" s="83">
        <f t="shared" si="15"/>
        <v>6</v>
      </c>
      <c r="Y64" s="83">
        <f t="shared" si="16"/>
        <v>1101006</v>
      </c>
      <c r="Z64" s="83">
        <f t="shared" si="17"/>
        <v>2</v>
      </c>
      <c r="AA64" s="83" t="s">
        <v>817</v>
      </c>
      <c r="AB64" s="15">
        <f t="shared" si="18"/>
        <v>0</v>
      </c>
      <c r="AC64" s="83" t="str">
        <f t="shared" si="19"/>
        <v>红莲缇娜碎片</v>
      </c>
      <c r="AD64" s="15">
        <f t="shared" si="9"/>
        <v>80</v>
      </c>
      <c r="AU64" s="66">
        <v>60</v>
      </c>
      <c r="AV64" s="66">
        <v>24</v>
      </c>
      <c r="AW64" s="22">
        <f>AV64/AT$58</f>
        <v>0.12307692307692308</v>
      </c>
      <c r="AX64" s="94">
        <v>7.9999999999999902</v>
      </c>
      <c r="AY64" s="66">
        <f>INT(AT$56*AW64/AX64)</f>
        <v>13043</v>
      </c>
      <c r="AZ64" s="66">
        <f>SUM(AY$5:AY64)</f>
        <v>240094</v>
      </c>
    </row>
    <row r="65" spans="1:52" ht="16.5" x14ac:dyDescent="0.2">
      <c r="A65" s="83">
        <v>1102012</v>
      </c>
      <c r="B65" s="83" t="s">
        <v>289</v>
      </c>
      <c r="C65" s="83">
        <v>5</v>
      </c>
      <c r="I65" s="34">
        <v>28</v>
      </c>
      <c r="J65" s="15">
        <f t="shared" si="10"/>
        <v>1102002</v>
      </c>
      <c r="K65" s="15">
        <f t="shared" si="11"/>
        <v>3</v>
      </c>
      <c r="L65" s="15">
        <f t="shared" si="12"/>
        <v>7</v>
      </c>
      <c r="M65" s="15" t="str">
        <f t="shared" si="13"/>
        <v>红</v>
      </c>
      <c r="N65" s="15" t="str">
        <f t="shared" si="14"/>
        <v>金币</v>
      </c>
      <c r="O65" s="15">
        <f>IF(L65&gt;1,INDEX(挂机升级突破!$AI$35:$AI$55,卡牌消耗!L65),"")</f>
        <v>19500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83">
        <v>28</v>
      </c>
      <c r="X65" s="83">
        <f t="shared" si="15"/>
        <v>6</v>
      </c>
      <c r="Y65" s="83">
        <f t="shared" si="16"/>
        <v>1101006</v>
      </c>
      <c r="Z65" s="83">
        <f t="shared" si="17"/>
        <v>3</v>
      </c>
      <c r="AA65" s="83" t="s">
        <v>817</v>
      </c>
      <c r="AB65" s="15">
        <f t="shared" si="18"/>
        <v>0</v>
      </c>
      <c r="AC65" s="83" t="str">
        <f t="shared" si="19"/>
        <v>红莲缇娜碎片</v>
      </c>
      <c r="AD65" s="15">
        <f t="shared" si="9"/>
        <v>160</v>
      </c>
      <c r="AS65" s="66" t="s">
        <v>596</v>
      </c>
      <c r="AT65" s="66">
        <v>7</v>
      </c>
      <c r="AU65" s="66">
        <v>61</v>
      </c>
      <c r="AV65" s="66">
        <v>15</v>
      </c>
      <c r="AW65" s="22">
        <f>AV65/AT$68</f>
        <v>7.6923076923076927E-2</v>
      </c>
      <c r="AX65" s="94">
        <v>8.0999999999999908</v>
      </c>
      <c r="AY65" s="66">
        <f>INT(AT$66*AW65/AX65)</f>
        <v>13443</v>
      </c>
      <c r="AZ65" s="66">
        <f>SUM(AY$5:AY65)</f>
        <v>253537</v>
      </c>
    </row>
    <row r="66" spans="1:52" ht="16.5" x14ac:dyDescent="0.2">
      <c r="A66" s="83">
        <v>1102013</v>
      </c>
      <c r="B66" s="83" t="s">
        <v>290</v>
      </c>
      <c r="C66" s="83">
        <v>2</v>
      </c>
      <c r="I66" s="34">
        <v>29</v>
      </c>
      <c r="J66" s="15">
        <f t="shared" si="10"/>
        <v>1102002</v>
      </c>
      <c r="K66" s="15">
        <f t="shared" si="11"/>
        <v>3</v>
      </c>
      <c r="L66" s="15">
        <f t="shared" si="12"/>
        <v>8</v>
      </c>
      <c r="M66" s="15" t="str">
        <f t="shared" si="13"/>
        <v>红</v>
      </c>
      <c r="N66" s="15" t="str">
        <f t="shared" si="14"/>
        <v>金币</v>
      </c>
      <c r="O66" s="15">
        <f>IF(L66&gt;1,INDEX(挂机升级突破!$AI$35:$AI$55,卡牌消耗!L66),"")</f>
        <v>22000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83">
        <v>29</v>
      </c>
      <c r="X66" s="83">
        <f t="shared" si="15"/>
        <v>6</v>
      </c>
      <c r="Y66" s="83">
        <f t="shared" si="16"/>
        <v>1101006</v>
      </c>
      <c r="Z66" s="83">
        <f t="shared" si="17"/>
        <v>4</v>
      </c>
      <c r="AA66" s="83" t="s">
        <v>817</v>
      </c>
      <c r="AB66" s="15">
        <f t="shared" si="18"/>
        <v>0</v>
      </c>
      <c r="AC66" s="83" t="str">
        <f t="shared" si="19"/>
        <v>红莲缇娜碎片</v>
      </c>
      <c r="AD66" s="15">
        <f t="shared" si="9"/>
        <v>240</v>
      </c>
      <c r="AS66" s="15" t="str">
        <f>INDEX($AF$5:$AF$19,AT65)</f>
        <v>60~70</v>
      </c>
      <c r="AT66" s="15">
        <f>INDEX($AO$5:$AO$19,AT65)</f>
        <v>1415625</v>
      </c>
      <c r="AU66" s="66">
        <v>62</v>
      </c>
      <c r="AV66" s="66">
        <v>16</v>
      </c>
      <c r="AW66" s="22">
        <f>AV66/AT$68</f>
        <v>8.2051282051282051E-2</v>
      </c>
      <c r="AX66" s="94">
        <v>8.1999999999999904</v>
      </c>
      <c r="AY66" s="66">
        <f>INT(AT$66*AW66/AX66)</f>
        <v>14165</v>
      </c>
      <c r="AZ66" s="66">
        <f>SUM(AY$5:AY66)</f>
        <v>267702</v>
      </c>
    </row>
    <row r="67" spans="1:52" ht="16.5" x14ac:dyDescent="0.2">
      <c r="A67" s="83">
        <v>1102014</v>
      </c>
      <c r="B67" s="83" t="s">
        <v>291</v>
      </c>
      <c r="C67" s="83">
        <v>4</v>
      </c>
      <c r="I67" s="34">
        <v>30</v>
      </c>
      <c r="J67" s="15">
        <f t="shared" si="10"/>
        <v>1102002</v>
      </c>
      <c r="K67" s="15">
        <f t="shared" si="11"/>
        <v>3</v>
      </c>
      <c r="L67" s="15">
        <f t="shared" si="12"/>
        <v>9</v>
      </c>
      <c r="M67" s="15" t="str">
        <f t="shared" si="13"/>
        <v>红</v>
      </c>
      <c r="N67" s="15" t="str">
        <f t="shared" si="14"/>
        <v>金币</v>
      </c>
      <c r="O67" s="15">
        <f>IF(L67&gt;1,INDEX(挂机升级突破!$AI$35:$AI$55,卡牌消耗!L67),"")</f>
        <v>25000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83">
        <v>30</v>
      </c>
      <c r="X67" s="83">
        <f t="shared" si="15"/>
        <v>6</v>
      </c>
      <c r="Y67" s="83">
        <f t="shared" si="16"/>
        <v>1101006</v>
      </c>
      <c r="Z67" s="83">
        <f t="shared" si="17"/>
        <v>5</v>
      </c>
      <c r="AA67" s="83" t="s">
        <v>817</v>
      </c>
      <c r="AB67" s="15">
        <f t="shared" si="18"/>
        <v>0</v>
      </c>
      <c r="AC67" s="83" t="str">
        <f t="shared" si="19"/>
        <v>红莲缇娜碎片</v>
      </c>
      <c r="AD67" s="15">
        <f t="shared" si="9"/>
        <v>320</v>
      </c>
      <c r="AS67" s="66" t="s">
        <v>594</v>
      </c>
      <c r="AT67" s="15">
        <f>INDEX($AP$5:$AP$19,AT65)</f>
        <v>6</v>
      </c>
      <c r="AU67" s="66">
        <v>63</v>
      </c>
      <c r="AV67" s="66">
        <v>17</v>
      </c>
      <c r="AW67" s="22">
        <f>AV67/AT$68</f>
        <v>8.7179487179487175E-2</v>
      </c>
      <c r="AX67" s="94">
        <v>8.2999999999999901</v>
      </c>
      <c r="AY67" s="66">
        <f>INT(AT$66*AW67/AX67)</f>
        <v>14869</v>
      </c>
      <c r="AZ67" s="66">
        <f>SUM(AY$5:AY67)</f>
        <v>282571</v>
      </c>
    </row>
    <row r="68" spans="1:52" ht="16.5" x14ac:dyDescent="0.2">
      <c r="A68" s="83">
        <v>1102015</v>
      </c>
      <c r="B68" s="83" t="s">
        <v>292</v>
      </c>
      <c r="C68" s="83">
        <v>2</v>
      </c>
      <c r="I68" s="34">
        <v>31</v>
      </c>
      <c r="J68" s="15">
        <f t="shared" si="10"/>
        <v>1102002</v>
      </c>
      <c r="K68" s="15">
        <f t="shared" si="11"/>
        <v>3</v>
      </c>
      <c r="L68" s="15">
        <f t="shared" si="12"/>
        <v>10</v>
      </c>
      <c r="M68" s="15" t="str">
        <f t="shared" si="13"/>
        <v>红</v>
      </c>
      <c r="N68" s="15" t="str">
        <f t="shared" si="14"/>
        <v>金币</v>
      </c>
      <c r="O68" s="15">
        <f>IF(L68&gt;1,INDEX(挂机升级突破!$AI$35:$AI$55,卡牌消耗!L68),"")</f>
        <v>27500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83">
        <v>31</v>
      </c>
      <c r="X68" s="83">
        <f t="shared" si="15"/>
        <v>7</v>
      </c>
      <c r="Y68" s="83">
        <f t="shared" si="16"/>
        <v>1101007</v>
      </c>
      <c r="Z68" s="83">
        <f t="shared" si="17"/>
        <v>1</v>
      </c>
      <c r="AA68" s="83" t="s">
        <v>817</v>
      </c>
      <c r="AB68" s="15">
        <f t="shared" si="18"/>
        <v>0</v>
      </c>
      <c r="AC68" s="83" t="str">
        <f t="shared" si="19"/>
        <v>战斗曹焱兵碎片</v>
      </c>
      <c r="AD68" s="15">
        <f t="shared" si="9"/>
        <v>80</v>
      </c>
      <c r="AS68" s="16"/>
      <c r="AT68" s="15">
        <f>SUM(AV65:AV74)</f>
        <v>195</v>
      </c>
      <c r="AU68" s="66">
        <v>64</v>
      </c>
      <c r="AV68" s="66">
        <v>18</v>
      </c>
      <c r="AW68" s="22">
        <f>AV68/AT$68</f>
        <v>9.2307692307692313E-2</v>
      </c>
      <c r="AX68" s="94">
        <v>8.3999999999999897</v>
      </c>
      <c r="AY68" s="66">
        <f>INT(AT$66*AW68/AX68)</f>
        <v>15556</v>
      </c>
      <c r="AZ68" s="66">
        <f>SUM(AY$5:AY68)</f>
        <v>298127</v>
      </c>
    </row>
    <row r="69" spans="1:52" ht="16.5" x14ac:dyDescent="0.2">
      <c r="A69" s="83">
        <v>1102016</v>
      </c>
      <c r="B69" s="83" t="s">
        <v>293</v>
      </c>
      <c r="C69" s="83">
        <v>5</v>
      </c>
      <c r="I69" s="34">
        <v>32</v>
      </c>
      <c r="J69" s="15">
        <f t="shared" si="10"/>
        <v>1102002</v>
      </c>
      <c r="K69" s="15">
        <f t="shared" si="11"/>
        <v>3</v>
      </c>
      <c r="L69" s="15">
        <f t="shared" si="12"/>
        <v>11</v>
      </c>
      <c r="M69" s="15" t="str">
        <f t="shared" si="13"/>
        <v>红</v>
      </c>
      <c r="N69" s="15" t="str">
        <f t="shared" si="14"/>
        <v>金币</v>
      </c>
      <c r="O69" s="15">
        <f>IF(L69&gt;1,INDEX(挂机升级突破!$AI$35:$AI$55,卡牌消耗!L69),"")</f>
        <v>30000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83">
        <v>32</v>
      </c>
      <c r="X69" s="83">
        <f t="shared" si="15"/>
        <v>7</v>
      </c>
      <c r="Y69" s="83">
        <f t="shared" si="16"/>
        <v>1101007</v>
      </c>
      <c r="Z69" s="83">
        <f t="shared" si="17"/>
        <v>2</v>
      </c>
      <c r="AA69" s="83" t="s">
        <v>817</v>
      </c>
      <c r="AB69" s="15">
        <f t="shared" si="18"/>
        <v>0</v>
      </c>
      <c r="AC69" s="83" t="str">
        <f t="shared" si="19"/>
        <v>战斗曹焱兵碎片</v>
      </c>
      <c r="AD69" s="15">
        <f t="shared" si="9"/>
        <v>80</v>
      </c>
      <c r="AU69" s="66">
        <v>65</v>
      </c>
      <c r="AV69" s="66">
        <v>19</v>
      </c>
      <c r="AW69" s="22">
        <f>AV69/AT$68</f>
        <v>9.7435897435897437E-2</v>
      </c>
      <c r="AX69" s="94">
        <v>8.4999999999999893</v>
      </c>
      <c r="AY69" s="66">
        <f>INT(AT$66*AW69/AX69)</f>
        <v>16227</v>
      </c>
      <c r="AZ69" s="66">
        <f>SUM(AY$5:AY69)</f>
        <v>314354</v>
      </c>
    </row>
    <row r="70" spans="1:52" ht="16.5" x14ac:dyDescent="0.2">
      <c r="A70" s="83">
        <v>1102017</v>
      </c>
      <c r="B70" s="83" t="s">
        <v>294</v>
      </c>
      <c r="C70" s="83">
        <v>4</v>
      </c>
      <c r="I70" s="34">
        <v>33</v>
      </c>
      <c r="J70" s="15">
        <f t="shared" si="10"/>
        <v>1102002</v>
      </c>
      <c r="K70" s="15">
        <f t="shared" si="11"/>
        <v>3</v>
      </c>
      <c r="L70" s="15">
        <f t="shared" si="12"/>
        <v>12</v>
      </c>
      <c r="M70" s="15" t="str">
        <f t="shared" si="13"/>
        <v>红</v>
      </c>
      <c r="N70" s="15" t="str">
        <f t="shared" si="14"/>
        <v>金币</v>
      </c>
      <c r="O70" s="15">
        <f>IF(L70&gt;1,INDEX(挂机升级突破!$AI$35:$AI$55,卡牌消耗!L70),"")</f>
        <v>32000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83">
        <v>33</v>
      </c>
      <c r="X70" s="83">
        <f t="shared" si="15"/>
        <v>7</v>
      </c>
      <c r="Y70" s="83">
        <f t="shared" si="16"/>
        <v>1101007</v>
      </c>
      <c r="Z70" s="83">
        <f t="shared" si="17"/>
        <v>3</v>
      </c>
      <c r="AA70" s="83" t="s">
        <v>817</v>
      </c>
      <c r="AB70" s="15">
        <f t="shared" si="18"/>
        <v>0</v>
      </c>
      <c r="AC70" s="83" t="str">
        <f t="shared" si="19"/>
        <v>战斗曹焱兵碎片</v>
      </c>
      <c r="AD70" s="15">
        <f t="shared" ref="AD70:AD101" si="20">INDEX($N$5:$Q$9,Z70,INDEX($C$38:$C$75,X70)-1)</f>
        <v>160</v>
      </c>
      <c r="AU70" s="66">
        <v>66</v>
      </c>
      <c r="AV70" s="66">
        <v>20</v>
      </c>
      <c r="AW70" s="22">
        <f>AV70/AT$68</f>
        <v>0.10256410256410256</v>
      </c>
      <c r="AX70" s="94">
        <v>8.5999999999999908</v>
      </c>
      <c r="AY70" s="66">
        <f>INT(AT$66*AW70/AX70)</f>
        <v>16882</v>
      </c>
      <c r="AZ70" s="66">
        <f>SUM(AY$5:AY70)</f>
        <v>331236</v>
      </c>
    </row>
    <row r="71" spans="1:52" ht="16.5" x14ac:dyDescent="0.2">
      <c r="A71" s="83">
        <v>1102018</v>
      </c>
      <c r="B71" s="83" t="s">
        <v>295</v>
      </c>
      <c r="C71" s="83">
        <v>2</v>
      </c>
      <c r="I71" s="34">
        <v>34</v>
      </c>
      <c r="J71" s="15">
        <f t="shared" si="10"/>
        <v>1102002</v>
      </c>
      <c r="K71" s="15">
        <f t="shared" si="11"/>
        <v>3</v>
      </c>
      <c r="L71" s="15">
        <f t="shared" si="12"/>
        <v>13</v>
      </c>
      <c r="M71" s="15" t="str">
        <f t="shared" si="13"/>
        <v>红</v>
      </c>
      <c r="N71" s="15" t="str">
        <f t="shared" si="14"/>
        <v>金币</v>
      </c>
      <c r="O71" s="15">
        <f>IF(L71&gt;1,INDEX(挂机升级突破!$AI$35:$AI$55,卡牌消耗!L71),"")</f>
        <v>40500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83">
        <v>34</v>
      </c>
      <c r="X71" s="83">
        <f t="shared" si="15"/>
        <v>7</v>
      </c>
      <c r="Y71" s="83">
        <f t="shared" si="16"/>
        <v>1101007</v>
      </c>
      <c r="Z71" s="83">
        <f t="shared" si="17"/>
        <v>4</v>
      </c>
      <c r="AA71" s="83" t="s">
        <v>817</v>
      </c>
      <c r="AB71" s="15">
        <f t="shared" si="18"/>
        <v>0</v>
      </c>
      <c r="AC71" s="83" t="str">
        <f t="shared" si="19"/>
        <v>战斗曹焱兵碎片</v>
      </c>
      <c r="AD71" s="15">
        <f t="shared" si="20"/>
        <v>240</v>
      </c>
      <c r="AU71" s="66">
        <v>67</v>
      </c>
      <c r="AV71" s="66">
        <v>21</v>
      </c>
      <c r="AW71" s="22">
        <f>AV71/AT$68</f>
        <v>0.1076923076923077</v>
      </c>
      <c r="AX71" s="94">
        <v>8.6999999999999904</v>
      </c>
      <c r="AY71" s="66">
        <f>INT(AT$66*AW71/AX71)</f>
        <v>17523</v>
      </c>
      <c r="AZ71" s="66">
        <f>SUM(AY$5:AY71)</f>
        <v>348759</v>
      </c>
    </row>
    <row r="72" spans="1:52" ht="16.5" x14ac:dyDescent="0.2">
      <c r="A72" s="83">
        <v>1102019</v>
      </c>
      <c r="B72" s="83" t="s">
        <v>296</v>
      </c>
      <c r="C72" s="83">
        <v>2</v>
      </c>
      <c r="I72" s="34">
        <v>35</v>
      </c>
      <c r="J72" s="15">
        <f t="shared" si="10"/>
        <v>1102002</v>
      </c>
      <c r="K72" s="15">
        <f t="shared" si="11"/>
        <v>3</v>
      </c>
      <c r="L72" s="15">
        <f t="shared" si="12"/>
        <v>14</v>
      </c>
      <c r="M72" s="15" t="str">
        <f t="shared" si="13"/>
        <v>红</v>
      </c>
      <c r="N72" s="15" t="str">
        <f t="shared" si="14"/>
        <v>金币</v>
      </c>
      <c r="O72" s="15">
        <f>IF(L72&gt;1,INDEX(挂机升级突破!$AI$35:$AI$55,卡牌消耗!L72),"")</f>
        <v>54000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83">
        <v>35</v>
      </c>
      <c r="X72" s="83">
        <f t="shared" si="15"/>
        <v>7</v>
      </c>
      <c r="Y72" s="83">
        <f t="shared" si="16"/>
        <v>1101007</v>
      </c>
      <c r="Z72" s="83">
        <f t="shared" si="17"/>
        <v>5</v>
      </c>
      <c r="AA72" s="83" t="s">
        <v>817</v>
      </c>
      <c r="AB72" s="15">
        <f t="shared" si="18"/>
        <v>0</v>
      </c>
      <c r="AC72" s="83" t="str">
        <f t="shared" si="19"/>
        <v>战斗曹焱兵碎片</v>
      </c>
      <c r="AD72" s="15">
        <f t="shared" si="20"/>
        <v>320</v>
      </c>
      <c r="AU72" s="66">
        <v>68</v>
      </c>
      <c r="AV72" s="66">
        <v>22</v>
      </c>
      <c r="AW72" s="22">
        <f>AV72/AT$68</f>
        <v>0.11282051282051282</v>
      </c>
      <c r="AX72" s="94">
        <v>8.7999999999999901</v>
      </c>
      <c r="AY72" s="66">
        <f>INT(AT$66*AW72/AX72)</f>
        <v>18149</v>
      </c>
      <c r="AZ72" s="66">
        <f>SUM(AY$5:AY72)</f>
        <v>366908</v>
      </c>
    </row>
    <row r="73" spans="1:52" ht="16.5" x14ac:dyDescent="0.2">
      <c r="A73" s="83">
        <v>1102020</v>
      </c>
      <c r="B73" s="83" t="s">
        <v>297</v>
      </c>
      <c r="C73" s="83">
        <v>3</v>
      </c>
      <c r="I73" s="34">
        <v>36</v>
      </c>
      <c r="J73" s="15">
        <f t="shared" si="10"/>
        <v>1102002</v>
      </c>
      <c r="K73" s="15">
        <f t="shared" si="11"/>
        <v>3</v>
      </c>
      <c r="L73" s="15">
        <f t="shared" si="12"/>
        <v>15</v>
      </c>
      <c r="M73" s="15" t="str">
        <f t="shared" si="13"/>
        <v>红</v>
      </c>
      <c r="N73" s="15" t="str">
        <f t="shared" si="14"/>
        <v>金币</v>
      </c>
      <c r="O73" s="15">
        <f>IF(L73&gt;1,INDEX(挂机升级突破!$AI$35:$AI$55,卡牌消耗!L73),"")</f>
        <v>63000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83">
        <v>36</v>
      </c>
      <c r="X73" s="83">
        <f t="shared" si="15"/>
        <v>8</v>
      </c>
      <c r="Y73" s="83">
        <f t="shared" si="16"/>
        <v>1101008</v>
      </c>
      <c r="Z73" s="83">
        <f t="shared" si="17"/>
        <v>1</v>
      </c>
      <c r="AA73" s="83" t="s">
        <v>817</v>
      </c>
      <c r="AB73" s="15">
        <f t="shared" si="18"/>
        <v>0</v>
      </c>
      <c r="AC73" s="83" t="str">
        <f t="shared" si="19"/>
        <v>黑尔坎普碎片</v>
      </c>
      <c r="AD73" s="15">
        <f t="shared" si="20"/>
        <v>20</v>
      </c>
      <c r="AU73" s="66">
        <v>69</v>
      </c>
      <c r="AV73" s="66">
        <v>23</v>
      </c>
      <c r="AW73" s="22">
        <f>AV73/AT$68</f>
        <v>0.11794871794871795</v>
      </c>
      <c r="AX73" s="94">
        <v>8.8999999999999897</v>
      </c>
      <c r="AY73" s="66">
        <f>INT(AT$66*AW73/AX73)</f>
        <v>18760</v>
      </c>
      <c r="AZ73" s="66">
        <f>SUM(AY$5:AY73)</f>
        <v>385668</v>
      </c>
    </row>
    <row r="74" spans="1:52" ht="16.5" x14ac:dyDescent="0.2">
      <c r="A74" s="83">
        <v>1102021</v>
      </c>
      <c r="B74" s="83" t="s">
        <v>298</v>
      </c>
      <c r="C74" s="83">
        <v>2</v>
      </c>
      <c r="I74" s="34">
        <v>37</v>
      </c>
      <c r="J74" s="15">
        <f t="shared" si="10"/>
        <v>1102002</v>
      </c>
      <c r="K74" s="15">
        <f t="shared" si="11"/>
        <v>3</v>
      </c>
      <c r="L74" s="15">
        <f t="shared" si="12"/>
        <v>16</v>
      </c>
      <c r="M74" s="15" t="str">
        <f t="shared" si="13"/>
        <v>红</v>
      </c>
      <c r="N74" s="15" t="str">
        <f t="shared" si="14"/>
        <v>金币</v>
      </c>
      <c r="O74" s="15">
        <f>IF(L74&gt;1,INDEX(挂机升级突破!$AI$35:$AI$55,卡牌消耗!L74),"")</f>
        <v>73000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83">
        <v>37</v>
      </c>
      <c r="X74" s="83">
        <f t="shared" si="15"/>
        <v>8</v>
      </c>
      <c r="Y74" s="83">
        <f t="shared" si="16"/>
        <v>1101008</v>
      </c>
      <c r="Z74" s="83">
        <f t="shared" si="17"/>
        <v>2</v>
      </c>
      <c r="AA74" s="83" t="s">
        <v>817</v>
      </c>
      <c r="AB74" s="15">
        <f t="shared" si="18"/>
        <v>0</v>
      </c>
      <c r="AC74" s="83" t="str">
        <f t="shared" si="19"/>
        <v>黑尔坎普碎片</v>
      </c>
      <c r="AD74" s="15">
        <f t="shared" si="20"/>
        <v>40</v>
      </c>
      <c r="AU74" s="66">
        <v>70</v>
      </c>
      <c r="AV74" s="66">
        <v>24</v>
      </c>
      <c r="AW74" s="22">
        <f>AV74/AT$68</f>
        <v>0.12307692307692308</v>
      </c>
      <c r="AX74" s="94">
        <v>8.9999999999999893</v>
      </c>
      <c r="AY74" s="66">
        <f>INT(AT$66*AW74/AX74)</f>
        <v>19358</v>
      </c>
      <c r="AZ74" s="66">
        <f>SUM(AY$5:AY74)</f>
        <v>405026</v>
      </c>
    </row>
    <row r="75" spans="1:52" ht="16.5" x14ac:dyDescent="0.2">
      <c r="A75" s="83">
        <v>1102050</v>
      </c>
      <c r="B75" s="83" t="s">
        <v>815</v>
      </c>
      <c r="C75" s="83">
        <v>2</v>
      </c>
      <c r="I75" s="34">
        <v>38</v>
      </c>
      <c r="J75" s="15">
        <f t="shared" si="10"/>
        <v>1102002</v>
      </c>
      <c r="K75" s="15">
        <f t="shared" si="11"/>
        <v>3</v>
      </c>
      <c r="L75" s="15">
        <f t="shared" si="12"/>
        <v>17</v>
      </c>
      <c r="M75" s="15" t="str">
        <f t="shared" si="13"/>
        <v>红</v>
      </c>
      <c r="N75" s="15" t="str">
        <f t="shared" si="14"/>
        <v>金币</v>
      </c>
      <c r="O75" s="15">
        <f>IF(L75&gt;1,INDEX(挂机升级突破!$AI$35:$AI$55,卡牌消耗!L75),"")</f>
        <v>76000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83">
        <v>38</v>
      </c>
      <c r="X75" s="83">
        <f t="shared" si="15"/>
        <v>8</v>
      </c>
      <c r="Y75" s="83">
        <f t="shared" si="16"/>
        <v>1101008</v>
      </c>
      <c r="Z75" s="83">
        <f t="shared" si="17"/>
        <v>3</v>
      </c>
      <c r="AA75" s="83" t="s">
        <v>817</v>
      </c>
      <c r="AB75" s="15">
        <f t="shared" si="18"/>
        <v>0</v>
      </c>
      <c r="AC75" s="83" t="str">
        <f t="shared" si="19"/>
        <v>黑尔坎普碎片</v>
      </c>
      <c r="AD75" s="15">
        <f t="shared" si="20"/>
        <v>80</v>
      </c>
      <c r="AS75" s="66" t="s">
        <v>596</v>
      </c>
      <c r="AT75" s="66">
        <v>8</v>
      </c>
      <c r="AU75" s="66">
        <v>71</v>
      </c>
      <c r="AV75" s="66">
        <v>20</v>
      </c>
      <c r="AW75" s="22">
        <f>AV75/AT$78</f>
        <v>8.1632653061224483E-2</v>
      </c>
      <c r="AX75" s="94">
        <v>9.0999999999999908</v>
      </c>
      <c r="AY75" s="66">
        <f>INT(AT$76*AW75/AX75)</f>
        <v>20311</v>
      </c>
      <c r="AZ75" s="66">
        <f>SUM(AY$5:AY75)</f>
        <v>425337</v>
      </c>
    </row>
    <row r="76" spans="1:52" ht="16.5" x14ac:dyDescent="0.2">
      <c r="I76" s="34">
        <v>39</v>
      </c>
      <c r="J76" s="15">
        <f t="shared" si="10"/>
        <v>1102002</v>
      </c>
      <c r="K76" s="15">
        <f t="shared" si="11"/>
        <v>3</v>
      </c>
      <c r="L76" s="15">
        <f t="shared" si="12"/>
        <v>18</v>
      </c>
      <c r="M76" s="15" t="str">
        <f t="shared" si="13"/>
        <v>红</v>
      </c>
      <c r="N76" s="15" t="str">
        <f t="shared" si="14"/>
        <v>金币</v>
      </c>
      <c r="O76" s="15">
        <f>IF(L76&gt;1,INDEX(挂机升级突破!$AI$35:$AI$55,卡牌消耗!L76),"")</f>
        <v>106500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83">
        <v>39</v>
      </c>
      <c r="X76" s="83">
        <f t="shared" si="15"/>
        <v>8</v>
      </c>
      <c r="Y76" s="83">
        <f t="shared" si="16"/>
        <v>1101008</v>
      </c>
      <c r="Z76" s="83">
        <f t="shared" si="17"/>
        <v>4</v>
      </c>
      <c r="AA76" s="83" t="s">
        <v>817</v>
      </c>
      <c r="AB76" s="15">
        <f t="shared" si="18"/>
        <v>0</v>
      </c>
      <c r="AC76" s="83" t="str">
        <f t="shared" si="19"/>
        <v>黑尔坎普碎片</v>
      </c>
      <c r="AD76" s="15">
        <f t="shared" si="20"/>
        <v>120</v>
      </c>
      <c r="AS76" s="15" t="str">
        <f>INDEX($AF$5:$AF$19,AT75)</f>
        <v>70~80</v>
      </c>
      <c r="AT76" s="15">
        <f>INDEX($AO$5:$AO$19,AT75)</f>
        <v>2264250</v>
      </c>
      <c r="AU76" s="66">
        <v>72</v>
      </c>
      <c r="AV76" s="66">
        <v>21</v>
      </c>
      <c r="AW76" s="22">
        <f>AV76/AT$78</f>
        <v>8.5714285714285715E-2</v>
      </c>
      <c r="AX76" s="94">
        <v>9.1999999999999904</v>
      </c>
      <c r="AY76" s="66">
        <f>INT(AT$76*AW76/AX76)</f>
        <v>21095</v>
      </c>
      <c r="AZ76" s="66">
        <f>SUM(AY$5:AY76)</f>
        <v>446432</v>
      </c>
    </row>
    <row r="77" spans="1:52" ht="16.5" x14ac:dyDescent="0.2">
      <c r="I77" s="34">
        <v>40</v>
      </c>
      <c r="J77" s="15">
        <f t="shared" si="10"/>
        <v>1102002</v>
      </c>
      <c r="K77" s="15">
        <f t="shared" si="11"/>
        <v>3</v>
      </c>
      <c r="L77" s="15">
        <f t="shared" si="12"/>
        <v>19</v>
      </c>
      <c r="M77" s="15" t="str">
        <f t="shared" si="13"/>
        <v>红</v>
      </c>
      <c r="N77" s="15" t="str">
        <f t="shared" si="14"/>
        <v>金币</v>
      </c>
      <c r="O77" s="15">
        <f>IF(L77&gt;1,INDEX(挂机升级突破!$AI$35:$AI$55,卡牌消耗!L77),"")</f>
        <v>142000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83">
        <v>40</v>
      </c>
      <c r="X77" s="83">
        <f t="shared" si="15"/>
        <v>8</v>
      </c>
      <c r="Y77" s="83">
        <f t="shared" si="16"/>
        <v>1101008</v>
      </c>
      <c r="Z77" s="83">
        <f t="shared" si="17"/>
        <v>5</v>
      </c>
      <c r="AA77" s="83" t="s">
        <v>817</v>
      </c>
      <c r="AB77" s="15">
        <f t="shared" si="18"/>
        <v>0</v>
      </c>
      <c r="AC77" s="83" t="str">
        <f t="shared" si="19"/>
        <v>黑尔坎普碎片</v>
      </c>
      <c r="AD77" s="15">
        <f t="shared" si="20"/>
        <v>160</v>
      </c>
      <c r="AS77" s="66" t="s">
        <v>594</v>
      </c>
      <c r="AT77" s="15">
        <f>INDEX($AP$5:$AP$19,AT75)</f>
        <v>6</v>
      </c>
      <c r="AU77" s="66">
        <v>73</v>
      </c>
      <c r="AV77" s="66">
        <v>22</v>
      </c>
      <c r="AW77" s="22">
        <f>AV77/AT$78</f>
        <v>8.9795918367346933E-2</v>
      </c>
      <c r="AX77" s="94">
        <v>9.2999999999999901</v>
      </c>
      <c r="AY77" s="66">
        <f>INT(AT$76*AW77/AX77)</f>
        <v>21862</v>
      </c>
      <c r="AZ77" s="66">
        <f>SUM(AY$5:AY77)</f>
        <v>468294</v>
      </c>
    </row>
    <row r="78" spans="1:52" ht="16.5" x14ac:dyDescent="0.2">
      <c r="I78" s="34">
        <v>41</v>
      </c>
      <c r="J78" s="15">
        <f t="shared" si="10"/>
        <v>1102002</v>
      </c>
      <c r="K78" s="15">
        <f t="shared" si="11"/>
        <v>3</v>
      </c>
      <c r="L78" s="15">
        <f t="shared" si="12"/>
        <v>20</v>
      </c>
      <c r="M78" s="15" t="str">
        <f t="shared" si="13"/>
        <v>红</v>
      </c>
      <c r="N78" s="15" t="str">
        <f t="shared" si="14"/>
        <v>金币</v>
      </c>
      <c r="O78" s="15">
        <f>IF(L78&gt;1,INDEX(挂机升级突破!$AI$35:$AI$55,卡牌消耗!L78),"")</f>
        <v>177500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83">
        <v>41</v>
      </c>
      <c r="X78" s="83">
        <f t="shared" si="15"/>
        <v>9</v>
      </c>
      <c r="Y78" s="83">
        <f t="shared" si="16"/>
        <v>1101009</v>
      </c>
      <c r="Z78" s="83">
        <f t="shared" si="17"/>
        <v>1</v>
      </c>
      <c r="AA78" s="83" t="s">
        <v>817</v>
      </c>
      <c r="AB78" s="15">
        <f t="shared" si="18"/>
        <v>0</v>
      </c>
      <c r="AC78" s="83" t="str">
        <f t="shared" si="19"/>
        <v>北落师门碎片</v>
      </c>
      <c r="AD78" s="15">
        <f t="shared" si="20"/>
        <v>40</v>
      </c>
      <c r="AS78" s="16"/>
      <c r="AT78" s="15">
        <f>SUM(AV75:AV84)</f>
        <v>245</v>
      </c>
      <c r="AU78" s="66">
        <v>74</v>
      </c>
      <c r="AV78" s="66">
        <v>23</v>
      </c>
      <c r="AW78" s="22">
        <f>AV78/AT$78</f>
        <v>9.3877551020408165E-2</v>
      </c>
      <c r="AX78" s="94">
        <v>9.3999999999999897</v>
      </c>
      <c r="AY78" s="66">
        <f>INT(AT$76*AW78/AX78)</f>
        <v>22613</v>
      </c>
      <c r="AZ78" s="66">
        <f>SUM(AY$5:AY78)</f>
        <v>490907</v>
      </c>
    </row>
    <row r="79" spans="1:52" ht="16.5" x14ac:dyDescent="0.2">
      <c r="I79" s="34">
        <v>42</v>
      </c>
      <c r="J79" s="15">
        <f t="shared" si="10"/>
        <v>1102002</v>
      </c>
      <c r="K79" s="15">
        <f t="shared" si="11"/>
        <v>3</v>
      </c>
      <c r="L79" s="15">
        <f t="shared" si="12"/>
        <v>21</v>
      </c>
      <c r="M79" s="15" t="str">
        <f t="shared" si="13"/>
        <v>红</v>
      </c>
      <c r="N79" s="15" t="str">
        <f t="shared" si="14"/>
        <v>金币</v>
      </c>
      <c r="O79" s="15">
        <f>IF(L79&gt;1,INDEX(挂机升级突破!$AI$35:$AI$55,卡牌消耗!L79),"")</f>
        <v>213000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83">
        <v>42</v>
      </c>
      <c r="X79" s="83">
        <f t="shared" si="15"/>
        <v>9</v>
      </c>
      <c r="Y79" s="83">
        <f t="shared" si="16"/>
        <v>1101009</v>
      </c>
      <c r="Z79" s="83">
        <f t="shared" si="17"/>
        <v>2</v>
      </c>
      <c r="AA79" s="83" t="s">
        <v>817</v>
      </c>
      <c r="AB79" s="15">
        <f t="shared" si="18"/>
        <v>0</v>
      </c>
      <c r="AC79" s="83" t="str">
        <f t="shared" si="19"/>
        <v>北落师门碎片</v>
      </c>
      <c r="AD79" s="15">
        <f t="shared" si="20"/>
        <v>80</v>
      </c>
      <c r="AU79" s="66">
        <v>75</v>
      </c>
      <c r="AV79" s="66">
        <v>24</v>
      </c>
      <c r="AW79" s="22">
        <f>AV79/AT$78</f>
        <v>9.7959183673469383E-2</v>
      </c>
      <c r="AX79" s="94">
        <v>9.4999999999999893</v>
      </c>
      <c r="AY79" s="66">
        <f>INT(AT$76*AW79/AX79)</f>
        <v>23347</v>
      </c>
      <c r="AZ79" s="66">
        <f>SUM(AY$5:AY79)</f>
        <v>514254</v>
      </c>
    </row>
    <row r="80" spans="1:52" ht="16.5" x14ac:dyDescent="0.2">
      <c r="I80" s="34">
        <v>43</v>
      </c>
      <c r="J80" s="15">
        <f t="shared" si="10"/>
        <v>1102003</v>
      </c>
      <c r="K80" s="15">
        <f t="shared" si="11"/>
        <v>4</v>
      </c>
      <c r="L80" s="15">
        <f t="shared" si="12"/>
        <v>1</v>
      </c>
      <c r="M80" s="15" t="str">
        <f t="shared" si="13"/>
        <v>黄</v>
      </c>
      <c r="N80" s="15" t="str">
        <f t="shared" si="14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83">
        <v>43</v>
      </c>
      <c r="X80" s="83">
        <f t="shared" si="15"/>
        <v>9</v>
      </c>
      <c r="Y80" s="83">
        <f t="shared" si="16"/>
        <v>1101009</v>
      </c>
      <c r="Z80" s="83">
        <f t="shared" si="17"/>
        <v>3</v>
      </c>
      <c r="AA80" s="83" t="s">
        <v>817</v>
      </c>
      <c r="AB80" s="15">
        <f t="shared" si="18"/>
        <v>0</v>
      </c>
      <c r="AC80" s="83" t="str">
        <f t="shared" si="19"/>
        <v>北落师门碎片</v>
      </c>
      <c r="AD80" s="15">
        <f t="shared" si="20"/>
        <v>120</v>
      </c>
      <c r="AU80" s="66">
        <v>76</v>
      </c>
      <c r="AV80" s="66">
        <v>25</v>
      </c>
      <c r="AW80" s="22">
        <f>AV80/AT$78</f>
        <v>0.10204081632653061</v>
      </c>
      <c r="AX80" s="94">
        <v>9.5999999999999908</v>
      </c>
      <c r="AY80" s="66">
        <f>INT(AT$76*AW80/AX80)</f>
        <v>24067</v>
      </c>
      <c r="AZ80" s="66">
        <f>SUM(AY$5:AY80)</f>
        <v>538321</v>
      </c>
    </row>
    <row r="81" spans="9:52" ht="16.5" x14ac:dyDescent="0.2">
      <c r="I81" s="34">
        <v>44</v>
      </c>
      <c r="J81" s="15">
        <f t="shared" si="10"/>
        <v>1102003</v>
      </c>
      <c r="K81" s="15">
        <f t="shared" si="11"/>
        <v>4</v>
      </c>
      <c r="L81" s="15">
        <f t="shared" si="12"/>
        <v>2</v>
      </c>
      <c r="M81" s="15" t="str">
        <f t="shared" si="13"/>
        <v>黄</v>
      </c>
      <c r="N81" s="15" t="str">
        <f t="shared" si="14"/>
        <v>金币</v>
      </c>
      <c r="O81" s="15">
        <f>IF(L81&gt;1,INDEX(挂机升级突破!$AI$35:$AI$55,卡牌消耗!L81),"")</f>
        <v>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83">
        <v>44</v>
      </c>
      <c r="X81" s="83">
        <f t="shared" si="15"/>
        <v>9</v>
      </c>
      <c r="Y81" s="83">
        <f t="shared" si="16"/>
        <v>1101009</v>
      </c>
      <c r="Z81" s="83">
        <f t="shared" si="17"/>
        <v>4</v>
      </c>
      <c r="AA81" s="83" t="s">
        <v>817</v>
      </c>
      <c r="AB81" s="15">
        <f t="shared" si="18"/>
        <v>0</v>
      </c>
      <c r="AC81" s="83" t="str">
        <f t="shared" si="19"/>
        <v>北落师门碎片</v>
      </c>
      <c r="AD81" s="15">
        <f t="shared" si="20"/>
        <v>160</v>
      </c>
      <c r="AU81" s="66">
        <v>77</v>
      </c>
      <c r="AV81" s="66">
        <v>26</v>
      </c>
      <c r="AW81" s="22">
        <f>AV81/AT$78</f>
        <v>0.10612244897959183</v>
      </c>
      <c r="AX81" s="94">
        <v>9.6999999999999904</v>
      </c>
      <c r="AY81" s="66">
        <f>INT(AT$76*AW81/AX81)</f>
        <v>24771</v>
      </c>
      <c r="AZ81" s="66">
        <f>SUM(AY$5:AY81)</f>
        <v>563092</v>
      </c>
    </row>
    <row r="82" spans="9:52" ht="16.5" x14ac:dyDescent="0.2">
      <c r="I82" s="34">
        <v>45</v>
      </c>
      <c r="J82" s="15">
        <f t="shared" si="10"/>
        <v>1102003</v>
      </c>
      <c r="K82" s="15">
        <f t="shared" si="11"/>
        <v>4</v>
      </c>
      <c r="L82" s="15">
        <f t="shared" si="12"/>
        <v>3</v>
      </c>
      <c r="M82" s="15" t="str">
        <f t="shared" si="13"/>
        <v>黄</v>
      </c>
      <c r="N82" s="15" t="str">
        <f t="shared" si="14"/>
        <v>金币</v>
      </c>
      <c r="O82" s="15">
        <f>IF(L82&gt;1,INDEX(挂机升级突破!$AI$35:$AI$55,卡牌消耗!L82),"")</f>
        <v>2500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83">
        <v>45</v>
      </c>
      <c r="X82" s="83">
        <f t="shared" si="15"/>
        <v>9</v>
      </c>
      <c r="Y82" s="83">
        <f t="shared" si="16"/>
        <v>1101009</v>
      </c>
      <c r="Z82" s="83">
        <f t="shared" si="17"/>
        <v>5</v>
      </c>
      <c r="AA82" s="83" t="s">
        <v>817</v>
      </c>
      <c r="AB82" s="15">
        <f t="shared" si="18"/>
        <v>0</v>
      </c>
      <c r="AC82" s="83" t="str">
        <f t="shared" si="19"/>
        <v>北落师门碎片</v>
      </c>
      <c r="AD82" s="15">
        <f t="shared" si="20"/>
        <v>240</v>
      </c>
      <c r="AU82" s="66">
        <v>78</v>
      </c>
      <c r="AV82" s="66">
        <v>27</v>
      </c>
      <c r="AW82" s="22">
        <f>AV82/AT$78</f>
        <v>0.11020408163265306</v>
      </c>
      <c r="AX82" s="94">
        <v>9.7999999999999901</v>
      </c>
      <c r="AY82" s="66">
        <f>INT(AT$76*AW82/AX82)</f>
        <v>25462</v>
      </c>
      <c r="AZ82" s="66">
        <f>SUM(AY$5:AY82)</f>
        <v>588554</v>
      </c>
    </row>
    <row r="83" spans="9:52" ht="16.5" x14ac:dyDescent="0.2">
      <c r="I83" s="34">
        <v>46</v>
      </c>
      <c r="J83" s="15">
        <f t="shared" si="10"/>
        <v>1102003</v>
      </c>
      <c r="K83" s="15">
        <f t="shared" si="11"/>
        <v>4</v>
      </c>
      <c r="L83" s="15">
        <f t="shared" si="12"/>
        <v>4</v>
      </c>
      <c r="M83" s="15" t="str">
        <f t="shared" si="13"/>
        <v>黄</v>
      </c>
      <c r="N83" s="15" t="str">
        <f t="shared" si="14"/>
        <v>金币</v>
      </c>
      <c r="O83" s="15">
        <f>IF(L83&gt;1,INDEX(挂机升级突破!$AI$35:$AI$55,卡牌消耗!L83),"")</f>
        <v>5500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83">
        <v>46</v>
      </c>
      <c r="X83" s="83">
        <f t="shared" si="15"/>
        <v>10</v>
      </c>
      <c r="Y83" s="83">
        <f t="shared" si="16"/>
        <v>1101010</v>
      </c>
      <c r="Z83" s="83">
        <f t="shared" si="17"/>
        <v>1</v>
      </c>
      <c r="AA83" s="83" t="s">
        <v>817</v>
      </c>
      <c r="AB83" s="15">
        <f t="shared" si="18"/>
        <v>0</v>
      </c>
      <c r="AC83" s="83" t="str">
        <f t="shared" si="19"/>
        <v>盖文碎片</v>
      </c>
      <c r="AD83" s="15">
        <f t="shared" si="20"/>
        <v>80</v>
      </c>
      <c r="AU83" s="66">
        <v>79</v>
      </c>
      <c r="AV83" s="66">
        <v>28</v>
      </c>
      <c r="AW83" s="22">
        <f>AV83/AT$78</f>
        <v>0.11428571428571428</v>
      </c>
      <c r="AX83" s="94">
        <v>9.8999999999999897</v>
      </c>
      <c r="AY83" s="66">
        <f>INT(AT$76*AW83/AX83)</f>
        <v>26138</v>
      </c>
      <c r="AZ83" s="66">
        <f>SUM(AY$5:AY83)</f>
        <v>614692</v>
      </c>
    </row>
    <row r="84" spans="9:52" ht="16.5" x14ac:dyDescent="0.2">
      <c r="I84" s="34">
        <v>47</v>
      </c>
      <c r="J84" s="15">
        <f t="shared" si="10"/>
        <v>1102003</v>
      </c>
      <c r="K84" s="15">
        <f t="shared" si="11"/>
        <v>4</v>
      </c>
      <c r="L84" s="15">
        <f t="shared" si="12"/>
        <v>5</v>
      </c>
      <c r="M84" s="15" t="str">
        <f t="shared" si="13"/>
        <v>黄</v>
      </c>
      <c r="N84" s="15" t="str">
        <f t="shared" si="14"/>
        <v>金币</v>
      </c>
      <c r="O84" s="15">
        <f>IF(L84&gt;1,INDEX(挂机升级突破!$AI$35:$AI$55,卡牌消耗!L84),"")</f>
        <v>7500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83">
        <v>47</v>
      </c>
      <c r="X84" s="83">
        <f t="shared" si="15"/>
        <v>10</v>
      </c>
      <c r="Y84" s="83">
        <f t="shared" si="16"/>
        <v>1101010</v>
      </c>
      <c r="Z84" s="83">
        <f t="shared" si="17"/>
        <v>2</v>
      </c>
      <c r="AA84" s="83" t="s">
        <v>817</v>
      </c>
      <c r="AB84" s="15">
        <f t="shared" si="18"/>
        <v>0</v>
      </c>
      <c r="AC84" s="83" t="str">
        <f t="shared" si="19"/>
        <v>盖文碎片</v>
      </c>
      <c r="AD84" s="15">
        <f t="shared" si="20"/>
        <v>80</v>
      </c>
      <c r="AU84" s="66">
        <v>80</v>
      </c>
      <c r="AV84" s="66">
        <v>29</v>
      </c>
      <c r="AW84" s="22">
        <f>AV84/AT$78</f>
        <v>0.11836734693877551</v>
      </c>
      <c r="AX84" s="94">
        <v>9.9999999999999893</v>
      </c>
      <c r="AY84" s="66">
        <f>INT(AT$76*AW84/AX84)</f>
        <v>26801</v>
      </c>
      <c r="AZ84" s="66">
        <f>SUM(AY$5:AY84)</f>
        <v>641493</v>
      </c>
    </row>
    <row r="85" spans="9:52" ht="16.5" x14ac:dyDescent="0.2">
      <c r="I85" s="34">
        <v>48</v>
      </c>
      <c r="J85" s="15">
        <f t="shared" si="10"/>
        <v>1102003</v>
      </c>
      <c r="K85" s="15">
        <f t="shared" si="11"/>
        <v>4</v>
      </c>
      <c r="L85" s="15">
        <f t="shared" si="12"/>
        <v>6</v>
      </c>
      <c r="M85" s="15" t="str">
        <f t="shared" si="13"/>
        <v>黄</v>
      </c>
      <c r="N85" s="15" t="str">
        <f t="shared" si="14"/>
        <v>金币</v>
      </c>
      <c r="O85" s="15">
        <f>IF(L85&gt;1,INDEX(挂机升级突破!$AI$35:$AI$55,卡牌消耗!L85),"")</f>
        <v>17500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83">
        <v>48</v>
      </c>
      <c r="X85" s="83">
        <f t="shared" si="15"/>
        <v>10</v>
      </c>
      <c r="Y85" s="83">
        <f t="shared" si="16"/>
        <v>1101010</v>
      </c>
      <c r="Z85" s="83">
        <f t="shared" si="17"/>
        <v>3</v>
      </c>
      <c r="AA85" s="83" t="s">
        <v>817</v>
      </c>
      <c r="AB85" s="15">
        <f t="shared" si="18"/>
        <v>0</v>
      </c>
      <c r="AC85" s="83" t="str">
        <f t="shared" si="19"/>
        <v>盖文碎片</v>
      </c>
      <c r="AD85" s="15">
        <f t="shared" si="20"/>
        <v>160</v>
      </c>
      <c r="AS85" s="66" t="s">
        <v>596</v>
      </c>
      <c r="AT85" s="66">
        <v>9</v>
      </c>
      <c r="AU85" s="66">
        <v>81</v>
      </c>
      <c r="AV85" s="66">
        <v>20</v>
      </c>
      <c r="AW85" s="22">
        <f>AV85/AT$88</f>
        <v>8.1632653061224483E-2</v>
      </c>
      <c r="AX85" s="94">
        <v>10.1</v>
      </c>
      <c r="AY85" s="66">
        <f>INT(AT$86*AW85/AX85)</f>
        <v>32668</v>
      </c>
      <c r="AZ85" s="66">
        <f>SUM(AY$5:AY85)</f>
        <v>674161</v>
      </c>
    </row>
    <row r="86" spans="9:52" ht="16.5" x14ac:dyDescent="0.2">
      <c r="I86" s="34">
        <v>49</v>
      </c>
      <c r="J86" s="15">
        <f t="shared" si="10"/>
        <v>1102003</v>
      </c>
      <c r="K86" s="15">
        <f t="shared" si="11"/>
        <v>4</v>
      </c>
      <c r="L86" s="15">
        <f t="shared" si="12"/>
        <v>7</v>
      </c>
      <c r="M86" s="15" t="str">
        <f t="shared" si="13"/>
        <v>黄</v>
      </c>
      <c r="N86" s="15" t="str">
        <f t="shared" si="14"/>
        <v>金币</v>
      </c>
      <c r="O86" s="15">
        <f>IF(L86&gt;1,INDEX(挂机升级突破!$AI$35:$AI$55,卡牌消耗!L86),"")</f>
        <v>19500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83">
        <v>49</v>
      </c>
      <c r="X86" s="83">
        <f t="shared" si="15"/>
        <v>10</v>
      </c>
      <c r="Y86" s="83">
        <f t="shared" si="16"/>
        <v>1101010</v>
      </c>
      <c r="Z86" s="83">
        <f t="shared" si="17"/>
        <v>4</v>
      </c>
      <c r="AA86" s="83" t="s">
        <v>817</v>
      </c>
      <c r="AB86" s="15">
        <f t="shared" si="18"/>
        <v>0</v>
      </c>
      <c r="AC86" s="83" t="str">
        <f t="shared" si="19"/>
        <v>盖文碎片</v>
      </c>
      <c r="AD86" s="15">
        <f t="shared" si="20"/>
        <v>240</v>
      </c>
      <c r="AS86" s="15" t="str">
        <f>INDEX($AF$5:$AF$19,AT85)</f>
        <v>80~90</v>
      </c>
      <c r="AT86" s="15">
        <f>INDEX($AO$5:$AO$19,AT85)</f>
        <v>4041900</v>
      </c>
      <c r="AU86" s="66">
        <v>82</v>
      </c>
      <c r="AV86" s="66">
        <v>21</v>
      </c>
      <c r="AW86" s="22">
        <f>AV86/AT$88</f>
        <v>8.5714285714285715E-2</v>
      </c>
      <c r="AX86" s="94">
        <v>10.199999999999999</v>
      </c>
      <c r="AY86" s="66">
        <f>INT(AT$86*AW86/AX86)</f>
        <v>33965</v>
      </c>
      <c r="AZ86" s="66">
        <f>SUM(AY$5:AY86)</f>
        <v>708126</v>
      </c>
    </row>
    <row r="87" spans="9:52" ht="16.5" x14ac:dyDescent="0.2">
      <c r="I87" s="34">
        <v>50</v>
      </c>
      <c r="J87" s="15">
        <f t="shared" si="10"/>
        <v>1102003</v>
      </c>
      <c r="K87" s="15">
        <f t="shared" si="11"/>
        <v>4</v>
      </c>
      <c r="L87" s="15">
        <f t="shared" si="12"/>
        <v>8</v>
      </c>
      <c r="M87" s="15" t="str">
        <f t="shared" si="13"/>
        <v>黄</v>
      </c>
      <c r="N87" s="15" t="str">
        <f t="shared" si="14"/>
        <v>金币</v>
      </c>
      <c r="O87" s="15">
        <f>IF(L87&gt;1,INDEX(挂机升级突破!$AI$35:$AI$55,卡牌消耗!L87),"")</f>
        <v>22000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83">
        <v>50</v>
      </c>
      <c r="X87" s="83">
        <f t="shared" si="15"/>
        <v>10</v>
      </c>
      <c r="Y87" s="83">
        <f t="shared" si="16"/>
        <v>1101010</v>
      </c>
      <c r="Z87" s="83">
        <f t="shared" si="17"/>
        <v>5</v>
      </c>
      <c r="AA87" s="83" t="s">
        <v>817</v>
      </c>
      <c r="AB87" s="15">
        <f t="shared" si="18"/>
        <v>0</v>
      </c>
      <c r="AC87" s="83" t="str">
        <f t="shared" si="19"/>
        <v>盖文碎片</v>
      </c>
      <c r="AD87" s="15">
        <f t="shared" si="20"/>
        <v>320</v>
      </c>
      <c r="AS87" s="66" t="s">
        <v>594</v>
      </c>
      <c r="AT87" s="15">
        <f>INDEX($AP$5:$AP$19,AT85)</f>
        <v>7</v>
      </c>
      <c r="AU87" s="66">
        <v>83</v>
      </c>
      <c r="AV87" s="66">
        <v>22</v>
      </c>
      <c r="AW87" s="22">
        <f>AV87/AT$88</f>
        <v>8.9795918367346933E-2</v>
      </c>
      <c r="AX87" s="94">
        <v>10.3</v>
      </c>
      <c r="AY87" s="66">
        <f>INT(AT$86*AW87/AX87)</f>
        <v>35237</v>
      </c>
      <c r="AZ87" s="66">
        <f>SUM(AY$5:AY87)</f>
        <v>743363</v>
      </c>
    </row>
    <row r="88" spans="9:52" ht="16.5" x14ac:dyDescent="0.2">
      <c r="I88" s="34">
        <v>51</v>
      </c>
      <c r="J88" s="15">
        <f t="shared" si="10"/>
        <v>1102003</v>
      </c>
      <c r="K88" s="15">
        <f t="shared" si="11"/>
        <v>4</v>
      </c>
      <c r="L88" s="15">
        <f t="shared" si="12"/>
        <v>9</v>
      </c>
      <c r="M88" s="15" t="str">
        <f t="shared" si="13"/>
        <v>黄</v>
      </c>
      <c r="N88" s="15" t="str">
        <f t="shared" si="14"/>
        <v>金币</v>
      </c>
      <c r="O88" s="15">
        <f>IF(L88&gt;1,INDEX(挂机升级突破!$AI$35:$AI$55,卡牌消耗!L88),"")</f>
        <v>25000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83">
        <v>51</v>
      </c>
      <c r="X88" s="83">
        <f t="shared" si="15"/>
        <v>11</v>
      </c>
      <c r="Y88" s="83">
        <f t="shared" si="16"/>
        <v>1101011</v>
      </c>
      <c r="Z88" s="83">
        <f t="shared" si="17"/>
        <v>1</v>
      </c>
      <c r="AA88" s="83" t="s">
        <v>817</v>
      </c>
      <c r="AB88" s="15">
        <f t="shared" si="18"/>
        <v>0</v>
      </c>
      <c r="AC88" s="83" t="str">
        <f t="shared" si="19"/>
        <v>阎风吒碎片</v>
      </c>
      <c r="AD88" s="15">
        <f t="shared" si="20"/>
        <v>40</v>
      </c>
      <c r="AS88" s="16"/>
      <c r="AT88" s="15">
        <f>SUM(AV85:AV94)</f>
        <v>245</v>
      </c>
      <c r="AU88" s="66">
        <v>84</v>
      </c>
      <c r="AV88" s="66">
        <v>23</v>
      </c>
      <c r="AW88" s="22">
        <f>AV88/AT$88</f>
        <v>9.3877551020408165E-2</v>
      </c>
      <c r="AX88" s="94">
        <v>10.4</v>
      </c>
      <c r="AY88" s="66">
        <f>INT(AT$86*AW88/AX88)</f>
        <v>36484</v>
      </c>
      <c r="AZ88" s="66">
        <f>SUM(AY$5:AY88)</f>
        <v>779847</v>
      </c>
    </row>
    <row r="89" spans="9:52" ht="16.5" x14ac:dyDescent="0.2">
      <c r="I89" s="34">
        <v>52</v>
      </c>
      <c r="J89" s="15">
        <f t="shared" si="10"/>
        <v>1102003</v>
      </c>
      <c r="K89" s="15">
        <f t="shared" si="11"/>
        <v>4</v>
      </c>
      <c r="L89" s="15">
        <f t="shared" si="12"/>
        <v>10</v>
      </c>
      <c r="M89" s="15" t="str">
        <f t="shared" si="13"/>
        <v>黄</v>
      </c>
      <c r="N89" s="15" t="str">
        <f t="shared" si="14"/>
        <v>金币</v>
      </c>
      <c r="O89" s="15">
        <f>IF(L89&gt;1,INDEX(挂机升级突破!$AI$35:$AI$55,卡牌消耗!L89),"")</f>
        <v>27500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83">
        <v>52</v>
      </c>
      <c r="X89" s="83">
        <f t="shared" si="15"/>
        <v>11</v>
      </c>
      <c r="Y89" s="83">
        <f t="shared" si="16"/>
        <v>1101011</v>
      </c>
      <c r="Z89" s="83">
        <f t="shared" si="17"/>
        <v>2</v>
      </c>
      <c r="AA89" s="83" t="s">
        <v>817</v>
      </c>
      <c r="AB89" s="15">
        <f t="shared" si="18"/>
        <v>0</v>
      </c>
      <c r="AC89" s="83" t="str">
        <f t="shared" si="19"/>
        <v>阎风吒碎片</v>
      </c>
      <c r="AD89" s="15">
        <f t="shared" si="20"/>
        <v>80</v>
      </c>
      <c r="AU89" s="66">
        <v>85</v>
      </c>
      <c r="AV89" s="66">
        <v>24</v>
      </c>
      <c r="AW89" s="22">
        <f>AV89/AT$88</f>
        <v>9.7959183673469383E-2</v>
      </c>
      <c r="AX89" s="94">
        <v>10.5</v>
      </c>
      <c r="AY89" s="66">
        <f>INT(AT$86*AW89/AX89)</f>
        <v>37708</v>
      </c>
      <c r="AZ89" s="66">
        <f>SUM(AY$5:AY89)</f>
        <v>817555</v>
      </c>
    </row>
    <row r="90" spans="9:52" ht="16.5" x14ac:dyDescent="0.2">
      <c r="I90" s="34">
        <v>53</v>
      </c>
      <c r="J90" s="15">
        <f t="shared" si="10"/>
        <v>1102003</v>
      </c>
      <c r="K90" s="15">
        <f t="shared" si="11"/>
        <v>4</v>
      </c>
      <c r="L90" s="15">
        <f t="shared" si="12"/>
        <v>11</v>
      </c>
      <c r="M90" s="15" t="str">
        <f t="shared" si="13"/>
        <v>黄</v>
      </c>
      <c r="N90" s="15" t="str">
        <f t="shared" si="14"/>
        <v>金币</v>
      </c>
      <c r="O90" s="15">
        <f>IF(L90&gt;1,INDEX(挂机升级突破!$AI$35:$AI$55,卡牌消耗!L90),"")</f>
        <v>30000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83">
        <v>53</v>
      </c>
      <c r="X90" s="83">
        <f t="shared" si="15"/>
        <v>11</v>
      </c>
      <c r="Y90" s="83">
        <f t="shared" si="16"/>
        <v>1101011</v>
      </c>
      <c r="Z90" s="83">
        <f t="shared" si="17"/>
        <v>3</v>
      </c>
      <c r="AA90" s="83" t="s">
        <v>817</v>
      </c>
      <c r="AB90" s="15">
        <f t="shared" si="18"/>
        <v>0</v>
      </c>
      <c r="AC90" s="83" t="str">
        <f t="shared" si="19"/>
        <v>阎风吒碎片</v>
      </c>
      <c r="AD90" s="15">
        <f t="shared" si="20"/>
        <v>120</v>
      </c>
      <c r="AU90" s="66">
        <v>86</v>
      </c>
      <c r="AV90" s="66">
        <v>25</v>
      </c>
      <c r="AW90" s="22">
        <f>AV90/AT$88</f>
        <v>0.10204081632653061</v>
      </c>
      <c r="AX90" s="94">
        <v>10.6</v>
      </c>
      <c r="AY90" s="66">
        <f>INT(AT$86*AW90/AX90)</f>
        <v>38909</v>
      </c>
      <c r="AZ90" s="66">
        <f>SUM(AY$5:AY90)</f>
        <v>856464</v>
      </c>
    </row>
    <row r="91" spans="9:52" ht="16.5" x14ac:dyDescent="0.2">
      <c r="I91" s="34">
        <v>54</v>
      </c>
      <c r="J91" s="15">
        <f t="shared" si="10"/>
        <v>1102003</v>
      </c>
      <c r="K91" s="15">
        <f t="shared" si="11"/>
        <v>4</v>
      </c>
      <c r="L91" s="15">
        <f t="shared" si="12"/>
        <v>12</v>
      </c>
      <c r="M91" s="15" t="str">
        <f t="shared" si="13"/>
        <v>黄</v>
      </c>
      <c r="N91" s="15" t="str">
        <f t="shared" si="14"/>
        <v>金币</v>
      </c>
      <c r="O91" s="15">
        <f>IF(L91&gt;1,INDEX(挂机升级突破!$AI$35:$AI$55,卡牌消耗!L91),"")</f>
        <v>32000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83">
        <v>54</v>
      </c>
      <c r="X91" s="83">
        <f t="shared" si="15"/>
        <v>11</v>
      </c>
      <c r="Y91" s="83">
        <f t="shared" si="16"/>
        <v>1101011</v>
      </c>
      <c r="Z91" s="83">
        <f t="shared" si="17"/>
        <v>4</v>
      </c>
      <c r="AA91" s="83" t="s">
        <v>817</v>
      </c>
      <c r="AB91" s="15">
        <f t="shared" si="18"/>
        <v>0</v>
      </c>
      <c r="AC91" s="83" t="str">
        <f t="shared" si="19"/>
        <v>阎风吒碎片</v>
      </c>
      <c r="AD91" s="15">
        <f t="shared" si="20"/>
        <v>160</v>
      </c>
      <c r="AU91" s="66">
        <v>87</v>
      </c>
      <c r="AV91" s="66">
        <v>26</v>
      </c>
      <c r="AW91" s="22">
        <f>AV91/AT$88</f>
        <v>0.10612244897959183</v>
      </c>
      <c r="AX91" s="94">
        <v>10.7</v>
      </c>
      <c r="AY91" s="66">
        <f>INT(AT$86*AW91/AX91)</f>
        <v>40087</v>
      </c>
      <c r="AZ91" s="66">
        <f>SUM(AY$5:AY91)</f>
        <v>896551</v>
      </c>
    </row>
    <row r="92" spans="9:52" ht="16.5" x14ac:dyDescent="0.2">
      <c r="I92" s="34">
        <v>55</v>
      </c>
      <c r="J92" s="15">
        <f t="shared" si="10"/>
        <v>1102003</v>
      </c>
      <c r="K92" s="15">
        <f t="shared" si="11"/>
        <v>4</v>
      </c>
      <c r="L92" s="15">
        <f t="shared" si="12"/>
        <v>13</v>
      </c>
      <c r="M92" s="15" t="str">
        <f t="shared" si="13"/>
        <v>黄</v>
      </c>
      <c r="N92" s="15" t="str">
        <f t="shared" si="14"/>
        <v>金币</v>
      </c>
      <c r="O92" s="15">
        <f>IF(L92&gt;1,INDEX(挂机升级突破!$AI$35:$AI$55,卡牌消耗!L92),"")</f>
        <v>40500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83">
        <v>55</v>
      </c>
      <c r="X92" s="83">
        <f t="shared" si="15"/>
        <v>11</v>
      </c>
      <c r="Y92" s="83">
        <f t="shared" si="16"/>
        <v>1101011</v>
      </c>
      <c r="Z92" s="83">
        <f t="shared" si="17"/>
        <v>5</v>
      </c>
      <c r="AA92" s="83" t="s">
        <v>817</v>
      </c>
      <c r="AB92" s="15">
        <f t="shared" si="18"/>
        <v>0</v>
      </c>
      <c r="AC92" s="83" t="str">
        <f t="shared" si="19"/>
        <v>阎风吒碎片</v>
      </c>
      <c r="AD92" s="15">
        <f t="shared" si="20"/>
        <v>240</v>
      </c>
      <c r="AU92" s="66">
        <v>88</v>
      </c>
      <c r="AV92" s="66">
        <v>27</v>
      </c>
      <c r="AW92" s="22">
        <f>AV92/AT$88</f>
        <v>0.11020408163265306</v>
      </c>
      <c r="AX92" s="94">
        <v>10.8</v>
      </c>
      <c r="AY92" s="66">
        <f>INT(AT$86*AW92/AX92)</f>
        <v>41243</v>
      </c>
      <c r="AZ92" s="66">
        <f>SUM(AY$5:AY92)</f>
        <v>937794</v>
      </c>
    </row>
    <row r="93" spans="9:52" ht="16.5" x14ac:dyDescent="0.2">
      <c r="I93" s="34">
        <v>56</v>
      </c>
      <c r="J93" s="15">
        <f t="shared" si="10"/>
        <v>1102003</v>
      </c>
      <c r="K93" s="15">
        <f t="shared" si="11"/>
        <v>4</v>
      </c>
      <c r="L93" s="15">
        <f t="shared" si="12"/>
        <v>14</v>
      </c>
      <c r="M93" s="15" t="str">
        <f t="shared" si="13"/>
        <v>黄</v>
      </c>
      <c r="N93" s="15" t="str">
        <f t="shared" si="14"/>
        <v>金币</v>
      </c>
      <c r="O93" s="15">
        <f>IF(L93&gt;1,INDEX(挂机升级突破!$AI$35:$AI$55,卡牌消耗!L93),"")</f>
        <v>54000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83">
        <v>56</v>
      </c>
      <c r="X93" s="83">
        <f t="shared" si="15"/>
        <v>12</v>
      </c>
      <c r="Y93" s="83">
        <f t="shared" si="16"/>
        <v>1101012</v>
      </c>
      <c r="Z93" s="83">
        <f t="shared" si="17"/>
        <v>1</v>
      </c>
      <c r="AA93" s="83" t="s">
        <v>817</v>
      </c>
      <c r="AB93" s="15">
        <f t="shared" si="18"/>
        <v>0</v>
      </c>
      <c r="AC93" s="83" t="str">
        <f t="shared" si="19"/>
        <v>南御夫碎片</v>
      </c>
      <c r="AD93" s="15">
        <f t="shared" si="20"/>
        <v>40</v>
      </c>
      <c r="AU93" s="66">
        <v>89</v>
      </c>
      <c r="AV93" s="66">
        <v>28</v>
      </c>
      <c r="AW93" s="22">
        <f>AV93/AT$88</f>
        <v>0.11428571428571428</v>
      </c>
      <c r="AX93" s="94">
        <v>10.9</v>
      </c>
      <c r="AY93" s="66">
        <f>INT(AT$86*AW93/AX93)</f>
        <v>42379</v>
      </c>
      <c r="AZ93" s="66">
        <f>SUM(AY$5:AY93)</f>
        <v>980173</v>
      </c>
    </row>
    <row r="94" spans="9:52" ht="16.5" x14ac:dyDescent="0.2">
      <c r="I94" s="34">
        <v>57</v>
      </c>
      <c r="J94" s="15">
        <f t="shared" si="10"/>
        <v>1102003</v>
      </c>
      <c r="K94" s="15">
        <f t="shared" si="11"/>
        <v>4</v>
      </c>
      <c r="L94" s="15">
        <f t="shared" si="12"/>
        <v>15</v>
      </c>
      <c r="M94" s="15" t="str">
        <f t="shared" si="13"/>
        <v>黄</v>
      </c>
      <c r="N94" s="15" t="str">
        <f t="shared" si="14"/>
        <v>金币</v>
      </c>
      <c r="O94" s="15">
        <f>IF(L94&gt;1,INDEX(挂机升级突破!$AI$35:$AI$55,卡牌消耗!L94),"")</f>
        <v>63000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83">
        <v>57</v>
      </c>
      <c r="X94" s="83">
        <f t="shared" si="15"/>
        <v>12</v>
      </c>
      <c r="Y94" s="83">
        <f t="shared" si="16"/>
        <v>1101012</v>
      </c>
      <c r="Z94" s="83">
        <f t="shared" si="17"/>
        <v>2</v>
      </c>
      <c r="AA94" s="83" t="s">
        <v>817</v>
      </c>
      <c r="AB94" s="15">
        <f t="shared" si="18"/>
        <v>0</v>
      </c>
      <c r="AC94" s="83" t="str">
        <f t="shared" si="19"/>
        <v>南御夫碎片</v>
      </c>
      <c r="AD94" s="15">
        <f t="shared" si="20"/>
        <v>80</v>
      </c>
      <c r="AU94" s="66">
        <v>90</v>
      </c>
      <c r="AV94" s="66">
        <v>29</v>
      </c>
      <c r="AW94" s="22">
        <f>AV94/AT$88</f>
        <v>0.11836734693877551</v>
      </c>
      <c r="AX94" s="94">
        <v>11</v>
      </c>
      <c r="AY94" s="66">
        <f>INT(AT$86*AW94/AX94)</f>
        <v>43493</v>
      </c>
      <c r="AZ94" s="66">
        <f>SUM(AY$5:AY94)</f>
        <v>1023666</v>
      </c>
    </row>
    <row r="95" spans="9:52" ht="16.5" x14ac:dyDescent="0.2">
      <c r="I95" s="34">
        <v>58</v>
      </c>
      <c r="J95" s="15">
        <f t="shared" si="10"/>
        <v>1102003</v>
      </c>
      <c r="K95" s="15">
        <f t="shared" si="11"/>
        <v>4</v>
      </c>
      <c r="L95" s="15">
        <f t="shared" si="12"/>
        <v>16</v>
      </c>
      <c r="M95" s="15" t="str">
        <f t="shared" si="13"/>
        <v>黄</v>
      </c>
      <c r="N95" s="15" t="str">
        <f t="shared" si="14"/>
        <v>金币</v>
      </c>
      <c r="O95" s="15">
        <f>IF(L95&gt;1,INDEX(挂机升级突破!$AI$35:$AI$55,卡牌消耗!L95),"")</f>
        <v>73000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83">
        <v>58</v>
      </c>
      <c r="X95" s="83">
        <f t="shared" si="15"/>
        <v>12</v>
      </c>
      <c r="Y95" s="83">
        <f t="shared" si="16"/>
        <v>1101012</v>
      </c>
      <c r="Z95" s="83">
        <f t="shared" si="17"/>
        <v>3</v>
      </c>
      <c r="AA95" s="83" t="s">
        <v>817</v>
      </c>
      <c r="AB95" s="15">
        <f t="shared" si="18"/>
        <v>0</v>
      </c>
      <c r="AC95" s="83" t="str">
        <f t="shared" si="19"/>
        <v>南御夫碎片</v>
      </c>
      <c r="AD95" s="15">
        <f t="shared" si="20"/>
        <v>120</v>
      </c>
      <c r="AS95" s="66" t="s">
        <v>596</v>
      </c>
      <c r="AT95" s="66">
        <v>10</v>
      </c>
      <c r="AU95" s="66">
        <v>91</v>
      </c>
      <c r="AV95" s="66">
        <v>20</v>
      </c>
      <c r="AW95" s="22">
        <f>AV95/AT$98</f>
        <v>8.1632653061224483E-2</v>
      </c>
      <c r="AX95" s="94">
        <v>11.1</v>
      </c>
      <c r="AY95" s="66">
        <f>INT(AT$96*AW95/AX95)</f>
        <v>59331</v>
      </c>
      <c r="AZ95" s="66">
        <f>SUM(AY$5:AY95)</f>
        <v>1082997</v>
      </c>
    </row>
    <row r="96" spans="9:52" ht="16.5" x14ac:dyDescent="0.2">
      <c r="I96" s="34">
        <v>59</v>
      </c>
      <c r="J96" s="15">
        <f t="shared" si="10"/>
        <v>1102003</v>
      </c>
      <c r="K96" s="15">
        <f t="shared" si="11"/>
        <v>4</v>
      </c>
      <c r="L96" s="15">
        <f t="shared" si="12"/>
        <v>17</v>
      </c>
      <c r="M96" s="15" t="str">
        <f t="shared" si="13"/>
        <v>黄</v>
      </c>
      <c r="N96" s="15" t="str">
        <f t="shared" si="14"/>
        <v>金币</v>
      </c>
      <c r="O96" s="15">
        <f>IF(L96&gt;1,INDEX(挂机升级突破!$AI$35:$AI$55,卡牌消耗!L96),"")</f>
        <v>76000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83">
        <v>59</v>
      </c>
      <c r="X96" s="83">
        <f t="shared" si="15"/>
        <v>12</v>
      </c>
      <c r="Y96" s="83">
        <f t="shared" si="16"/>
        <v>1101012</v>
      </c>
      <c r="Z96" s="83">
        <f t="shared" si="17"/>
        <v>4</v>
      </c>
      <c r="AA96" s="83" t="s">
        <v>817</v>
      </c>
      <c r="AB96" s="15">
        <f t="shared" si="18"/>
        <v>0</v>
      </c>
      <c r="AC96" s="83" t="str">
        <f t="shared" si="19"/>
        <v>南御夫碎片</v>
      </c>
      <c r="AD96" s="15">
        <f t="shared" si="20"/>
        <v>160</v>
      </c>
      <c r="AS96" s="15" t="str">
        <f>INDEX($AF$5:$AF$19,AT95)</f>
        <v>90~100</v>
      </c>
      <c r="AT96" s="15">
        <f>INDEX($AO$5:$AO$19,AT95)</f>
        <v>8067600</v>
      </c>
      <c r="AU96" s="66">
        <v>92</v>
      </c>
      <c r="AV96" s="66">
        <v>21</v>
      </c>
      <c r="AW96" s="22">
        <f>AV96/AT$98</f>
        <v>8.5714285714285715E-2</v>
      </c>
      <c r="AX96" s="94">
        <v>11.2</v>
      </c>
      <c r="AY96" s="66">
        <f>INT(AT$96*AW96/AX96)</f>
        <v>61741</v>
      </c>
      <c r="AZ96" s="66">
        <f>SUM(AY$5:AY96)</f>
        <v>1144738</v>
      </c>
    </row>
    <row r="97" spans="9:52" ht="16.5" x14ac:dyDescent="0.2">
      <c r="I97" s="34">
        <v>60</v>
      </c>
      <c r="J97" s="15">
        <f t="shared" si="10"/>
        <v>1102003</v>
      </c>
      <c r="K97" s="15">
        <f t="shared" si="11"/>
        <v>4</v>
      </c>
      <c r="L97" s="15">
        <f t="shared" si="12"/>
        <v>18</v>
      </c>
      <c r="M97" s="15" t="str">
        <f t="shared" si="13"/>
        <v>黄</v>
      </c>
      <c r="N97" s="15" t="str">
        <f t="shared" si="14"/>
        <v>金币</v>
      </c>
      <c r="O97" s="15">
        <f>IF(L97&gt;1,INDEX(挂机升级突破!$AI$35:$AI$55,卡牌消耗!L97),"")</f>
        <v>106500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83">
        <v>60</v>
      </c>
      <c r="X97" s="83">
        <f t="shared" si="15"/>
        <v>12</v>
      </c>
      <c r="Y97" s="83">
        <f t="shared" si="16"/>
        <v>1101012</v>
      </c>
      <c r="Z97" s="83">
        <f t="shared" si="17"/>
        <v>5</v>
      </c>
      <c r="AA97" s="83" t="s">
        <v>817</v>
      </c>
      <c r="AB97" s="15">
        <f t="shared" si="18"/>
        <v>0</v>
      </c>
      <c r="AC97" s="83" t="str">
        <f t="shared" si="19"/>
        <v>南御夫碎片</v>
      </c>
      <c r="AD97" s="15">
        <f t="shared" si="20"/>
        <v>240</v>
      </c>
      <c r="AS97" s="66" t="s">
        <v>594</v>
      </c>
      <c r="AT97" s="15">
        <f>INDEX($AP$5:$AP$19,AT95)</f>
        <v>8</v>
      </c>
      <c r="AU97" s="66">
        <v>93</v>
      </c>
      <c r="AV97" s="66">
        <v>22</v>
      </c>
      <c r="AW97" s="22">
        <f>AV97/AT$98</f>
        <v>8.9795918367346933E-2</v>
      </c>
      <c r="AX97" s="94">
        <v>11.3</v>
      </c>
      <c r="AY97" s="66">
        <f>INT(AT$96*AW97/AX97)</f>
        <v>64109</v>
      </c>
      <c r="AZ97" s="66">
        <f>SUM(AY$5:AY97)</f>
        <v>1208847</v>
      </c>
    </row>
    <row r="98" spans="9:52" ht="16.5" x14ac:dyDescent="0.2">
      <c r="I98" s="34">
        <v>61</v>
      </c>
      <c r="J98" s="15">
        <f t="shared" si="10"/>
        <v>1102003</v>
      </c>
      <c r="K98" s="15">
        <f t="shared" si="11"/>
        <v>4</v>
      </c>
      <c r="L98" s="15">
        <f t="shared" si="12"/>
        <v>19</v>
      </c>
      <c r="M98" s="15" t="str">
        <f t="shared" si="13"/>
        <v>黄</v>
      </c>
      <c r="N98" s="15" t="str">
        <f t="shared" si="14"/>
        <v>金币</v>
      </c>
      <c r="O98" s="15">
        <f>IF(L98&gt;1,INDEX(挂机升级突破!$AI$35:$AI$55,卡牌消耗!L98),"")</f>
        <v>142000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83">
        <v>61</v>
      </c>
      <c r="X98" s="83">
        <f t="shared" si="15"/>
        <v>13</v>
      </c>
      <c r="Y98" s="83">
        <f t="shared" si="16"/>
        <v>1101013</v>
      </c>
      <c r="Z98" s="83">
        <f t="shared" si="17"/>
        <v>1</v>
      </c>
      <c r="AA98" s="83" t="s">
        <v>817</v>
      </c>
      <c r="AB98" s="15">
        <f t="shared" si="18"/>
        <v>0</v>
      </c>
      <c r="AC98" s="83" t="str">
        <f t="shared" si="19"/>
        <v>吉拉碎片</v>
      </c>
      <c r="AD98" s="15">
        <f t="shared" si="20"/>
        <v>20</v>
      </c>
      <c r="AS98" s="16"/>
      <c r="AT98" s="15">
        <f>SUM(AV95:AV104)</f>
        <v>245</v>
      </c>
      <c r="AU98" s="66">
        <v>94</v>
      </c>
      <c r="AV98" s="66">
        <v>23</v>
      </c>
      <c r="AW98" s="22">
        <f>AV98/AT$98</f>
        <v>9.3877551020408165E-2</v>
      </c>
      <c r="AX98" s="94">
        <v>11.4</v>
      </c>
      <c r="AY98" s="66">
        <f>INT(AT$96*AW98/AX98)</f>
        <v>66435</v>
      </c>
      <c r="AZ98" s="66">
        <f>SUM(AY$5:AY98)</f>
        <v>1275282</v>
      </c>
    </row>
    <row r="99" spans="9:52" ht="16.5" x14ac:dyDescent="0.2">
      <c r="I99" s="34">
        <v>62</v>
      </c>
      <c r="J99" s="15">
        <f t="shared" si="10"/>
        <v>1102003</v>
      </c>
      <c r="K99" s="15">
        <f t="shared" si="11"/>
        <v>4</v>
      </c>
      <c r="L99" s="15">
        <f t="shared" si="12"/>
        <v>20</v>
      </c>
      <c r="M99" s="15" t="str">
        <f t="shared" si="13"/>
        <v>黄</v>
      </c>
      <c r="N99" s="15" t="str">
        <f t="shared" si="14"/>
        <v>金币</v>
      </c>
      <c r="O99" s="15">
        <f>IF(L99&gt;1,INDEX(挂机升级突破!$AI$35:$AI$55,卡牌消耗!L99),"")</f>
        <v>177500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83">
        <v>62</v>
      </c>
      <c r="X99" s="83">
        <f t="shared" si="15"/>
        <v>13</v>
      </c>
      <c r="Y99" s="83">
        <f t="shared" si="16"/>
        <v>1101013</v>
      </c>
      <c r="Z99" s="83">
        <f t="shared" si="17"/>
        <v>2</v>
      </c>
      <c r="AA99" s="83" t="s">
        <v>817</v>
      </c>
      <c r="AB99" s="15">
        <f t="shared" si="18"/>
        <v>0</v>
      </c>
      <c r="AC99" s="83" t="str">
        <f t="shared" si="19"/>
        <v>吉拉碎片</v>
      </c>
      <c r="AD99" s="15">
        <f t="shared" si="20"/>
        <v>40</v>
      </c>
      <c r="AU99" s="66">
        <v>95</v>
      </c>
      <c r="AV99" s="66">
        <v>24</v>
      </c>
      <c r="AW99" s="22">
        <f>AV99/AT$98</f>
        <v>9.7959183673469383E-2</v>
      </c>
      <c r="AX99" s="94">
        <v>11.5</v>
      </c>
      <c r="AY99" s="66">
        <f>INT(AT$96*AW99/AX99)</f>
        <v>68721</v>
      </c>
      <c r="AZ99" s="66">
        <f>SUM(AY$5:AY99)</f>
        <v>1344003</v>
      </c>
    </row>
    <row r="100" spans="9:52" ht="16.5" x14ac:dyDescent="0.2">
      <c r="I100" s="34">
        <v>63</v>
      </c>
      <c r="J100" s="15">
        <f t="shared" si="10"/>
        <v>1102003</v>
      </c>
      <c r="K100" s="15">
        <f t="shared" si="11"/>
        <v>4</v>
      </c>
      <c r="L100" s="15">
        <f t="shared" si="12"/>
        <v>21</v>
      </c>
      <c r="M100" s="15" t="str">
        <f t="shared" si="13"/>
        <v>黄</v>
      </c>
      <c r="N100" s="15" t="str">
        <f t="shared" si="14"/>
        <v>金币</v>
      </c>
      <c r="O100" s="15">
        <f>IF(L100&gt;1,INDEX(挂机升级突破!$AI$35:$AI$55,卡牌消耗!L100),"")</f>
        <v>213000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83">
        <v>63</v>
      </c>
      <c r="X100" s="83">
        <f t="shared" si="15"/>
        <v>13</v>
      </c>
      <c r="Y100" s="83">
        <f t="shared" si="16"/>
        <v>1101013</v>
      </c>
      <c r="Z100" s="83">
        <f t="shared" si="17"/>
        <v>3</v>
      </c>
      <c r="AA100" s="83" t="s">
        <v>817</v>
      </c>
      <c r="AB100" s="15">
        <f t="shared" si="18"/>
        <v>0</v>
      </c>
      <c r="AC100" s="83" t="str">
        <f t="shared" si="19"/>
        <v>吉拉碎片</v>
      </c>
      <c r="AD100" s="15">
        <f t="shared" si="20"/>
        <v>80</v>
      </c>
      <c r="AU100" s="66">
        <v>96</v>
      </c>
      <c r="AV100" s="66">
        <v>25</v>
      </c>
      <c r="AW100" s="22">
        <f>AV100/AT$98</f>
        <v>0.10204081632653061</v>
      </c>
      <c r="AX100" s="94">
        <v>11.6</v>
      </c>
      <c r="AY100" s="66">
        <f>INT(AT$96*AW100/AX100)</f>
        <v>70967</v>
      </c>
      <c r="AZ100" s="66">
        <f>SUM(AY$5:AY100)</f>
        <v>1414970</v>
      </c>
    </row>
    <row r="101" spans="9:52" ht="16.5" x14ac:dyDescent="0.2">
      <c r="I101" s="34">
        <v>64</v>
      </c>
      <c r="J101" s="15">
        <f t="shared" si="10"/>
        <v>1102004</v>
      </c>
      <c r="K101" s="15">
        <f t="shared" si="11"/>
        <v>2</v>
      </c>
      <c r="L101" s="15">
        <f t="shared" si="12"/>
        <v>1</v>
      </c>
      <c r="M101" s="15" t="str">
        <f t="shared" si="13"/>
        <v>红</v>
      </c>
      <c r="N101" s="15" t="str">
        <f t="shared" si="14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83">
        <v>64</v>
      </c>
      <c r="X101" s="83">
        <f t="shared" si="15"/>
        <v>13</v>
      </c>
      <c r="Y101" s="83">
        <f t="shared" si="16"/>
        <v>1101013</v>
      </c>
      <c r="Z101" s="83">
        <f t="shared" si="17"/>
        <v>4</v>
      </c>
      <c r="AA101" s="83" t="s">
        <v>817</v>
      </c>
      <c r="AB101" s="15">
        <f t="shared" si="18"/>
        <v>0</v>
      </c>
      <c r="AC101" s="83" t="str">
        <f t="shared" si="19"/>
        <v>吉拉碎片</v>
      </c>
      <c r="AD101" s="15">
        <f t="shared" si="20"/>
        <v>120</v>
      </c>
      <c r="AU101" s="66">
        <v>97</v>
      </c>
      <c r="AV101" s="66">
        <v>26</v>
      </c>
      <c r="AW101" s="22">
        <f>AV101/AT$98</f>
        <v>0.10612244897959183</v>
      </c>
      <c r="AX101" s="94">
        <v>11.7</v>
      </c>
      <c r="AY101" s="66">
        <f>INT(AT$96*AW101/AX101)</f>
        <v>73175</v>
      </c>
      <c r="AZ101" s="66">
        <f>SUM(AY$5:AY101)</f>
        <v>1488145</v>
      </c>
    </row>
    <row r="102" spans="9:52" ht="16.5" x14ac:dyDescent="0.2">
      <c r="I102" s="34">
        <v>65</v>
      </c>
      <c r="J102" s="15">
        <f t="shared" si="10"/>
        <v>1102004</v>
      </c>
      <c r="K102" s="15">
        <f t="shared" si="11"/>
        <v>2</v>
      </c>
      <c r="L102" s="15">
        <f t="shared" si="12"/>
        <v>2</v>
      </c>
      <c r="M102" s="15" t="str">
        <f t="shared" si="13"/>
        <v>红</v>
      </c>
      <c r="N102" s="15" t="str">
        <f t="shared" si="14"/>
        <v>金币</v>
      </c>
      <c r="O102" s="15">
        <f>IF(L102&gt;1,INDEX(挂机升级突破!$AI$35:$AI$55,卡牌消耗!L102),"")</f>
        <v>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83">
        <v>65</v>
      </c>
      <c r="X102" s="83">
        <f t="shared" si="15"/>
        <v>13</v>
      </c>
      <c r="Y102" s="83">
        <f t="shared" si="16"/>
        <v>1101013</v>
      </c>
      <c r="Z102" s="83">
        <f t="shared" si="17"/>
        <v>5</v>
      </c>
      <c r="AA102" s="83" t="s">
        <v>817</v>
      </c>
      <c r="AB102" s="15">
        <f t="shared" si="18"/>
        <v>0</v>
      </c>
      <c r="AC102" s="83" t="str">
        <f t="shared" si="19"/>
        <v>吉拉碎片</v>
      </c>
      <c r="AD102" s="15">
        <f t="shared" ref="AD102:AD133" si="21">INDEX($N$5:$Q$9,Z102,INDEX($C$38:$C$75,X102)-1)</f>
        <v>160</v>
      </c>
      <c r="AU102" s="66">
        <v>98</v>
      </c>
      <c r="AV102" s="66">
        <v>27</v>
      </c>
      <c r="AW102" s="22">
        <f>AV102/AT$98</f>
        <v>0.11020408163265306</v>
      </c>
      <c r="AX102" s="94">
        <v>11.8</v>
      </c>
      <c r="AY102" s="66">
        <f>INT(AT$96*AW102/AX102)</f>
        <v>75345</v>
      </c>
      <c r="AZ102" s="66">
        <f>SUM(AY$5:AY102)</f>
        <v>1563490</v>
      </c>
    </row>
    <row r="103" spans="9:52" ht="16.5" x14ac:dyDescent="0.2">
      <c r="I103" s="34">
        <v>66</v>
      </c>
      <c r="J103" s="15">
        <f t="shared" ref="J103:J166" si="22">INDEX($A$13:$A$34,INT((I103-1)/21)+1)</f>
        <v>1102004</v>
      </c>
      <c r="K103" s="15">
        <f t="shared" ref="K103:K166" si="23">VLOOKUP(J103,$A$13:$D$34,3)</f>
        <v>2</v>
      </c>
      <c r="L103" s="15">
        <f t="shared" ref="L103:L166" si="24">MOD((I103-1),21)+1</f>
        <v>3</v>
      </c>
      <c r="M103" s="15" t="str">
        <f t="shared" ref="M103:M166" si="25">INDEX($J$2:$L$2,INDEX($E$13:$E$34,INT((I103-1)/21)+1))</f>
        <v>红</v>
      </c>
      <c r="N103" s="15" t="str">
        <f t="shared" ref="N103:N166" si="26">IF(L103&gt;1,"金币","")</f>
        <v>金币</v>
      </c>
      <c r="O103" s="15">
        <f>IF(L103&gt;1,INDEX(挂机升级突破!$AI$35:$AI$55,卡牌消耗!L103),"")</f>
        <v>2500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83">
        <v>66</v>
      </c>
      <c r="X103" s="83">
        <f t="shared" ref="X103:X166" si="27">INT((W103-1)/5+1)</f>
        <v>14</v>
      </c>
      <c r="Y103" s="83">
        <f t="shared" ref="Y103:Y166" si="28">INDEX($A$38:$A$75,X103)</f>
        <v>1101014</v>
      </c>
      <c r="Z103" s="83">
        <f t="shared" ref="Z103:Z166" si="29">MOD(W103-1,5)+1</f>
        <v>1</v>
      </c>
      <c r="AA103" s="83" t="s">
        <v>817</v>
      </c>
      <c r="AB103" s="15">
        <f t="shared" ref="AB103:AB166" si="30">INDEX($N$13:$Q$17,Z103,INDEX($C$38:$C$75,X103)-1)</f>
        <v>0</v>
      </c>
      <c r="AC103" s="83" t="str">
        <f t="shared" ref="AC103:AC166" si="31">INDEX($B$38:$B$75,X103)&amp;"碎片"</f>
        <v>吕仙宫碎片</v>
      </c>
      <c r="AD103" s="15">
        <f t="shared" si="21"/>
        <v>40</v>
      </c>
      <c r="AU103" s="66">
        <v>99</v>
      </c>
      <c r="AV103" s="66">
        <v>28</v>
      </c>
      <c r="AW103" s="22">
        <f>AV103/AT$98</f>
        <v>0.11428571428571428</v>
      </c>
      <c r="AX103" s="94">
        <v>11.9</v>
      </c>
      <c r="AY103" s="66">
        <f>INT(AT$96*AW103/AX103)</f>
        <v>77479</v>
      </c>
      <c r="AZ103" s="66">
        <f>SUM(AY$5:AY103)</f>
        <v>1640969</v>
      </c>
    </row>
    <row r="104" spans="9:52" ht="16.5" x14ac:dyDescent="0.2">
      <c r="I104" s="34">
        <v>67</v>
      </c>
      <c r="J104" s="15">
        <f t="shared" si="22"/>
        <v>1102004</v>
      </c>
      <c r="K104" s="15">
        <f t="shared" si="23"/>
        <v>2</v>
      </c>
      <c r="L104" s="15">
        <f t="shared" si="24"/>
        <v>4</v>
      </c>
      <c r="M104" s="15" t="str">
        <f t="shared" si="25"/>
        <v>红</v>
      </c>
      <c r="N104" s="15" t="str">
        <f t="shared" si="26"/>
        <v>金币</v>
      </c>
      <c r="O104" s="15">
        <f>IF(L104&gt;1,INDEX(挂机升级突破!$AI$35:$AI$55,卡牌消耗!L104),"")</f>
        <v>5500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83">
        <v>67</v>
      </c>
      <c r="X104" s="83">
        <f t="shared" si="27"/>
        <v>14</v>
      </c>
      <c r="Y104" s="83">
        <f t="shared" si="28"/>
        <v>1101014</v>
      </c>
      <c r="Z104" s="83">
        <f t="shared" si="29"/>
        <v>2</v>
      </c>
      <c r="AA104" s="83" t="s">
        <v>817</v>
      </c>
      <c r="AB104" s="15">
        <f t="shared" si="30"/>
        <v>0</v>
      </c>
      <c r="AC104" s="83" t="str">
        <f t="shared" si="31"/>
        <v>吕仙宫碎片</v>
      </c>
      <c r="AD104" s="15">
        <f t="shared" si="21"/>
        <v>80</v>
      </c>
      <c r="AU104" s="66">
        <v>100</v>
      </c>
      <c r="AV104" s="66">
        <v>29</v>
      </c>
      <c r="AW104" s="22">
        <f>AV104/AT$98</f>
        <v>0.11836734693877551</v>
      </c>
      <c r="AX104" s="94">
        <v>12</v>
      </c>
      <c r="AY104" s="66">
        <f>INT(AT$96*AW104/AX104)</f>
        <v>79578</v>
      </c>
      <c r="AZ104" s="66">
        <f>SUM(AY$5:AY104)</f>
        <v>1720547</v>
      </c>
    </row>
    <row r="105" spans="9:52" ht="16.5" x14ac:dyDescent="0.2">
      <c r="I105" s="34">
        <v>68</v>
      </c>
      <c r="J105" s="15">
        <f t="shared" si="22"/>
        <v>1102004</v>
      </c>
      <c r="K105" s="15">
        <f t="shared" si="23"/>
        <v>2</v>
      </c>
      <c r="L105" s="15">
        <f t="shared" si="24"/>
        <v>5</v>
      </c>
      <c r="M105" s="15" t="str">
        <f t="shared" si="25"/>
        <v>红</v>
      </c>
      <c r="N105" s="15" t="str">
        <f t="shared" si="26"/>
        <v>金币</v>
      </c>
      <c r="O105" s="15">
        <f>IF(L105&gt;1,INDEX(挂机升级突破!$AI$35:$AI$55,卡牌消耗!L105),"")</f>
        <v>7500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83">
        <v>68</v>
      </c>
      <c r="X105" s="83">
        <f t="shared" si="27"/>
        <v>14</v>
      </c>
      <c r="Y105" s="83">
        <f t="shared" si="28"/>
        <v>1101014</v>
      </c>
      <c r="Z105" s="83">
        <f t="shared" si="29"/>
        <v>3</v>
      </c>
      <c r="AA105" s="83" t="s">
        <v>817</v>
      </c>
      <c r="AB105" s="15">
        <f t="shared" si="30"/>
        <v>0</v>
      </c>
      <c r="AC105" s="83" t="str">
        <f t="shared" si="31"/>
        <v>吕仙宫碎片</v>
      </c>
      <c r="AD105" s="15">
        <f t="shared" si="21"/>
        <v>120</v>
      </c>
      <c r="AS105" s="66" t="s">
        <v>596</v>
      </c>
      <c r="AT105" s="66">
        <v>11</v>
      </c>
      <c r="AU105" s="66">
        <v>101</v>
      </c>
      <c r="AV105" s="66">
        <v>20</v>
      </c>
      <c r="AW105" s="22">
        <f>AV105/AT$108</f>
        <v>8.1632653061224483E-2</v>
      </c>
      <c r="AX105" s="94">
        <v>12.1</v>
      </c>
      <c r="AY105" s="66">
        <f>INT(AT$106*AW105/AX105)</f>
        <v>108970</v>
      </c>
      <c r="AZ105" s="66">
        <f>SUM(AY$5:AY105)</f>
        <v>1829517</v>
      </c>
    </row>
    <row r="106" spans="9:52" ht="16.5" x14ac:dyDescent="0.2">
      <c r="I106" s="34">
        <v>69</v>
      </c>
      <c r="J106" s="15">
        <f t="shared" si="22"/>
        <v>1102004</v>
      </c>
      <c r="K106" s="15">
        <f t="shared" si="23"/>
        <v>2</v>
      </c>
      <c r="L106" s="15">
        <f t="shared" si="24"/>
        <v>6</v>
      </c>
      <c r="M106" s="15" t="str">
        <f t="shared" si="25"/>
        <v>红</v>
      </c>
      <c r="N106" s="15" t="str">
        <f t="shared" si="26"/>
        <v>金币</v>
      </c>
      <c r="O106" s="15">
        <f>IF(L106&gt;1,INDEX(挂机升级突破!$AI$35:$AI$55,卡牌消耗!L106),"")</f>
        <v>17500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83">
        <v>69</v>
      </c>
      <c r="X106" s="83">
        <f t="shared" si="27"/>
        <v>14</v>
      </c>
      <c r="Y106" s="83">
        <f t="shared" si="28"/>
        <v>1101014</v>
      </c>
      <c r="Z106" s="83">
        <f t="shared" si="29"/>
        <v>4</v>
      </c>
      <c r="AA106" s="83" t="s">
        <v>817</v>
      </c>
      <c r="AB106" s="15">
        <f t="shared" si="30"/>
        <v>0</v>
      </c>
      <c r="AC106" s="83" t="str">
        <f t="shared" si="31"/>
        <v>吕仙宫碎片</v>
      </c>
      <c r="AD106" s="15">
        <f t="shared" si="21"/>
        <v>160</v>
      </c>
      <c r="AS106" s="15" t="str">
        <f>INDEX($AF$5:$AF$19,AT105)</f>
        <v>100~110</v>
      </c>
      <c r="AT106" s="15">
        <f>INDEX($AO$5:$AO$19,AT105)</f>
        <v>16152225</v>
      </c>
      <c r="AU106" s="66">
        <v>102</v>
      </c>
      <c r="AV106" s="66">
        <v>21</v>
      </c>
      <c r="AW106" s="22">
        <f>AV106/AT$108</f>
        <v>8.5714285714285715E-2</v>
      </c>
      <c r="AX106" s="94">
        <v>12.2</v>
      </c>
      <c r="AY106" s="66">
        <f>INT(AT$106*AW106/AX106)</f>
        <v>113481</v>
      </c>
      <c r="AZ106" s="66">
        <f>SUM(AY$5:AY106)</f>
        <v>1942998</v>
      </c>
    </row>
    <row r="107" spans="9:52" ht="16.5" x14ac:dyDescent="0.2">
      <c r="I107" s="34">
        <v>70</v>
      </c>
      <c r="J107" s="15">
        <f t="shared" si="22"/>
        <v>1102004</v>
      </c>
      <c r="K107" s="15">
        <f t="shared" si="23"/>
        <v>2</v>
      </c>
      <c r="L107" s="15">
        <f t="shared" si="24"/>
        <v>7</v>
      </c>
      <c r="M107" s="15" t="str">
        <f t="shared" si="25"/>
        <v>红</v>
      </c>
      <c r="N107" s="15" t="str">
        <f t="shared" si="26"/>
        <v>金币</v>
      </c>
      <c r="O107" s="15">
        <f>IF(L107&gt;1,INDEX(挂机升级突破!$AI$35:$AI$55,卡牌消耗!L107),"")</f>
        <v>19500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83">
        <v>70</v>
      </c>
      <c r="X107" s="83">
        <f t="shared" si="27"/>
        <v>14</v>
      </c>
      <c r="Y107" s="83">
        <f t="shared" si="28"/>
        <v>1101014</v>
      </c>
      <c r="Z107" s="83">
        <f t="shared" si="29"/>
        <v>5</v>
      </c>
      <c r="AA107" s="83" t="s">
        <v>817</v>
      </c>
      <c r="AB107" s="15">
        <f t="shared" si="30"/>
        <v>0</v>
      </c>
      <c r="AC107" s="83" t="str">
        <f t="shared" si="31"/>
        <v>吕仙宫碎片</v>
      </c>
      <c r="AD107" s="15">
        <f t="shared" si="21"/>
        <v>240</v>
      </c>
      <c r="AS107" s="66" t="s">
        <v>594</v>
      </c>
      <c r="AT107" s="15">
        <f>INDEX($AP$5:$AP$19,AT105)</f>
        <v>9</v>
      </c>
      <c r="AU107" s="66">
        <v>103</v>
      </c>
      <c r="AV107" s="66">
        <v>22</v>
      </c>
      <c r="AW107" s="22">
        <f>AV107/AT$108</f>
        <v>8.9795918367346933E-2</v>
      </c>
      <c r="AX107" s="94">
        <v>12.3</v>
      </c>
      <c r="AY107" s="66">
        <f>INT(AT$106*AW107/AX107)</f>
        <v>117919</v>
      </c>
      <c r="AZ107" s="66">
        <f>SUM(AY$5:AY107)</f>
        <v>2060917</v>
      </c>
    </row>
    <row r="108" spans="9:52" ht="16.5" x14ac:dyDescent="0.2">
      <c r="I108" s="34">
        <v>71</v>
      </c>
      <c r="J108" s="15">
        <f t="shared" si="22"/>
        <v>1102004</v>
      </c>
      <c r="K108" s="15">
        <f t="shared" si="23"/>
        <v>2</v>
      </c>
      <c r="L108" s="15">
        <f t="shared" si="24"/>
        <v>8</v>
      </c>
      <c r="M108" s="15" t="str">
        <f t="shared" si="25"/>
        <v>红</v>
      </c>
      <c r="N108" s="15" t="str">
        <f t="shared" si="26"/>
        <v>金币</v>
      </c>
      <c r="O108" s="15">
        <f>IF(L108&gt;1,INDEX(挂机升级突破!$AI$35:$AI$55,卡牌消耗!L108),"")</f>
        <v>22000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83">
        <v>71</v>
      </c>
      <c r="X108" s="83">
        <f t="shared" si="27"/>
        <v>15</v>
      </c>
      <c r="Y108" s="83">
        <f t="shared" si="28"/>
        <v>1101015</v>
      </c>
      <c r="Z108" s="83">
        <f t="shared" si="29"/>
        <v>1</v>
      </c>
      <c r="AA108" s="83" t="s">
        <v>817</v>
      </c>
      <c r="AB108" s="15">
        <f t="shared" si="30"/>
        <v>0</v>
      </c>
      <c r="AC108" s="83" t="str">
        <f t="shared" si="31"/>
        <v>阎巧巧碎片</v>
      </c>
      <c r="AD108" s="15">
        <f t="shared" si="21"/>
        <v>20</v>
      </c>
      <c r="AS108" s="16"/>
      <c r="AT108" s="15">
        <f>SUM(AV105:AV114)</f>
        <v>245</v>
      </c>
      <c r="AU108" s="66">
        <v>104</v>
      </c>
      <c r="AV108" s="66">
        <v>23</v>
      </c>
      <c r="AW108" s="22">
        <f>AV108/AT$108</f>
        <v>9.3877551020408165E-2</v>
      </c>
      <c r="AX108" s="94">
        <v>12.4</v>
      </c>
      <c r="AY108" s="66">
        <f>INT(AT$106*AW108/AX108)</f>
        <v>122284</v>
      </c>
      <c r="AZ108" s="66">
        <f>SUM(AY$5:AY108)</f>
        <v>2183201</v>
      </c>
    </row>
    <row r="109" spans="9:52" ht="16.5" x14ac:dyDescent="0.2">
      <c r="I109" s="34">
        <v>72</v>
      </c>
      <c r="J109" s="15">
        <f t="shared" si="22"/>
        <v>1102004</v>
      </c>
      <c r="K109" s="15">
        <f t="shared" si="23"/>
        <v>2</v>
      </c>
      <c r="L109" s="15">
        <f t="shared" si="24"/>
        <v>9</v>
      </c>
      <c r="M109" s="15" t="str">
        <f t="shared" si="25"/>
        <v>红</v>
      </c>
      <c r="N109" s="15" t="str">
        <f t="shared" si="26"/>
        <v>金币</v>
      </c>
      <c r="O109" s="15">
        <f>IF(L109&gt;1,INDEX(挂机升级突破!$AI$35:$AI$55,卡牌消耗!L109),"")</f>
        <v>25000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83">
        <v>72</v>
      </c>
      <c r="X109" s="83">
        <f t="shared" si="27"/>
        <v>15</v>
      </c>
      <c r="Y109" s="83">
        <f t="shared" si="28"/>
        <v>1101015</v>
      </c>
      <c r="Z109" s="83">
        <f t="shared" si="29"/>
        <v>2</v>
      </c>
      <c r="AA109" s="83" t="s">
        <v>817</v>
      </c>
      <c r="AB109" s="15">
        <f t="shared" si="30"/>
        <v>0</v>
      </c>
      <c r="AC109" s="83" t="str">
        <f t="shared" si="31"/>
        <v>阎巧巧碎片</v>
      </c>
      <c r="AD109" s="15">
        <f t="shared" si="21"/>
        <v>40</v>
      </c>
      <c r="AU109" s="66">
        <v>105</v>
      </c>
      <c r="AV109" s="66">
        <v>24</v>
      </c>
      <c r="AW109" s="22">
        <f>AV109/AT$108</f>
        <v>9.7959183673469383E-2</v>
      </c>
      <c r="AX109" s="94">
        <v>12.5</v>
      </c>
      <c r="AY109" s="66">
        <f>INT(AT$106*AW109/AX109)</f>
        <v>126580</v>
      </c>
      <c r="AZ109" s="66">
        <f>SUM(AY$5:AY109)</f>
        <v>2309781</v>
      </c>
    </row>
    <row r="110" spans="9:52" ht="16.5" x14ac:dyDescent="0.2">
      <c r="I110" s="34">
        <v>73</v>
      </c>
      <c r="J110" s="15">
        <f t="shared" si="22"/>
        <v>1102004</v>
      </c>
      <c r="K110" s="15">
        <f t="shared" si="23"/>
        <v>2</v>
      </c>
      <c r="L110" s="15">
        <f t="shared" si="24"/>
        <v>10</v>
      </c>
      <c r="M110" s="15" t="str">
        <f t="shared" si="25"/>
        <v>红</v>
      </c>
      <c r="N110" s="15" t="str">
        <f t="shared" si="26"/>
        <v>金币</v>
      </c>
      <c r="O110" s="15">
        <f>IF(L110&gt;1,INDEX(挂机升级突破!$AI$35:$AI$55,卡牌消耗!L110),"")</f>
        <v>27500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83">
        <v>73</v>
      </c>
      <c r="X110" s="83">
        <f t="shared" si="27"/>
        <v>15</v>
      </c>
      <c r="Y110" s="83">
        <f t="shared" si="28"/>
        <v>1101015</v>
      </c>
      <c r="Z110" s="83">
        <f t="shared" si="29"/>
        <v>3</v>
      </c>
      <c r="AA110" s="83" t="s">
        <v>817</v>
      </c>
      <c r="AB110" s="15">
        <f t="shared" si="30"/>
        <v>0</v>
      </c>
      <c r="AC110" s="83" t="str">
        <f t="shared" si="31"/>
        <v>阎巧巧碎片</v>
      </c>
      <c r="AD110" s="15">
        <f t="shared" si="21"/>
        <v>80</v>
      </c>
      <c r="AU110" s="66">
        <v>106</v>
      </c>
      <c r="AV110" s="66">
        <v>25</v>
      </c>
      <c r="AW110" s="22">
        <f>AV110/AT$108</f>
        <v>0.10204081632653061</v>
      </c>
      <c r="AX110" s="94">
        <v>12.6</v>
      </c>
      <c r="AY110" s="66">
        <f>INT(AT$106*AW110/AX110)</f>
        <v>130808</v>
      </c>
      <c r="AZ110" s="66">
        <f>SUM(AY$5:AY110)</f>
        <v>2440589</v>
      </c>
    </row>
    <row r="111" spans="9:52" ht="16.5" x14ac:dyDescent="0.2">
      <c r="I111" s="34">
        <v>74</v>
      </c>
      <c r="J111" s="15">
        <f t="shared" si="22"/>
        <v>1102004</v>
      </c>
      <c r="K111" s="15">
        <f t="shared" si="23"/>
        <v>2</v>
      </c>
      <c r="L111" s="15">
        <f t="shared" si="24"/>
        <v>11</v>
      </c>
      <c r="M111" s="15" t="str">
        <f t="shared" si="25"/>
        <v>红</v>
      </c>
      <c r="N111" s="15" t="str">
        <f t="shared" si="26"/>
        <v>金币</v>
      </c>
      <c r="O111" s="15">
        <f>IF(L111&gt;1,INDEX(挂机升级突破!$AI$35:$AI$55,卡牌消耗!L111),"")</f>
        <v>30000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83">
        <v>74</v>
      </c>
      <c r="X111" s="83">
        <f t="shared" si="27"/>
        <v>15</v>
      </c>
      <c r="Y111" s="83">
        <f t="shared" si="28"/>
        <v>1101015</v>
      </c>
      <c r="Z111" s="83">
        <f t="shared" si="29"/>
        <v>4</v>
      </c>
      <c r="AA111" s="83" t="s">
        <v>817</v>
      </c>
      <c r="AB111" s="15">
        <f t="shared" si="30"/>
        <v>0</v>
      </c>
      <c r="AC111" s="83" t="str">
        <f t="shared" si="31"/>
        <v>阎巧巧碎片</v>
      </c>
      <c r="AD111" s="15">
        <f t="shared" si="21"/>
        <v>120</v>
      </c>
      <c r="AU111" s="66">
        <v>107</v>
      </c>
      <c r="AV111" s="66">
        <v>26</v>
      </c>
      <c r="AW111" s="22">
        <f>AV111/AT$108</f>
        <v>0.10612244897959183</v>
      </c>
      <c r="AX111" s="94">
        <v>12.7</v>
      </c>
      <c r="AY111" s="66">
        <f>INT(AT$106*AW111/AX111)</f>
        <v>134969</v>
      </c>
      <c r="AZ111" s="66">
        <f>SUM(AY$5:AY111)</f>
        <v>2575558</v>
      </c>
    </row>
    <row r="112" spans="9:52" ht="16.5" x14ac:dyDescent="0.2">
      <c r="I112" s="34">
        <v>75</v>
      </c>
      <c r="J112" s="15">
        <f t="shared" si="22"/>
        <v>1102004</v>
      </c>
      <c r="K112" s="15">
        <f t="shared" si="23"/>
        <v>2</v>
      </c>
      <c r="L112" s="15">
        <f t="shared" si="24"/>
        <v>12</v>
      </c>
      <c r="M112" s="15" t="str">
        <f t="shared" si="25"/>
        <v>红</v>
      </c>
      <c r="N112" s="15" t="str">
        <f t="shared" si="26"/>
        <v>金币</v>
      </c>
      <c r="O112" s="15">
        <f>IF(L112&gt;1,INDEX(挂机升级突破!$AI$35:$AI$55,卡牌消耗!L112),"")</f>
        <v>32000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83">
        <v>75</v>
      </c>
      <c r="X112" s="83">
        <f t="shared" si="27"/>
        <v>15</v>
      </c>
      <c r="Y112" s="83">
        <f t="shared" si="28"/>
        <v>1101015</v>
      </c>
      <c r="Z112" s="83">
        <f t="shared" si="29"/>
        <v>5</v>
      </c>
      <c r="AA112" s="83" t="s">
        <v>817</v>
      </c>
      <c r="AB112" s="15">
        <f t="shared" si="30"/>
        <v>0</v>
      </c>
      <c r="AC112" s="83" t="str">
        <f t="shared" si="31"/>
        <v>阎巧巧碎片</v>
      </c>
      <c r="AD112" s="15">
        <f t="shared" si="21"/>
        <v>160</v>
      </c>
      <c r="AU112" s="66">
        <v>108</v>
      </c>
      <c r="AV112" s="66">
        <v>27</v>
      </c>
      <c r="AW112" s="22">
        <f>AV112/AT$108</f>
        <v>0.11020408163265306</v>
      </c>
      <c r="AX112" s="94">
        <v>12.8</v>
      </c>
      <c r="AY112" s="66">
        <f>INT(AT$106*AW112/AX112)</f>
        <v>139065</v>
      </c>
      <c r="AZ112" s="66">
        <f>SUM(AY$5:AY112)</f>
        <v>2714623</v>
      </c>
    </row>
    <row r="113" spans="9:52" ht="16.5" x14ac:dyDescent="0.2">
      <c r="I113" s="34">
        <v>76</v>
      </c>
      <c r="J113" s="15">
        <f t="shared" si="22"/>
        <v>1102004</v>
      </c>
      <c r="K113" s="15">
        <f t="shared" si="23"/>
        <v>2</v>
      </c>
      <c r="L113" s="15">
        <f t="shared" si="24"/>
        <v>13</v>
      </c>
      <c r="M113" s="15" t="str">
        <f t="shared" si="25"/>
        <v>红</v>
      </c>
      <c r="N113" s="15" t="str">
        <f t="shared" si="26"/>
        <v>金币</v>
      </c>
      <c r="O113" s="15">
        <f>IF(L113&gt;1,INDEX(挂机升级突破!$AI$35:$AI$55,卡牌消耗!L113),"")</f>
        <v>40500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83">
        <v>76</v>
      </c>
      <c r="X113" s="83">
        <f t="shared" si="27"/>
        <v>16</v>
      </c>
      <c r="Y113" s="83">
        <f t="shared" si="28"/>
        <v>1101041</v>
      </c>
      <c r="Z113" s="83">
        <f t="shared" si="29"/>
        <v>1</v>
      </c>
      <c r="AA113" s="83" t="s">
        <v>817</v>
      </c>
      <c r="AB113" s="15">
        <f t="shared" si="30"/>
        <v>0</v>
      </c>
      <c r="AC113" s="83" t="str">
        <f t="shared" si="31"/>
        <v>常服夏铃碎片</v>
      </c>
      <c r="AD113" s="15">
        <f t="shared" si="21"/>
        <v>20</v>
      </c>
      <c r="AU113" s="66">
        <v>109</v>
      </c>
      <c r="AV113" s="66">
        <v>28</v>
      </c>
      <c r="AW113" s="22">
        <f>AV113/AT$108</f>
        <v>0.11428571428571428</v>
      </c>
      <c r="AX113" s="94">
        <v>12.9</v>
      </c>
      <c r="AY113" s="66">
        <f>INT(AT$106*AW113/AX113)</f>
        <v>143098</v>
      </c>
      <c r="AZ113" s="66">
        <f>SUM(AY$5:AY113)</f>
        <v>2857721</v>
      </c>
    </row>
    <row r="114" spans="9:52" ht="16.5" x14ac:dyDescent="0.2">
      <c r="I114" s="34">
        <v>77</v>
      </c>
      <c r="J114" s="15">
        <f t="shared" si="22"/>
        <v>1102004</v>
      </c>
      <c r="K114" s="15">
        <f t="shared" si="23"/>
        <v>2</v>
      </c>
      <c r="L114" s="15">
        <f t="shared" si="24"/>
        <v>14</v>
      </c>
      <c r="M114" s="15" t="str">
        <f t="shared" si="25"/>
        <v>红</v>
      </c>
      <c r="N114" s="15" t="str">
        <f t="shared" si="26"/>
        <v>金币</v>
      </c>
      <c r="O114" s="15">
        <f>IF(L114&gt;1,INDEX(挂机升级突破!$AI$35:$AI$55,卡牌消耗!L114),"")</f>
        <v>54000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83">
        <v>77</v>
      </c>
      <c r="X114" s="83">
        <f t="shared" si="27"/>
        <v>16</v>
      </c>
      <c r="Y114" s="83">
        <f t="shared" si="28"/>
        <v>1101041</v>
      </c>
      <c r="Z114" s="83">
        <f t="shared" si="29"/>
        <v>2</v>
      </c>
      <c r="AA114" s="83" t="s">
        <v>817</v>
      </c>
      <c r="AB114" s="15">
        <f t="shared" si="30"/>
        <v>0</v>
      </c>
      <c r="AC114" s="83" t="str">
        <f t="shared" si="31"/>
        <v>常服夏铃碎片</v>
      </c>
      <c r="AD114" s="15">
        <f t="shared" si="21"/>
        <v>40</v>
      </c>
      <c r="AU114" s="66">
        <v>110</v>
      </c>
      <c r="AV114" s="66">
        <v>29</v>
      </c>
      <c r="AW114" s="22">
        <f>AV114/AT$108</f>
        <v>0.11836734693877551</v>
      </c>
      <c r="AX114" s="94">
        <v>13</v>
      </c>
      <c r="AY114" s="66">
        <f>INT(AT$106*AW114/AX114)</f>
        <v>147068</v>
      </c>
      <c r="AZ114" s="66">
        <f>SUM(AY$5:AY114)</f>
        <v>3004789</v>
      </c>
    </row>
    <row r="115" spans="9:52" ht="16.5" x14ac:dyDescent="0.2">
      <c r="I115" s="34">
        <v>78</v>
      </c>
      <c r="J115" s="15">
        <f t="shared" si="22"/>
        <v>1102004</v>
      </c>
      <c r="K115" s="15">
        <f t="shared" si="23"/>
        <v>2</v>
      </c>
      <c r="L115" s="15">
        <f t="shared" si="24"/>
        <v>15</v>
      </c>
      <c r="M115" s="15" t="str">
        <f t="shared" si="25"/>
        <v>红</v>
      </c>
      <c r="N115" s="15" t="str">
        <f t="shared" si="26"/>
        <v>金币</v>
      </c>
      <c r="O115" s="15">
        <f>IF(L115&gt;1,INDEX(挂机升级突破!$AI$35:$AI$55,卡牌消耗!L115),"")</f>
        <v>63000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83">
        <v>78</v>
      </c>
      <c r="X115" s="83">
        <f t="shared" si="27"/>
        <v>16</v>
      </c>
      <c r="Y115" s="83">
        <f t="shared" si="28"/>
        <v>1101041</v>
      </c>
      <c r="Z115" s="83">
        <f t="shared" si="29"/>
        <v>3</v>
      </c>
      <c r="AA115" s="83" t="s">
        <v>817</v>
      </c>
      <c r="AB115" s="15">
        <f t="shared" si="30"/>
        <v>0</v>
      </c>
      <c r="AC115" s="83" t="str">
        <f t="shared" si="31"/>
        <v>常服夏铃碎片</v>
      </c>
      <c r="AD115" s="15">
        <f t="shared" si="21"/>
        <v>80</v>
      </c>
      <c r="AS115" s="66" t="s">
        <v>596</v>
      </c>
      <c r="AT115" s="66">
        <v>12</v>
      </c>
      <c r="AU115" s="66">
        <v>111</v>
      </c>
      <c r="AV115" s="66">
        <v>10</v>
      </c>
      <c r="AW115" s="22">
        <f>AV115/AT$118</f>
        <v>6.8965517241379309E-2</v>
      </c>
      <c r="AX115" s="94">
        <v>13.1</v>
      </c>
      <c r="AY115" s="66">
        <f>INT(AT$116*AW115/AX115)</f>
        <v>147461</v>
      </c>
      <c r="AZ115" s="66">
        <f>SUM(AY$5:AY115)</f>
        <v>3152250</v>
      </c>
    </row>
    <row r="116" spans="9:52" ht="16.5" x14ac:dyDescent="0.2">
      <c r="I116" s="34">
        <v>79</v>
      </c>
      <c r="J116" s="15">
        <f t="shared" si="22"/>
        <v>1102004</v>
      </c>
      <c r="K116" s="15">
        <f t="shared" si="23"/>
        <v>2</v>
      </c>
      <c r="L116" s="15">
        <f t="shared" si="24"/>
        <v>16</v>
      </c>
      <c r="M116" s="15" t="str">
        <f t="shared" si="25"/>
        <v>红</v>
      </c>
      <c r="N116" s="15" t="str">
        <f t="shared" si="26"/>
        <v>金币</v>
      </c>
      <c r="O116" s="15">
        <f>IF(L116&gt;1,INDEX(挂机升级突破!$AI$35:$AI$55,卡牌消耗!L116),"")</f>
        <v>73000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83">
        <v>79</v>
      </c>
      <c r="X116" s="83">
        <f t="shared" si="27"/>
        <v>16</v>
      </c>
      <c r="Y116" s="83">
        <f t="shared" si="28"/>
        <v>1101041</v>
      </c>
      <c r="Z116" s="83">
        <f t="shared" si="29"/>
        <v>4</v>
      </c>
      <c r="AA116" s="83" t="s">
        <v>817</v>
      </c>
      <c r="AB116" s="15">
        <f t="shared" si="30"/>
        <v>0</v>
      </c>
      <c r="AC116" s="83" t="str">
        <f t="shared" si="31"/>
        <v>常服夏铃碎片</v>
      </c>
      <c r="AD116" s="15">
        <f t="shared" si="21"/>
        <v>120</v>
      </c>
      <c r="AS116" s="15" t="str">
        <f>INDEX($AF$5:$AF$19,AT115)</f>
        <v>110~120</v>
      </c>
      <c r="AT116" s="15">
        <f>INDEX($AO$5:$AO$19,AT115)</f>
        <v>28010250</v>
      </c>
      <c r="AU116" s="66">
        <v>112</v>
      </c>
      <c r="AV116" s="66">
        <v>11</v>
      </c>
      <c r="AW116" s="22">
        <f>AV116/AT$118</f>
        <v>7.586206896551724E-2</v>
      </c>
      <c r="AX116" s="94">
        <v>13.2</v>
      </c>
      <c r="AY116" s="66">
        <f>INT(AT$116*AW116/AX116)</f>
        <v>160978</v>
      </c>
      <c r="AZ116" s="66">
        <f>SUM(AY$5:AY116)</f>
        <v>3313228</v>
      </c>
    </row>
    <row r="117" spans="9:52" ht="16.5" x14ac:dyDescent="0.2">
      <c r="I117" s="34">
        <v>80</v>
      </c>
      <c r="J117" s="15">
        <f t="shared" si="22"/>
        <v>1102004</v>
      </c>
      <c r="K117" s="15">
        <f t="shared" si="23"/>
        <v>2</v>
      </c>
      <c r="L117" s="15">
        <f t="shared" si="24"/>
        <v>17</v>
      </c>
      <c r="M117" s="15" t="str">
        <f t="shared" si="25"/>
        <v>红</v>
      </c>
      <c r="N117" s="15" t="str">
        <f t="shared" si="26"/>
        <v>金币</v>
      </c>
      <c r="O117" s="15">
        <f>IF(L117&gt;1,INDEX(挂机升级突破!$AI$35:$AI$55,卡牌消耗!L117),"")</f>
        <v>76000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83">
        <v>80</v>
      </c>
      <c r="X117" s="83">
        <f t="shared" si="27"/>
        <v>16</v>
      </c>
      <c r="Y117" s="83">
        <f t="shared" si="28"/>
        <v>1101041</v>
      </c>
      <c r="Z117" s="83">
        <f t="shared" si="29"/>
        <v>5</v>
      </c>
      <c r="AA117" s="83" t="s">
        <v>817</v>
      </c>
      <c r="AB117" s="15">
        <f t="shared" si="30"/>
        <v>0</v>
      </c>
      <c r="AC117" s="83" t="str">
        <f t="shared" si="31"/>
        <v>常服夏铃碎片</v>
      </c>
      <c r="AD117" s="15">
        <f t="shared" si="21"/>
        <v>160</v>
      </c>
      <c r="AS117" s="66" t="s">
        <v>594</v>
      </c>
      <c r="AT117" s="15">
        <f>INDEX($AP$5:$AP$19,AT115)</f>
        <v>9</v>
      </c>
      <c r="AU117" s="66">
        <v>113</v>
      </c>
      <c r="AV117" s="66">
        <v>12</v>
      </c>
      <c r="AW117" s="22">
        <f>AV117/AT$118</f>
        <v>8.2758620689655171E-2</v>
      </c>
      <c r="AX117" s="94">
        <v>13.3</v>
      </c>
      <c r="AY117" s="66">
        <f>INT(AT$116*AW117/AX117)</f>
        <v>174292</v>
      </c>
      <c r="AZ117" s="66">
        <f>SUM(AY$5:AY117)</f>
        <v>3487520</v>
      </c>
    </row>
    <row r="118" spans="9:52" ht="16.5" x14ac:dyDescent="0.2">
      <c r="I118" s="34">
        <v>81</v>
      </c>
      <c r="J118" s="15">
        <f t="shared" si="22"/>
        <v>1102004</v>
      </c>
      <c r="K118" s="15">
        <f t="shared" si="23"/>
        <v>2</v>
      </c>
      <c r="L118" s="15">
        <f t="shared" si="24"/>
        <v>18</v>
      </c>
      <c r="M118" s="15" t="str">
        <f t="shared" si="25"/>
        <v>红</v>
      </c>
      <c r="N118" s="15" t="str">
        <f t="shared" si="26"/>
        <v>金币</v>
      </c>
      <c r="O118" s="15">
        <f>IF(L118&gt;1,INDEX(挂机升级突破!$AI$35:$AI$55,卡牌消耗!L118),"")</f>
        <v>106500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83">
        <v>81</v>
      </c>
      <c r="X118" s="83">
        <f t="shared" si="27"/>
        <v>17</v>
      </c>
      <c r="Y118" s="83">
        <f t="shared" si="28"/>
        <v>1102001</v>
      </c>
      <c r="Z118" s="83">
        <f t="shared" si="29"/>
        <v>1</v>
      </c>
      <c r="AA118" s="83" t="s">
        <v>817</v>
      </c>
      <c r="AB118" s="15">
        <f t="shared" si="30"/>
        <v>0</v>
      </c>
      <c r="AC118" s="83" t="str">
        <f t="shared" si="31"/>
        <v>关羽碎片</v>
      </c>
      <c r="AD118" s="15">
        <f t="shared" si="21"/>
        <v>80</v>
      </c>
      <c r="AS118" s="16"/>
      <c r="AT118" s="15">
        <f>SUM(AV115:AV124)</f>
        <v>145</v>
      </c>
      <c r="AU118" s="66">
        <v>114</v>
      </c>
      <c r="AV118" s="66">
        <v>13</v>
      </c>
      <c r="AW118" s="22">
        <f>AV118/AT$118</f>
        <v>8.9655172413793102E-2</v>
      </c>
      <c r="AX118" s="94">
        <v>13.4</v>
      </c>
      <c r="AY118" s="66">
        <f>INT(AT$116*AW118/AX118)</f>
        <v>187407</v>
      </c>
      <c r="AZ118" s="66">
        <f>SUM(AY$5:AY118)</f>
        <v>3674927</v>
      </c>
    </row>
    <row r="119" spans="9:52" ht="16.5" x14ac:dyDescent="0.2">
      <c r="I119" s="34">
        <v>82</v>
      </c>
      <c r="J119" s="15">
        <f t="shared" si="22"/>
        <v>1102004</v>
      </c>
      <c r="K119" s="15">
        <f t="shared" si="23"/>
        <v>2</v>
      </c>
      <c r="L119" s="15">
        <f t="shared" si="24"/>
        <v>19</v>
      </c>
      <c r="M119" s="15" t="str">
        <f t="shared" si="25"/>
        <v>红</v>
      </c>
      <c r="N119" s="15" t="str">
        <f t="shared" si="26"/>
        <v>金币</v>
      </c>
      <c r="O119" s="15">
        <f>IF(L119&gt;1,INDEX(挂机升级突破!$AI$35:$AI$55,卡牌消耗!L119),"")</f>
        <v>142000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83">
        <v>82</v>
      </c>
      <c r="X119" s="83">
        <f t="shared" si="27"/>
        <v>17</v>
      </c>
      <c r="Y119" s="83">
        <f t="shared" si="28"/>
        <v>1102001</v>
      </c>
      <c r="Z119" s="83">
        <f t="shared" si="29"/>
        <v>2</v>
      </c>
      <c r="AA119" s="83" t="s">
        <v>817</v>
      </c>
      <c r="AB119" s="15">
        <f t="shared" si="30"/>
        <v>0</v>
      </c>
      <c r="AC119" s="83" t="str">
        <f t="shared" si="31"/>
        <v>关羽碎片</v>
      </c>
      <c r="AD119" s="15">
        <f t="shared" si="21"/>
        <v>80</v>
      </c>
      <c r="AU119" s="66">
        <v>115</v>
      </c>
      <c r="AV119" s="66">
        <v>14</v>
      </c>
      <c r="AW119" s="22">
        <f>AV119/AT$118</f>
        <v>9.6551724137931033E-2</v>
      </c>
      <c r="AX119" s="94">
        <v>13.5</v>
      </c>
      <c r="AY119" s="66">
        <f>INT(AT$116*AW119/AX119)</f>
        <v>200328</v>
      </c>
      <c r="AZ119" s="66">
        <f>SUM(AY$5:AY119)</f>
        <v>3875255</v>
      </c>
    </row>
    <row r="120" spans="9:52" ht="16.5" x14ac:dyDescent="0.2">
      <c r="I120" s="34">
        <v>83</v>
      </c>
      <c r="J120" s="15">
        <f t="shared" si="22"/>
        <v>1102004</v>
      </c>
      <c r="K120" s="15">
        <f t="shared" si="23"/>
        <v>2</v>
      </c>
      <c r="L120" s="15">
        <f t="shared" si="24"/>
        <v>20</v>
      </c>
      <c r="M120" s="15" t="str">
        <f t="shared" si="25"/>
        <v>红</v>
      </c>
      <c r="N120" s="15" t="str">
        <f t="shared" si="26"/>
        <v>金币</v>
      </c>
      <c r="O120" s="15">
        <f>IF(L120&gt;1,INDEX(挂机升级突破!$AI$35:$AI$55,卡牌消耗!L120),"")</f>
        <v>177500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83">
        <v>83</v>
      </c>
      <c r="X120" s="83">
        <f t="shared" si="27"/>
        <v>17</v>
      </c>
      <c r="Y120" s="83">
        <f t="shared" si="28"/>
        <v>1102001</v>
      </c>
      <c r="Z120" s="83">
        <f t="shared" si="29"/>
        <v>3</v>
      </c>
      <c r="AA120" s="83" t="s">
        <v>817</v>
      </c>
      <c r="AB120" s="15">
        <f t="shared" si="30"/>
        <v>0</v>
      </c>
      <c r="AC120" s="83" t="str">
        <f t="shared" si="31"/>
        <v>关羽碎片</v>
      </c>
      <c r="AD120" s="15">
        <f t="shared" si="21"/>
        <v>160</v>
      </c>
      <c r="AU120" s="66">
        <v>116</v>
      </c>
      <c r="AV120" s="66">
        <v>15</v>
      </c>
      <c r="AW120" s="22">
        <f>AV120/AT$118</f>
        <v>0.10344827586206896</v>
      </c>
      <c r="AX120" s="94">
        <v>13.6</v>
      </c>
      <c r="AY120" s="66">
        <f>INT(AT$116*AW120/AX120)</f>
        <v>213059</v>
      </c>
      <c r="AZ120" s="66">
        <f>SUM(AY$5:AY120)</f>
        <v>4088314</v>
      </c>
    </row>
    <row r="121" spans="9:52" ht="16.5" x14ac:dyDescent="0.2">
      <c r="I121" s="34">
        <v>84</v>
      </c>
      <c r="J121" s="15">
        <f t="shared" si="22"/>
        <v>1102004</v>
      </c>
      <c r="K121" s="15">
        <f t="shared" si="23"/>
        <v>2</v>
      </c>
      <c r="L121" s="15">
        <f t="shared" si="24"/>
        <v>21</v>
      </c>
      <c r="M121" s="15" t="str">
        <f t="shared" si="25"/>
        <v>红</v>
      </c>
      <c r="N121" s="15" t="str">
        <f t="shared" si="26"/>
        <v>金币</v>
      </c>
      <c r="O121" s="15">
        <f>IF(L121&gt;1,INDEX(挂机升级突破!$AI$35:$AI$55,卡牌消耗!L121),"")</f>
        <v>213000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83">
        <v>84</v>
      </c>
      <c r="X121" s="83">
        <f t="shared" si="27"/>
        <v>17</v>
      </c>
      <c r="Y121" s="83">
        <f t="shared" si="28"/>
        <v>1102001</v>
      </c>
      <c r="Z121" s="83">
        <f t="shared" si="29"/>
        <v>4</v>
      </c>
      <c r="AA121" s="83" t="s">
        <v>817</v>
      </c>
      <c r="AB121" s="15">
        <f t="shared" si="30"/>
        <v>0</v>
      </c>
      <c r="AC121" s="83" t="str">
        <f t="shared" si="31"/>
        <v>关羽碎片</v>
      </c>
      <c r="AD121" s="15">
        <f t="shared" si="21"/>
        <v>240</v>
      </c>
      <c r="AU121" s="66">
        <v>117</v>
      </c>
      <c r="AV121" s="66">
        <v>16</v>
      </c>
      <c r="AW121" s="22">
        <f>AV121/AT$118</f>
        <v>0.1103448275862069</v>
      </c>
      <c r="AX121" s="94">
        <v>13.7</v>
      </c>
      <c r="AY121" s="66">
        <f>INT(AT$116*AW121/AX121)</f>
        <v>225604</v>
      </c>
      <c r="AZ121" s="66">
        <f>SUM(AY$5:AY121)</f>
        <v>4313918</v>
      </c>
    </row>
    <row r="122" spans="9:52" ht="16.5" x14ac:dyDescent="0.2">
      <c r="I122" s="34">
        <v>85</v>
      </c>
      <c r="J122" s="15">
        <f t="shared" si="22"/>
        <v>1102005</v>
      </c>
      <c r="K122" s="15">
        <f t="shared" si="23"/>
        <v>3</v>
      </c>
      <c r="L122" s="15">
        <f t="shared" si="24"/>
        <v>1</v>
      </c>
      <c r="M122" s="15" t="str">
        <f t="shared" si="25"/>
        <v>蓝</v>
      </c>
      <c r="N122" s="15" t="str">
        <f t="shared" si="26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83">
        <v>85</v>
      </c>
      <c r="X122" s="83">
        <f t="shared" si="27"/>
        <v>17</v>
      </c>
      <c r="Y122" s="83">
        <f t="shared" si="28"/>
        <v>1102001</v>
      </c>
      <c r="Z122" s="83">
        <f t="shared" si="29"/>
        <v>5</v>
      </c>
      <c r="AA122" s="83" t="s">
        <v>817</v>
      </c>
      <c r="AB122" s="15">
        <f t="shared" si="30"/>
        <v>0</v>
      </c>
      <c r="AC122" s="83" t="str">
        <f t="shared" si="31"/>
        <v>关羽碎片</v>
      </c>
      <c r="AD122" s="15">
        <f t="shared" si="21"/>
        <v>320</v>
      </c>
      <c r="AU122" s="66">
        <v>118</v>
      </c>
      <c r="AV122" s="66">
        <v>17</v>
      </c>
      <c r="AW122" s="22">
        <f>AV122/AT$118</f>
        <v>0.11724137931034483</v>
      </c>
      <c r="AX122" s="94">
        <v>13.8</v>
      </c>
      <c r="AY122" s="66">
        <f>INT(AT$116*AW122/AX122)</f>
        <v>237968</v>
      </c>
      <c r="AZ122" s="66">
        <f>SUM(AY$5:AY122)</f>
        <v>4551886</v>
      </c>
    </row>
    <row r="123" spans="9:52" ht="16.5" x14ac:dyDescent="0.2">
      <c r="I123" s="34">
        <v>86</v>
      </c>
      <c r="J123" s="15">
        <f t="shared" si="22"/>
        <v>1102005</v>
      </c>
      <c r="K123" s="15">
        <f t="shared" si="23"/>
        <v>3</v>
      </c>
      <c r="L123" s="15">
        <f t="shared" si="24"/>
        <v>2</v>
      </c>
      <c r="M123" s="15" t="str">
        <f t="shared" si="25"/>
        <v>蓝</v>
      </c>
      <c r="N123" s="15" t="str">
        <f t="shared" si="26"/>
        <v>金币</v>
      </c>
      <c r="O123" s="15">
        <f>IF(L123&gt;1,INDEX(挂机升级突破!$AI$35:$AI$55,卡牌消耗!L123),"")</f>
        <v>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83">
        <v>86</v>
      </c>
      <c r="X123" s="83">
        <f t="shared" si="27"/>
        <v>18</v>
      </c>
      <c r="Y123" s="83">
        <f t="shared" si="28"/>
        <v>1102002</v>
      </c>
      <c r="Z123" s="83">
        <f t="shared" si="29"/>
        <v>1</v>
      </c>
      <c r="AA123" s="83" t="s">
        <v>817</v>
      </c>
      <c r="AB123" s="15">
        <f t="shared" si="30"/>
        <v>0</v>
      </c>
      <c r="AC123" s="83" t="str">
        <f t="shared" si="31"/>
        <v>许褚碎片</v>
      </c>
      <c r="AD123" s="15">
        <f t="shared" si="21"/>
        <v>40</v>
      </c>
      <c r="AU123" s="66">
        <v>119</v>
      </c>
      <c r="AV123" s="66">
        <v>18</v>
      </c>
      <c r="AW123" s="22">
        <f>AV123/AT$118</f>
        <v>0.12413793103448276</v>
      </c>
      <c r="AX123" s="94">
        <v>13.9</v>
      </c>
      <c r="AY123" s="66">
        <f>INT(AT$116*AW123/AX123)</f>
        <v>250153</v>
      </c>
      <c r="AZ123" s="66">
        <f>SUM(AY$5:AY123)</f>
        <v>4802039</v>
      </c>
    </row>
    <row r="124" spans="9:52" ht="16.5" x14ac:dyDescent="0.2">
      <c r="I124" s="34">
        <v>87</v>
      </c>
      <c r="J124" s="15">
        <f t="shared" si="22"/>
        <v>1102005</v>
      </c>
      <c r="K124" s="15">
        <f t="shared" si="23"/>
        <v>3</v>
      </c>
      <c r="L124" s="15">
        <f t="shared" si="24"/>
        <v>3</v>
      </c>
      <c r="M124" s="15" t="str">
        <f t="shared" si="25"/>
        <v>蓝</v>
      </c>
      <c r="N124" s="15" t="str">
        <f t="shared" si="26"/>
        <v>金币</v>
      </c>
      <c r="O124" s="15">
        <f>IF(L124&gt;1,INDEX(挂机升级突破!$AI$35:$AI$55,卡牌消耗!L124),"")</f>
        <v>2500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83">
        <v>87</v>
      </c>
      <c r="X124" s="83">
        <f t="shared" si="27"/>
        <v>18</v>
      </c>
      <c r="Y124" s="83">
        <f t="shared" si="28"/>
        <v>1102002</v>
      </c>
      <c r="Z124" s="83">
        <f t="shared" si="29"/>
        <v>2</v>
      </c>
      <c r="AA124" s="83" t="s">
        <v>817</v>
      </c>
      <c r="AB124" s="15">
        <f t="shared" si="30"/>
        <v>0</v>
      </c>
      <c r="AC124" s="83" t="str">
        <f t="shared" si="31"/>
        <v>许褚碎片</v>
      </c>
      <c r="AD124" s="15">
        <f t="shared" si="21"/>
        <v>80</v>
      </c>
      <c r="AU124" s="66">
        <v>120</v>
      </c>
      <c r="AV124" s="66">
        <v>19</v>
      </c>
      <c r="AW124" s="22">
        <f>AV124/AT$118</f>
        <v>0.1310344827586207</v>
      </c>
      <c r="AX124" s="94">
        <v>14</v>
      </c>
      <c r="AY124" s="66">
        <f>INT(AT$116*AW124/AX124)</f>
        <v>262164</v>
      </c>
      <c r="AZ124" s="66">
        <f>SUM(AY$5:AY124)</f>
        <v>5064203</v>
      </c>
    </row>
    <row r="125" spans="9:52" ht="16.5" x14ac:dyDescent="0.2">
      <c r="I125" s="34">
        <v>88</v>
      </c>
      <c r="J125" s="15">
        <f t="shared" si="22"/>
        <v>1102005</v>
      </c>
      <c r="K125" s="15">
        <f t="shared" si="23"/>
        <v>3</v>
      </c>
      <c r="L125" s="15">
        <f t="shared" si="24"/>
        <v>4</v>
      </c>
      <c r="M125" s="15" t="str">
        <f t="shared" si="25"/>
        <v>蓝</v>
      </c>
      <c r="N125" s="15" t="str">
        <f t="shared" si="26"/>
        <v>金币</v>
      </c>
      <c r="O125" s="15">
        <f>IF(L125&gt;1,INDEX(挂机升级突破!$AI$35:$AI$55,卡牌消耗!L125),"")</f>
        <v>5500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83">
        <v>88</v>
      </c>
      <c r="X125" s="83">
        <f t="shared" si="27"/>
        <v>18</v>
      </c>
      <c r="Y125" s="83">
        <f t="shared" si="28"/>
        <v>1102002</v>
      </c>
      <c r="Z125" s="83">
        <f t="shared" si="29"/>
        <v>3</v>
      </c>
      <c r="AA125" s="83" t="s">
        <v>817</v>
      </c>
      <c r="AB125" s="15">
        <f t="shared" si="30"/>
        <v>0</v>
      </c>
      <c r="AC125" s="83" t="str">
        <f t="shared" si="31"/>
        <v>许褚碎片</v>
      </c>
      <c r="AD125" s="15">
        <f t="shared" si="21"/>
        <v>120</v>
      </c>
      <c r="AS125" s="66" t="s">
        <v>596</v>
      </c>
      <c r="AT125" s="66">
        <v>13</v>
      </c>
      <c r="AU125" s="66">
        <v>121</v>
      </c>
      <c r="AV125" s="66">
        <v>10</v>
      </c>
      <c r="AW125" s="22">
        <f>AV125/AT$128</f>
        <v>6.8965517241379309E-2</v>
      </c>
      <c r="AX125" s="94">
        <v>14.1</v>
      </c>
      <c r="AY125" s="66">
        <f>INT(AT$126*AW125/AX125)</f>
        <v>225003</v>
      </c>
      <c r="AZ125" s="66">
        <f>SUM(AY$5:AY125)</f>
        <v>5289206</v>
      </c>
    </row>
    <row r="126" spans="9:52" ht="16.5" x14ac:dyDescent="0.2">
      <c r="I126" s="34">
        <v>89</v>
      </c>
      <c r="J126" s="15">
        <f t="shared" si="22"/>
        <v>1102005</v>
      </c>
      <c r="K126" s="15">
        <f t="shared" si="23"/>
        <v>3</v>
      </c>
      <c r="L126" s="15">
        <f t="shared" si="24"/>
        <v>5</v>
      </c>
      <c r="M126" s="15" t="str">
        <f t="shared" si="25"/>
        <v>蓝</v>
      </c>
      <c r="N126" s="15" t="str">
        <f t="shared" si="26"/>
        <v>金币</v>
      </c>
      <c r="O126" s="15">
        <f>IF(L126&gt;1,INDEX(挂机升级突破!$AI$35:$AI$55,卡牌消耗!L126),"")</f>
        <v>7500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83">
        <v>89</v>
      </c>
      <c r="X126" s="83">
        <f t="shared" si="27"/>
        <v>18</v>
      </c>
      <c r="Y126" s="83">
        <f t="shared" si="28"/>
        <v>1102002</v>
      </c>
      <c r="Z126" s="83">
        <f t="shared" si="29"/>
        <v>4</v>
      </c>
      <c r="AA126" s="83" t="s">
        <v>817</v>
      </c>
      <c r="AB126" s="15">
        <f t="shared" si="30"/>
        <v>0</v>
      </c>
      <c r="AC126" s="83" t="str">
        <f t="shared" si="31"/>
        <v>许褚碎片</v>
      </c>
      <c r="AD126" s="15">
        <f t="shared" si="21"/>
        <v>160</v>
      </c>
      <c r="AS126" s="15" t="str">
        <f>INDEX($AF$5:$AF$19,AT125)</f>
        <v>120~130</v>
      </c>
      <c r="AT126" s="15">
        <f>INDEX($AO$5:$AO$19,AT125)</f>
        <v>46002000</v>
      </c>
      <c r="AU126" s="66">
        <v>122</v>
      </c>
      <c r="AV126" s="66">
        <v>11</v>
      </c>
      <c r="AW126" s="22">
        <f>AV126/AT$128</f>
        <v>7.586206896551724E-2</v>
      </c>
      <c r="AX126" s="94">
        <v>14.2</v>
      </c>
      <c r="AY126" s="66">
        <f>INT(AT$126*AW126/AX126)</f>
        <v>245761</v>
      </c>
      <c r="AZ126" s="66">
        <f>SUM(AY$5:AY126)</f>
        <v>5534967</v>
      </c>
    </row>
    <row r="127" spans="9:52" ht="16.5" x14ac:dyDescent="0.2">
      <c r="I127" s="34">
        <v>90</v>
      </c>
      <c r="J127" s="15">
        <f t="shared" si="22"/>
        <v>1102005</v>
      </c>
      <c r="K127" s="15">
        <f t="shared" si="23"/>
        <v>3</v>
      </c>
      <c r="L127" s="15">
        <f t="shared" si="24"/>
        <v>6</v>
      </c>
      <c r="M127" s="15" t="str">
        <f t="shared" si="25"/>
        <v>蓝</v>
      </c>
      <c r="N127" s="15" t="str">
        <f t="shared" si="26"/>
        <v>金币</v>
      </c>
      <c r="O127" s="15">
        <f>IF(L127&gt;1,INDEX(挂机升级突破!$AI$35:$AI$55,卡牌消耗!L127),"")</f>
        <v>17500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83">
        <v>90</v>
      </c>
      <c r="X127" s="83">
        <f t="shared" si="27"/>
        <v>18</v>
      </c>
      <c r="Y127" s="83">
        <f t="shared" si="28"/>
        <v>1102002</v>
      </c>
      <c r="Z127" s="83">
        <f t="shared" si="29"/>
        <v>5</v>
      </c>
      <c r="AA127" s="83" t="s">
        <v>817</v>
      </c>
      <c r="AB127" s="15">
        <f t="shared" si="30"/>
        <v>0</v>
      </c>
      <c r="AC127" s="83" t="str">
        <f t="shared" si="31"/>
        <v>许褚碎片</v>
      </c>
      <c r="AD127" s="15">
        <f t="shared" si="21"/>
        <v>240</v>
      </c>
      <c r="AS127" s="66" t="s">
        <v>594</v>
      </c>
      <c r="AT127" s="15">
        <f>INDEX($AP$5:$AP$19,AT125)</f>
        <v>9</v>
      </c>
      <c r="AU127" s="66">
        <v>123</v>
      </c>
      <c r="AV127" s="66">
        <v>12</v>
      </c>
      <c r="AW127" s="22">
        <f>AV127/AT$128</f>
        <v>8.2758620689655171E-2</v>
      </c>
      <c r="AX127" s="94">
        <v>14.3</v>
      </c>
      <c r="AY127" s="66">
        <f>INT(AT$126*AW127/AX127)</f>
        <v>266228</v>
      </c>
      <c r="AZ127" s="66">
        <f>SUM(AY$5:AY127)</f>
        <v>5801195</v>
      </c>
    </row>
    <row r="128" spans="9:52" ht="16.5" x14ac:dyDescent="0.2">
      <c r="I128" s="34">
        <v>91</v>
      </c>
      <c r="J128" s="15">
        <f t="shared" si="22"/>
        <v>1102005</v>
      </c>
      <c r="K128" s="15">
        <f t="shared" si="23"/>
        <v>3</v>
      </c>
      <c r="L128" s="15">
        <f t="shared" si="24"/>
        <v>7</v>
      </c>
      <c r="M128" s="15" t="str">
        <f t="shared" si="25"/>
        <v>蓝</v>
      </c>
      <c r="N128" s="15" t="str">
        <f t="shared" si="26"/>
        <v>金币</v>
      </c>
      <c r="O128" s="15">
        <f>IF(L128&gt;1,INDEX(挂机升级突破!$AI$35:$AI$55,卡牌消耗!L128),"")</f>
        <v>19500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83">
        <v>91</v>
      </c>
      <c r="X128" s="83">
        <f t="shared" si="27"/>
        <v>19</v>
      </c>
      <c r="Y128" s="83">
        <f t="shared" si="28"/>
        <v>1102003</v>
      </c>
      <c r="Z128" s="83">
        <f t="shared" si="29"/>
        <v>1</v>
      </c>
      <c r="AA128" s="83" t="s">
        <v>817</v>
      </c>
      <c r="AB128" s="15">
        <f t="shared" si="30"/>
        <v>0</v>
      </c>
      <c r="AC128" s="83" t="str">
        <f t="shared" si="31"/>
        <v>典韦碎片</v>
      </c>
      <c r="AD128" s="15">
        <f t="shared" si="21"/>
        <v>40</v>
      </c>
      <c r="AS128" s="16"/>
      <c r="AT128" s="15">
        <f>SUM(AV125:AV134)</f>
        <v>145</v>
      </c>
      <c r="AU128" s="66">
        <v>124</v>
      </c>
      <c r="AV128" s="66">
        <v>13</v>
      </c>
      <c r="AW128" s="22">
        <f>AV128/AT$128</f>
        <v>8.9655172413793102E-2</v>
      </c>
      <c r="AX128" s="94">
        <v>14.4</v>
      </c>
      <c r="AY128" s="66">
        <f>INT(AT$126*AW128/AX128)</f>
        <v>286410</v>
      </c>
      <c r="AZ128" s="66">
        <f>SUM(AY$5:AY128)</f>
        <v>6087605</v>
      </c>
    </row>
    <row r="129" spans="9:52" ht="16.5" x14ac:dyDescent="0.2">
      <c r="I129" s="34">
        <v>92</v>
      </c>
      <c r="J129" s="15">
        <f t="shared" si="22"/>
        <v>1102005</v>
      </c>
      <c r="K129" s="15">
        <f t="shared" si="23"/>
        <v>3</v>
      </c>
      <c r="L129" s="15">
        <f t="shared" si="24"/>
        <v>8</v>
      </c>
      <c r="M129" s="15" t="str">
        <f t="shared" si="25"/>
        <v>蓝</v>
      </c>
      <c r="N129" s="15" t="str">
        <f t="shared" si="26"/>
        <v>金币</v>
      </c>
      <c r="O129" s="15">
        <f>IF(L129&gt;1,INDEX(挂机升级突破!$AI$35:$AI$55,卡牌消耗!L129),"")</f>
        <v>22000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83">
        <v>92</v>
      </c>
      <c r="X129" s="83">
        <f t="shared" si="27"/>
        <v>19</v>
      </c>
      <c r="Y129" s="83">
        <f t="shared" si="28"/>
        <v>1102003</v>
      </c>
      <c r="Z129" s="83">
        <f t="shared" si="29"/>
        <v>2</v>
      </c>
      <c r="AA129" s="83" t="s">
        <v>817</v>
      </c>
      <c r="AB129" s="15">
        <f t="shared" si="30"/>
        <v>0</v>
      </c>
      <c r="AC129" s="83" t="str">
        <f t="shared" si="31"/>
        <v>典韦碎片</v>
      </c>
      <c r="AD129" s="15">
        <f t="shared" si="21"/>
        <v>80</v>
      </c>
      <c r="AU129" s="66">
        <v>125</v>
      </c>
      <c r="AV129" s="66">
        <v>14</v>
      </c>
      <c r="AW129" s="22">
        <f>AV129/AT$128</f>
        <v>9.6551724137931033E-2</v>
      </c>
      <c r="AX129" s="94">
        <v>14.5</v>
      </c>
      <c r="AY129" s="66">
        <f>INT(AT$126*AW129/AX129)</f>
        <v>306315</v>
      </c>
      <c r="AZ129" s="66">
        <f>SUM(AY$5:AY129)</f>
        <v>6393920</v>
      </c>
    </row>
    <row r="130" spans="9:52" ht="16.5" x14ac:dyDescent="0.2">
      <c r="I130" s="34">
        <v>93</v>
      </c>
      <c r="J130" s="15">
        <f t="shared" si="22"/>
        <v>1102005</v>
      </c>
      <c r="K130" s="15">
        <f t="shared" si="23"/>
        <v>3</v>
      </c>
      <c r="L130" s="15">
        <f t="shared" si="24"/>
        <v>9</v>
      </c>
      <c r="M130" s="15" t="str">
        <f t="shared" si="25"/>
        <v>蓝</v>
      </c>
      <c r="N130" s="15" t="str">
        <f t="shared" si="26"/>
        <v>金币</v>
      </c>
      <c r="O130" s="15">
        <f>IF(L130&gt;1,INDEX(挂机升级突破!$AI$35:$AI$55,卡牌消耗!L130),"")</f>
        <v>25000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83">
        <v>93</v>
      </c>
      <c r="X130" s="83">
        <f t="shared" si="27"/>
        <v>19</v>
      </c>
      <c r="Y130" s="83">
        <f t="shared" si="28"/>
        <v>1102003</v>
      </c>
      <c r="Z130" s="83">
        <f t="shared" si="29"/>
        <v>3</v>
      </c>
      <c r="AA130" s="83" t="s">
        <v>817</v>
      </c>
      <c r="AB130" s="15">
        <f t="shared" si="30"/>
        <v>0</v>
      </c>
      <c r="AC130" s="83" t="str">
        <f t="shared" si="31"/>
        <v>典韦碎片</v>
      </c>
      <c r="AD130" s="15">
        <f t="shared" si="21"/>
        <v>120</v>
      </c>
      <c r="AU130" s="66">
        <v>126</v>
      </c>
      <c r="AV130" s="66">
        <v>15</v>
      </c>
      <c r="AW130" s="22">
        <f>AV130/AT$128</f>
        <v>0.10344827586206896</v>
      </c>
      <c r="AX130" s="94">
        <v>14.6</v>
      </c>
      <c r="AY130" s="66">
        <f>INT(AT$126*AW130/AX130)</f>
        <v>325947</v>
      </c>
      <c r="AZ130" s="66">
        <f>SUM(AY$5:AY130)</f>
        <v>6719867</v>
      </c>
    </row>
    <row r="131" spans="9:52" ht="16.5" x14ac:dyDescent="0.2">
      <c r="I131" s="34">
        <v>94</v>
      </c>
      <c r="J131" s="15">
        <f t="shared" si="22"/>
        <v>1102005</v>
      </c>
      <c r="K131" s="15">
        <f t="shared" si="23"/>
        <v>3</v>
      </c>
      <c r="L131" s="15">
        <f t="shared" si="24"/>
        <v>10</v>
      </c>
      <c r="M131" s="15" t="str">
        <f t="shared" si="25"/>
        <v>蓝</v>
      </c>
      <c r="N131" s="15" t="str">
        <f t="shared" si="26"/>
        <v>金币</v>
      </c>
      <c r="O131" s="15">
        <f>IF(L131&gt;1,INDEX(挂机升级突破!$AI$35:$AI$55,卡牌消耗!L131),"")</f>
        <v>27500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83">
        <v>94</v>
      </c>
      <c r="X131" s="83">
        <f t="shared" si="27"/>
        <v>19</v>
      </c>
      <c r="Y131" s="83">
        <f t="shared" si="28"/>
        <v>1102003</v>
      </c>
      <c r="Z131" s="83">
        <f t="shared" si="29"/>
        <v>4</v>
      </c>
      <c r="AA131" s="83" t="s">
        <v>817</v>
      </c>
      <c r="AB131" s="15">
        <f t="shared" si="30"/>
        <v>0</v>
      </c>
      <c r="AC131" s="83" t="str">
        <f t="shared" si="31"/>
        <v>典韦碎片</v>
      </c>
      <c r="AD131" s="15">
        <f t="shared" si="21"/>
        <v>160</v>
      </c>
      <c r="AU131" s="66">
        <v>127</v>
      </c>
      <c r="AV131" s="66">
        <v>16</v>
      </c>
      <c r="AW131" s="22">
        <f>AV131/AT$128</f>
        <v>0.1103448275862069</v>
      </c>
      <c r="AX131" s="94">
        <v>14.7</v>
      </c>
      <c r="AY131" s="66">
        <f>INT(AT$126*AW131/AX131)</f>
        <v>345311</v>
      </c>
      <c r="AZ131" s="66">
        <f>SUM(AY$5:AY131)</f>
        <v>7065178</v>
      </c>
    </row>
    <row r="132" spans="9:52" ht="16.5" x14ac:dyDescent="0.2">
      <c r="I132" s="34">
        <v>95</v>
      </c>
      <c r="J132" s="15">
        <f t="shared" si="22"/>
        <v>1102005</v>
      </c>
      <c r="K132" s="15">
        <f t="shared" si="23"/>
        <v>3</v>
      </c>
      <c r="L132" s="15">
        <f t="shared" si="24"/>
        <v>11</v>
      </c>
      <c r="M132" s="15" t="str">
        <f t="shared" si="25"/>
        <v>蓝</v>
      </c>
      <c r="N132" s="15" t="str">
        <f t="shared" si="26"/>
        <v>金币</v>
      </c>
      <c r="O132" s="15">
        <f>IF(L132&gt;1,INDEX(挂机升级突破!$AI$35:$AI$55,卡牌消耗!L132),"")</f>
        <v>30000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83">
        <v>95</v>
      </c>
      <c r="X132" s="83">
        <f t="shared" si="27"/>
        <v>19</v>
      </c>
      <c r="Y132" s="83">
        <f t="shared" si="28"/>
        <v>1102003</v>
      </c>
      <c r="Z132" s="83">
        <f t="shared" si="29"/>
        <v>5</v>
      </c>
      <c r="AA132" s="83" t="s">
        <v>817</v>
      </c>
      <c r="AB132" s="15">
        <f t="shared" si="30"/>
        <v>0</v>
      </c>
      <c r="AC132" s="83" t="str">
        <f t="shared" si="31"/>
        <v>典韦碎片</v>
      </c>
      <c r="AD132" s="15">
        <f t="shared" si="21"/>
        <v>240</v>
      </c>
      <c r="AU132" s="66">
        <v>128</v>
      </c>
      <c r="AV132" s="66">
        <v>17</v>
      </c>
      <c r="AW132" s="22">
        <f>AV132/AT$128</f>
        <v>0.11724137931034483</v>
      </c>
      <c r="AX132" s="94">
        <v>14.8</v>
      </c>
      <c r="AY132" s="66">
        <f>INT(AT$126*AW132/AX132)</f>
        <v>364414</v>
      </c>
      <c r="AZ132" s="66">
        <f>SUM(AY$5:AY132)</f>
        <v>7429592</v>
      </c>
    </row>
    <row r="133" spans="9:52" ht="16.5" x14ac:dyDescent="0.2">
      <c r="I133" s="34">
        <v>96</v>
      </c>
      <c r="J133" s="15">
        <f t="shared" si="22"/>
        <v>1102005</v>
      </c>
      <c r="K133" s="15">
        <f t="shared" si="23"/>
        <v>3</v>
      </c>
      <c r="L133" s="15">
        <f t="shared" si="24"/>
        <v>12</v>
      </c>
      <c r="M133" s="15" t="str">
        <f t="shared" si="25"/>
        <v>蓝</v>
      </c>
      <c r="N133" s="15" t="str">
        <f t="shared" si="26"/>
        <v>金币</v>
      </c>
      <c r="O133" s="15">
        <f>IF(L133&gt;1,INDEX(挂机升级突破!$AI$35:$AI$55,卡牌消耗!L133),"")</f>
        <v>32000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83">
        <v>96</v>
      </c>
      <c r="X133" s="83">
        <f t="shared" si="27"/>
        <v>20</v>
      </c>
      <c r="Y133" s="83">
        <f t="shared" si="28"/>
        <v>1102004</v>
      </c>
      <c r="Z133" s="83">
        <f t="shared" si="29"/>
        <v>1</v>
      </c>
      <c r="AA133" s="83" t="s">
        <v>817</v>
      </c>
      <c r="AB133" s="15">
        <f t="shared" si="30"/>
        <v>0</v>
      </c>
      <c r="AC133" s="83" t="str">
        <f t="shared" si="31"/>
        <v>唐流雨碎片</v>
      </c>
      <c r="AD133" s="15">
        <f t="shared" si="21"/>
        <v>20</v>
      </c>
      <c r="AU133" s="66">
        <v>129</v>
      </c>
      <c r="AV133" s="66">
        <v>18</v>
      </c>
      <c r="AW133" s="22">
        <f>AV133/AT$128</f>
        <v>0.12413793103448276</v>
      </c>
      <c r="AX133" s="94">
        <v>14.9</v>
      </c>
      <c r="AY133" s="66">
        <f>INT(AT$126*AW133/AX133)</f>
        <v>383261</v>
      </c>
      <c r="AZ133" s="66">
        <f>SUM(AY$5:AY133)</f>
        <v>7812853</v>
      </c>
    </row>
    <row r="134" spans="9:52" ht="16.5" x14ac:dyDescent="0.2">
      <c r="I134" s="34">
        <v>97</v>
      </c>
      <c r="J134" s="15">
        <f t="shared" si="22"/>
        <v>1102005</v>
      </c>
      <c r="K134" s="15">
        <f t="shared" si="23"/>
        <v>3</v>
      </c>
      <c r="L134" s="15">
        <f t="shared" si="24"/>
        <v>13</v>
      </c>
      <c r="M134" s="15" t="str">
        <f t="shared" si="25"/>
        <v>蓝</v>
      </c>
      <c r="N134" s="15" t="str">
        <f t="shared" si="26"/>
        <v>金币</v>
      </c>
      <c r="O134" s="15">
        <f>IF(L134&gt;1,INDEX(挂机升级突破!$AI$35:$AI$55,卡牌消耗!L134),"")</f>
        <v>40500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83">
        <v>97</v>
      </c>
      <c r="X134" s="83">
        <f t="shared" si="27"/>
        <v>20</v>
      </c>
      <c r="Y134" s="83">
        <f t="shared" si="28"/>
        <v>1102004</v>
      </c>
      <c r="Z134" s="83">
        <f t="shared" si="29"/>
        <v>2</v>
      </c>
      <c r="AA134" s="83" t="s">
        <v>817</v>
      </c>
      <c r="AB134" s="15">
        <f t="shared" si="30"/>
        <v>0</v>
      </c>
      <c r="AC134" s="83" t="str">
        <f t="shared" si="31"/>
        <v>唐流雨碎片</v>
      </c>
      <c r="AD134" s="15">
        <f t="shared" ref="AD134:AD165" si="32">INDEX($N$5:$Q$9,Z134,INDEX($C$38:$C$75,X134)-1)</f>
        <v>40</v>
      </c>
      <c r="AU134" s="66">
        <v>130</v>
      </c>
      <c r="AV134" s="66">
        <v>19</v>
      </c>
      <c r="AW134" s="22">
        <f>AV134/AT$128</f>
        <v>0.1310344827586207</v>
      </c>
      <c r="AX134" s="94">
        <v>15</v>
      </c>
      <c r="AY134" s="66">
        <f>INT(AT$126*AW134/AX134)</f>
        <v>401856</v>
      </c>
      <c r="AZ134" s="66">
        <f>SUM(AY$5:AY134)</f>
        <v>8214709</v>
      </c>
    </row>
    <row r="135" spans="9:52" ht="16.5" x14ac:dyDescent="0.2">
      <c r="I135" s="34">
        <v>98</v>
      </c>
      <c r="J135" s="15">
        <f t="shared" si="22"/>
        <v>1102005</v>
      </c>
      <c r="K135" s="15">
        <f t="shared" si="23"/>
        <v>3</v>
      </c>
      <c r="L135" s="15">
        <f t="shared" si="24"/>
        <v>14</v>
      </c>
      <c r="M135" s="15" t="str">
        <f t="shared" si="25"/>
        <v>蓝</v>
      </c>
      <c r="N135" s="15" t="str">
        <f t="shared" si="26"/>
        <v>金币</v>
      </c>
      <c r="O135" s="15">
        <f>IF(L135&gt;1,INDEX(挂机升级突破!$AI$35:$AI$55,卡牌消耗!L135),"")</f>
        <v>54000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83">
        <v>98</v>
      </c>
      <c r="X135" s="83">
        <f t="shared" si="27"/>
        <v>20</v>
      </c>
      <c r="Y135" s="83">
        <f t="shared" si="28"/>
        <v>1102004</v>
      </c>
      <c r="Z135" s="83">
        <f t="shared" si="29"/>
        <v>3</v>
      </c>
      <c r="AA135" s="83" t="s">
        <v>817</v>
      </c>
      <c r="AB135" s="15">
        <f t="shared" si="30"/>
        <v>0</v>
      </c>
      <c r="AC135" s="83" t="str">
        <f t="shared" si="31"/>
        <v>唐流雨碎片</v>
      </c>
      <c r="AD135" s="15">
        <f t="shared" si="32"/>
        <v>80</v>
      </c>
      <c r="AS135" s="66" t="s">
        <v>596</v>
      </c>
      <c r="AT135" s="66">
        <v>14</v>
      </c>
      <c r="AU135" s="66">
        <v>131</v>
      </c>
      <c r="AV135" s="66">
        <v>10</v>
      </c>
      <c r="AW135" s="22">
        <f>AV135/AT$138</f>
        <v>6.8965517241379309E-2</v>
      </c>
      <c r="AX135" s="94">
        <v>15</v>
      </c>
      <c r="AY135" s="66">
        <f>INT(AT$136*AW135/AX135)</f>
        <v>389200</v>
      </c>
      <c r="AZ135" s="66">
        <f>SUM(AY$5:AY135)</f>
        <v>8603909</v>
      </c>
    </row>
    <row r="136" spans="9:52" ht="16.5" x14ac:dyDescent="0.2">
      <c r="I136" s="34">
        <v>99</v>
      </c>
      <c r="J136" s="15">
        <f t="shared" si="22"/>
        <v>1102005</v>
      </c>
      <c r="K136" s="15">
        <f t="shared" si="23"/>
        <v>3</v>
      </c>
      <c r="L136" s="15">
        <f t="shared" si="24"/>
        <v>15</v>
      </c>
      <c r="M136" s="15" t="str">
        <f t="shared" si="25"/>
        <v>蓝</v>
      </c>
      <c r="N136" s="15" t="str">
        <f t="shared" si="26"/>
        <v>金币</v>
      </c>
      <c r="O136" s="15">
        <f>IF(L136&gt;1,INDEX(挂机升级突破!$AI$35:$AI$55,卡牌消耗!L136),"")</f>
        <v>63000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83">
        <v>99</v>
      </c>
      <c r="X136" s="83">
        <f t="shared" si="27"/>
        <v>20</v>
      </c>
      <c r="Y136" s="83">
        <f t="shared" si="28"/>
        <v>1102004</v>
      </c>
      <c r="Z136" s="83">
        <f t="shared" si="29"/>
        <v>4</v>
      </c>
      <c r="AA136" s="83" t="s">
        <v>817</v>
      </c>
      <c r="AB136" s="15">
        <f t="shared" si="30"/>
        <v>0</v>
      </c>
      <c r="AC136" s="83" t="str">
        <f t="shared" si="31"/>
        <v>唐流雨碎片</v>
      </c>
      <c r="AD136" s="15">
        <f t="shared" si="32"/>
        <v>120</v>
      </c>
      <c r="AS136" s="15" t="str">
        <f>INDEX($AF$5:$AF$19,AT135)</f>
        <v>130~140</v>
      </c>
      <c r="AT136" s="15">
        <f>INDEX($AO$5:$AO$19,AT135)</f>
        <v>84651000</v>
      </c>
      <c r="AU136" s="66">
        <v>132</v>
      </c>
      <c r="AV136" s="66">
        <v>11</v>
      </c>
      <c r="AW136" s="22">
        <f>AV136/AT$138</f>
        <v>7.586206896551724E-2</v>
      </c>
      <c r="AX136" s="94">
        <v>15</v>
      </c>
      <c r="AY136" s="66">
        <f>INT(AT$136*AW136/AX136)</f>
        <v>428120</v>
      </c>
      <c r="AZ136" s="66">
        <f>SUM(AY$5:AY136)</f>
        <v>9032029</v>
      </c>
    </row>
    <row r="137" spans="9:52" ht="16.5" x14ac:dyDescent="0.2">
      <c r="I137" s="34">
        <v>100</v>
      </c>
      <c r="J137" s="15">
        <f t="shared" si="22"/>
        <v>1102005</v>
      </c>
      <c r="K137" s="15">
        <f t="shared" si="23"/>
        <v>3</v>
      </c>
      <c r="L137" s="15">
        <f t="shared" si="24"/>
        <v>16</v>
      </c>
      <c r="M137" s="15" t="str">
        <f t="shared" si="25"/>
        <v>蓝</v>
      </c>
      <c r="N137" s="15" t="str">
        <f t="shared" si="26"/>
        <v>金币</v>
      </c>
      <c r="O137" s="15">
        <f>IF(L137&gt;1,INDEX(挂机升级突破!$AI$35:$AI$55,卡牌消耗!L137),"")</f>
        <v>73000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83">
        <v>100</v>
      </c>
      <c r="X137" s="83">
        <f t="shared" si="27"/>
        <v>20</v>
      </c>
      <c r="Y137" s="83">
        <f t="shared" si="28"/>
        <v>1102004</v>
      </c>
      <c r="Z137" s="83">
        <f t="shared" si="29"/>
        <v>5</v>
      </c>
      <c r="AA137" s="83" t="s">
        <v>817</v>
      </c>
      <c r="AB137" s="15">
        <f t="shared" si="30"/>
        <v>0</v>
      </c>
      <c r="AC137" s="83" t="str">
        <f t="shared" si="31"/>
        <v>唐流雨碎片</v>
      </c>
      <c r="AD137" s="15">
        <f t="shared" si="32"/>
        <v>160</v>
      </c>
      <c r="AS137" s="66" t="s">
        <v>594</v>
      </c>
      <c r="AT137" s="15">
        <f>INDEX($AP$5:$AP$19,AT135)</f>
        <v>9</v>
      </c>
      <c r="AU137" s="66">
        <v>133</v>
      </c>
      <c r="AV137" s="66">
        <v>12</v>
      </c>
      <c r="AW137" s="22">
        <f>AV137/AT$138</f>
        <v>8.2758620689655171E-2</v>
      </c>
      <c r="AX137" s="94">
        <v>15</v>
      </c>
      <c r="AY137" s="66">
        <f>INT(AT$136*AW137/AX137)</f>
        <v>467040</v>
      </c>
      <c r="AZ137" s="66">
        <f>SUM(AY$5:AY137)</f>
        <v>9499069</v>
      </c>
    </row>
    <row r="138" spans="9:52" ht="16.5" x14ac:dyDescent="0.2">
      <c r="I138" s="34">
        <v>101</v>
      </c>
      <c r="J138" s="15">
        <f t="shared" si="22"/>
        <v>1102005</v>
      </c>
      <c r="K138" s="15">
        <f t="shared" si="23"/>
        <v>3</v>
      </c>
      <c r="L138" s="15">
        <f t="shared" si="24"/>
        <v>17</v>
      </c>
      <c r="M138" s="15" t="str">
        <f t="shared" si="25"/>
        <v>蓝</v>
      </c>
      <c r="N138" s="15" t="str">
        <f t="shared" si="26"/>
        <v>金币</v>
      </c>
      <c r="O138" s="15">
        <f>IF(L138&gt;1,INDEX(挂机升级突破!$AI$35:$AI$55,卡牌消耗!L138),"")</f>
        <v>76000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83">
        <v>101</v>
      </c>
      <c r="X138" s="83">
        <f t="shared" si="27"/>
        <v>21</v>
      </c>
      <c r="Y138" s="83">
        <f t="shared" si="28"/>
        <v>1102005</v>
      </c>
      <c r="Z138" s="83">
        <f t="shared" si="29"/>
        <v>1</v>
      </c>
      <c r="AA138" s="83" t="s">
        <v>817</v>
      </c>
      <c r="AB138" s="15">
        <f t="shared" si="30"/>
        <v>0</v>
      </c>
      <c r="AC138" s="83" t="str">
        <f t="shared" si="31"/>
        <v>李轩辕碎片</v>
      </c>
      <c r="AD138" s="15">
        <f t="shared" si="32"/>
        <v>40</v>
      </c>
      <c r="AS138" s="16"/>
      <c r="AT138" s="15">
        <f>SUM(AV135:AV144)</f>
        <v>145</v>
      </c>
      <c r="AU138" s="66">
        <v>134</v>
      </c>
      <c r="AV138" s="66">
        <v>13</v>
      </c>
      <c r="AW138" s="22">
        <f>AV138/AT$138</f>
        <v>8.9655172413793102E-2</v>
      </c>
      <c r="AX138" s="94">
        <v>15</v>
      </c>
      <c r="AY138" s="66">
        <f>INT(AT$136*AW138/AX138)</f>
        <v>505960</v>
      </c>
      <c r="AZ138" s="66">
        <f>SUM(AY$5:AY138)</f>
        <v>10005029</v>
      </c>
    </row>
    <row r="139" spans="9:52" ht="16.5" x14ac:dyDescent="0.2">
      <c r="I139" s="34">
        <v>102</v>
      </c>
      <c r="J139" s="15">
        <f t="shared" si="22"/>
        <v>1102005</v>
      </c>
      <c r="K139" s="15">
        <f t="shared" si="23"/>
        <v>3</v>
      </c>
      <c r="L139" s="15">
        <f t="shared" si="24"/>
        <v>18</v>
      </c>
      <c r="M139" s="15" t="str">
        <f t="shared" si="25"/>
        <v>蓝</v>
      </c>
      <c r="N139" s="15" t="str">
        <f t="shared" si="26"/>
        <v>金币</v>
      </c>
      <c r="O139" s="15">
        <f>IF(L139&gt;1,INDEX(挂机升级突破!$AI$35:$AI$55,卡牌消耗!L139),"")</f>
        <v>106500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83">
        <v>102</v>
      </c>
      <c r="X139" s="83">
        <f t="shared" si="27"/>
        <v>21</v>
      </c>
      <c r="Y139" s="83">
        <f t="shared" si="28"/>
        <v>1102005</v>
      </c>
      <c r="Z139" s="83">
        <f t="shared" si="29"/>
        <v>2</v>
      </c>
      <c r="AA139" s="83" t="s">
        <v>817</v>
      </c>
      <c r="AB139" s="15">
        <f t="shared" si="30"/>
        <v>0</v>
      </c>
      <c r="AC139" s="83" t="str">
        <f t="shared" si="31"/>
        <v>李轩辕碎片</v>
      </c>
      <c r="AD139" s="15">
        <f t="shared" si="32"/>
        <v>80</v>
      </c>
      <c r="AU139" s="66">
        <v>135</v>
      </c>
      <c r="AV139" s="66">
        <v>14</v>
      </c>
      <c r="AW139" s="22">
        <f>AV139/AT$138</f>
        <v>9.6551724137931033E-2</v>
      </c>
      <c r="AX139" s="94">
        <v>15</v>
      </c>
      <c r="AY139" s="66">
        <f>INT(AT$136*AW139/AX139)</f>
        <v>544880</v>
      </c>
      <c r="AZ139" s="66">
        <f>SUM(AY$5:AY139)</f>
        <v>10549909</v>
      </c>
    </row>
    <row r="140" spans="9:52" ht="16.5" x14ac:dyDescent="0.2">
      <c r="I140" s="34">
        <v>103</v>
      </c>
      <c r="J140" s="15">
        <f t="shared" si="22"/>
        <v>1102005</v>
      </c>
      <c r="K140" s="15">
        <f t="shared" si="23"/>
        <v>3</v>
      </c>
      <c r="L140" s="15">
        <f t="shared" si="24"/>
        <v>19</v>
      </c>
      <c r="M140" s="15" t="str">
        <f t="shared" si="25"/>
        <v>蓝</v>
      </c>
      <c r="N140" s="15" t="str">
        <f t="shared" si="26"/>
        <v>金币</v>
      </c>
      <c r="O140" s="15">
        <f>IF(L140&gt;1,INDEX(挂机升级突破!$AI$35:$AI$55,卡牌消耗!L140),"")</f>
        <v>142000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83">
        <v>103</v>
      </c>
      <c r="X140" s="83">
        <f t="shared" si="27"/>
        <v>21</v>
      </c>
      <c r="Y140" s="83">
        <f t="shared" si="28"/>
        <v>1102005</v>
      </c>
      <c r="Z140" s="83">
        <f t="shared" si="29"/>
        <v>3</v>
      </c>
      <c r="AA140" s="83" t="s">
        <v>817</v>
      </c>
      <c r="AB140" s="15">
        <f t="shared" si="30"/>
        <v>0</v>
      </c>
      <c r="AC140" s="83" t="str">
        <f t="shared" si="31"/>
        <v>李轩辕碎片</v>
      </c>
      <c r="AD140" s="15">
        <f t="shared" si="32"/>
        <v>120</v>
      </c>
      <c r="AU140" s="66">
        <v>136</v>
      </c>
      <c r="AV140" s="66">
        <v>15</v>
      </c>
      <c r="AW140" s="22">
        <f>AV140/AT$138</f>
        <v>0.10344827586206896</v>
      </c>
      <c r="AX140" s="94">
        <v>15</v>
      </c>
      <c r="AY140" s="66">
        <f>INT(AT$136*AW140/AX140)</f>
        <v>583800</v>
      </c>
      <c r="AZ140" s="66">
        <f>SUM(AY$5:AY140)</f>
        <v>11133709</v>
      </c>
    </row>
    <row r="141" spans="9:52" ht="16.5" x14ac:dyDescent="0.2">
      <c r="I141" s="34">
        <v>104</v>
      </c>
      <c r="J141" s="15">
        <f t="shared" si="22"/>
        <v>1102005</v>
      </c>
      <c r="K141" s="15">
        <f t="shared" si="23"/>
        <v>3</v>
      </c>
      <c r="L141" s="15">
        <f t="shared" si="24"/>
        <v>20</v>
      </c>
      <c r="M141" s="15" t="str">
        <f t="shared" si="25"/>
        <v>蓝</v>
      </c>
      <c r="N141" s="15" t="str">
        <f t="shared" si="26"/>
        <v>金币</v>
      </c>
      <c r="O141" s="15">
        <f>IF(L141&gt;1,INDEX(挂机升级突破!$AI$35:$AI$55,卡牌消耗!L141),"")</f>
        <v>177500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83">
        <v>104</v>
      </c>
      <c r="X141" s="83">
        <f t="shared" si="27"/>
        <v>21</v>
      </c>
      <c r="Y141" s="83">
        <f t="shared" si="28"/>
        <v>1102005</v>
      </c>
      <c r="Z141" s="83">
        <f t="shared" si="29"/>
        <v>4</v>
      </c>
      <c r="AA141" s="83" t="s">
        <v>817</v>
      </c>
      <c r="AB141" s="15">
        <f t="shared" si="30"/>
        <v>0</v>
      </c>
      <c r="AC141" s="83" t="str">
        <f t="shared" si="31"/>
        <v>李轩辕碎片</v>
      </c>
      <c r="AD141" s="15">
        <f t="shared" si="32"/>
        <v>160</v>
      </c>
      <c r="AU141" s="66">
        <v>137</v>
      </c>
      <c r="AV141" s="66">
        <v>16</v>
      </c>
      <c r="AW141" s="22">
        <f>AV141/AT$138</f>
        <v>0.1103448275862069</v>
      </c>
      <c r="AX141" s="94">
        <v>15</v>
      </c>
      <c r="AY141" s="66">
        <f>INT(AT$136*AW141/AX141)</f>
        <v>622720</v>
      </c>
      <c r="AZ141" s="66">
        <f>SUM(AY$5:AY141)</f>
        <v>11756429</v>
      </c>
    </row>
    <row r="142" spans="9:52" ht="16.5" x14ac:dyDescent="0.2">
      <c r="I142" s="34">
        <v>105</v>
      </c>
      <c r="J142" s="15">
        <f t="shared" si="22"/>
        <v>1102005</v>
      </c>
      <c r="K142" s="15">
        <f t="shared" si="23"/>
        <v>3</v>
      </c>
      <c r="L142" s="15">
        <f t="shared" si="24"/>
        <v>21</v>
      </c>
      <c r="M142" s="15" t="str">
        <f t="shared" si="25"/>
        <v>蓝</v>
      </c>
      <c r="N142" s="15" t="str">
        <f t="shared" si="26"/>
        <v>金币</v>
      </c>
      <c r="O142" s="15">
        <f>IF(L142&gt;1,INDEX(挂机升级突破!$AI$35:$AI$55,卡牌消耗!L142),"")</f>
        <v>213000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83">
        <v>105</v>
      </c>
      <c r="X142" s="83">
        <f t="shared" si="27"/>
        <v>21</v>
      </c>
      <c r="Y142" s="83">
        <f t="shared" si="28"/>
        <v>1102005</v>
      </c>
      <c r="Z142" s="83">
        <f t="shared" si="29"/>
        <v>5</v>
      </c>
      <c r="AA142" s="83" t="s">
        <v>817</v>
      </c>
      <c r="AB142" s="15">
        <f t="shared" si="30"/>
        <v>0</v>
      </c>
      <c r="AC142" s="83" t="str">
        <f t="shared" si="31"/>
        <v>李轩辕碎片</v>
      </c>
      <c r="AD142" s="15">
        <f t="shared" si="32"/>
        <v>240</v>
      </c>
      <c r="AU142" s="66">
        <v>138</v>
      </c>
      <c r="AV142" s="66">
        <v>17</v>
      </c>
      <c r="AW142" s="22">
        <f>AV142/AT$138</f>
        <v>0.11724137931034483</v>
      </c>
      <c r="AX142" s="94">
        <v>15</v>
      </c>
      <c r="AY142" s="66">
        <f>INT(AT$136*AW142/AX142)</f>
        <v>661640</v>
      </c>
      <c r="AZ142" s="66">
        <f>SUM(AY$5:AY142)</f>
        <v>12418069</v>
      </c>
    </row>
    <row r="143" spans="9:52" ht="16.5" x14ac:dyDescent="0.2">
      <c r="I143" s="34">
        <v>106</v>
      </c>
      <c r="J143" s="15">
        <f t="shared" si="22"/>
        <v>1102006</v>
      </c>
      <c r="K143" s="15">
        <f t="shared" si="23"/>
        <v>5</v>
      </c>
      <c r="L143" s="15">
        <f t="shared" si="24"/>
        <v>1</v>
      </c>
      <c r="M143" s="15" t="str">
        <f t="shared" si="25"/>
        <v>黄</v>
      </c>
      <c r="N143" s="15" t="str">
        <f t="shared" si="26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83">
        <v>106</v>
      </c>
      <c r="X143" s="83">
        <f t="shared" si="27"/>
        <v>22</v>
      </c>
      <c r="Y143" s="83">
        <f t="shared" si="28"/>
        <v>1102006</v>
      </c>
      <c r="Z143" s="83">
        <f t="shared" si="29"/>
        <v>1</v>
      </c>
      <c r="AA143" s="83" t="s">
        <v>817</v>
      </c>
      <c r="AB143" s="15">
        <f t="shared" si="30"/>
        <v>0</v>
      </c>
      <c r="AC143" s="83" t="str">
        <f t="shared" si="31"/>
        <v>项羽碎片</v>
      </c>
      <c r="AD143" s="15">
        <f t="shared" si="32"/>
        <v>80</v>
      </c>
      <c r="AU143" s="66">
        <v>139</v>
      </c>
      <c r="AV143" s="66">
        <v>18</v>
      </c>
      <c r="AW143" s="22">
        <f>AV143/AT$138</f>
        <v>0.12413793103448276</v>
      </c>
      <c r="AX143" s="94">
        <v>15</v>
      </c>
      <c r="AY143" s="66">
        <f>INT(AT$136*AW143/AX143)</f>
        <v>700560</v>
      </c>
      <c r="AZ143" s="66">
        <f>SUM(AY$5:AY143)</f>
        <v>13118629</v>
      </c>
    </row>
    <row r="144" spans="9:52" ht="16.5" x14ac:dyDescent="0.2">
      <c r="I144" s="34">
        <v>107</v>
      </c>
      <c r="J144" s="15">
        <f t="shared" si="22"/>
        <v>1102006</v>
      </c>
      <c r="K144" s="15">
        <f t="shared" si="23"/>
        <v>5</v>
      </c>
      <c r="L144" s="15">
        <f t="shared" si="24"/>
        <v>2</v>
      </c>
      <c r="M144" s="15" t="str">
        <f t="shared" si="25"/>
        <v>黄</v>
      </c>
      <c r="N144" s="15" t="str">
        <f t="shared" si="26"/>
        <v>金币</v>
      </c>
      <c r="O144" s="15">
        <f>IF(L144&gt;1,INDEX(挂机升级突破!$AI$35:$AI$55,卡牌消耗!L144),"")</f>
        <v>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83">
        <v>107</v>
      </c>
      <c r="X144" s="83">
        <f t="shared" si="27"/>
        <v>22</v>
      </c>
      <c r="Y144" s="83">
        <f t="shared" si="28"/>
        <v>1102006</v>
      </c>
      <c r="Z144" s="83">
        <f t="shared" si="29"/>
        <v>2</v>
      </c>
      <c r="AA144" s="83" t="s">
        <v>817</v>
      </c>
      <c r="AB144" s="15">
        <f t="shared" si="30"/>
        <v>0</v>
      </c>
      <c r="AC144" s="83" t="str">
        <f t="shared" si="31"/>
        <v>项羽碎片</v>
      </c>
      <c r="AD144" s="15">
        <f t="shared" si="32"/>
        <v>80</v>
      </c>
      <c r="AU144" s="66">
        <v>140</v>
      </c>
      <c r="AV144" s="66">
        <v>19</v>
      </c>
      <c r="AW144" s="22">
        <f>AV144/AT$138</f>
        <v>0.1310344827586207</v>
      </c>
      <c r="AX144" s="94">
        <v>15</v>
      </c>
      <c r="AY144" s="66">
        <f>INT(AT$136*AW144/AX144)</f>
        <v>739480</v>
      </c>
      <c r="AZ144" s="66">
        <f>SUM(AY$5:AY144)</f>
        <v>13858109</v>
      </c>
    </row>
    <row r="145" spans="9:52" ht="16.5" x14ac:dyDescent="0.2">
      <c r="I145" s="34">
        <v>108</v>
      </c>
      <c r="J145" s="15">
        <f t="shared" si="22"/>
        <v>1102006</v>
      </c>
      <c r="K145" s="15">
        <f t="shared" si="23"/>
        <v>5</v>
      </c>
      <c r="L145" s="15">
        <f t="shared" si="24"/>
        <v>3</v>
      </c>
      <c r="M145" s="15" t="str">
        <f t="shared" si="25"/>
        <v>黄</v>
      </c>
      <c r="N145" s="15" t="str">
        <f t="shared" si="26"/>
        <v>金币</v>
      </c>
      <c r="O145" s="15">
        <f>IF(L145&gt;1,INDEX(挂机升级突破!$AI$35:$AI$55,卡牌消耗!L145),"")</f>
        <v>2500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83">
        <v>108</v>
      </c>
      <c r="X145" s="83">
        <f t="shared" si="27"/>
        <v>22</v>
      </c>
      <c r="Y145" s="83">
        <f t="shared" si="28"/>
        <v>1102006</v>
      </c>
      <c r="Z145" s="83">
        <f t="shared" si="29"/>
        <v>3</v>
      </c>
      <c r="AA145" s="83" t="s">
        <v>817</v>
      </c>
      <c r="AB145" s="15">
        <f t="shared" si="30"/>
        <v>0</v>
      </c>
      <c r="AC145" s="83" t="str">
        <f t="shared" si="31"/>
        <v>项羽碎片</v>
      </c>
      <c r="AD145" s="15">
        <f t="shared" si="32"/>
        <v>160</v>
      </c>
      <c r="AS145" s="66" t="s">
        <v>596</v>
      </c>
      <c r="AT145" s="66">
        <v>15</v>
      </c>
      <c r="AU145" s="66">
        <v>141</v>
      </c>
      <c r="AV145" s="66">
        <v>10</v>
      </c>
      <c r="AW145" s="22">
        <f>AV145/AT$148</f>
        <v>6.8965517241379309E-2</v>
      </c>
      <c r="AX145" s="94">
        <v>15</v>
      </c>
      <c r="AY145" s="66">
        <f>INT(AT$146*AW145/AX145)</f>
        <v>763758</v>
      </c>
      <c r="AZ145" s="66">
        <f>SUM(AY$5:AY145)</f>
        <v>14621867</v>
      </c>
    </row>
    <row r="146" spans="9:52" ht="16.5" x14ac:dyDescent="0.2">
      <c r="I146" s="34">
        <v>109</v>
      </c>
      <c r="J146" s="15">
        <f t="shared" si="22"/>
        <v>1102006</v>
      </c>
      <c r="K146" s="15">
        <f t="shared" si="23"/>
        <v>5</v>
      </c>
      <c r="L146" s="15">
        <f t="shared" si="24"/>
        <v>4</v>
      </c>
      <c r="M146" s="15" t="str">
        <f t="shared" si="25"/>
        <v>黄</v>
      </c>
      <c r="N146" s="15" t="str">
        <f t="shared" si="26"/>
        <v>金币</v>
      </c>
      <c r="O146" s="15">
        <f>IF(L146&gt;1,INDEX(挂机升级突破!$AI$35:$AI$55,卡牌消耗!L146),"")</f>
        <v>5500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83">
        <v>109</v>
      </c>
      <c r="X146" s="83">
        <f t="shared" si="27"/>
        <v>22</v>
      </c>
      <c r="Y146" s="83">
        <f t="shared" si="28"/>
        <v>1102006</v>
      </c>
      <c r="Z146" s="83">
        <f t="shared" si="29"/>
        <v>4</v>
      </c>
      <c r="AA146" s="83" t="s">
        <v>817</v>
      </c>
      <c r="AB146" s="15">
        <f t="shared" si="30"/>
        <v>0</v>
      </c>
      <c r="AC146" s="83" t="str">
        <f t="shared" si="31"/>
        <v>项羽碎片</v>
      </c>
      <c r="AD146" s="15">
        <f t="shared" si="32"/>
        <v>240</v>
      </c>
      <c r="AS146" s="15" t="str">
        <f>INDEX($AF$5:$AF$19,AT145)</f>
        <v>140~150</v>
      </c>
      <c r="AT146" s="15">
        <f>INDEX($AO$5:$AO$19,AT145)</f>
        <v>166117500</v>
      </c>
      <c r="AU146" s="66">
        <v>142</v>
      </c>
      <c r="AV146" s="66">
        <v>11</v>
      </c>
      <c r="AW146" s="22">
        <f>AV146/AT$148</f>
        <v>7.586206896551724E-2</v>
      </c>
      <c r="AX146" s="94">
        <v>15</v>
      </c>
      <c r="AY146" s="66">
        <f>INT(AT$146*AW146/AX146)</f>
        <v>840134</v>
      </c>
      <c r="AZ146" s="66">
        <f>SUM(AY$5:AY146)</f>
        <v>15462001</v>
      </c>
    </row>
    <row r="147" spans="9:52" ht="16.5" x14ac:dyDescent="0.2">
      <c r="I147" s="34">
        <v>110</v>
      </c>
      <c r="J147" s="15">
        <f t="shared" si="22"/>
        <v>1102006</v>
      </c>
      <c r="K147" s="15">
        <f t="shared" si="23"/>
        <v>5</v>
      </c>
      <c r="L147" s="15">
        <f t="shared" si="24"/>
        <v>5</v>
      </c>
      <c r="M147" s="15" t="str">
        <f t="shared" si="25"/>
        <v>黄</v>
      </c>
      <c r="N147" s="15" t="str">
        <f t="shared" si="26"/>
        <v>金币</v>
      </c>
      <c r="O147" s="15">
        <f>IF(L147&gt;1,INDEX(挂机升级突破!$AI$35:$AI$55,卡牌消耗!L147),"")</f>
        <v>7500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83">
        <v>110</v>
      </c>
      <c r="X147" s="83">
        <f t="shared" si="27"/>
        <v>22</v>
      </c>
      <c r="Y147" s="83">
        <f t="shared" si="28"/>
        <v>1102006</v>
      </c>
      <c r="Z147" s="83">
        <f t="shared" si="29"/>
        <v>5</v>
      </c>
      <c r="AA147" s="83" t="s">
        <v>817</v>
      </c>
      <c r="AB147" s="15">
        <f t="shared" si="30"/>
        <v>0</v>
      </c>
      <c r="AC147" s="83" t="str">
        <f t="shared" si="31"/>
        <v>项羽碎片</v>
      </c>
      <c r="AD147" s="15">
        <f t="shared" si="32"/>
        <v>320</v>
      </c>
      <c r="AS147" s="66" t="s">
        <v>594</v>
      </c>
      <c r="AT147" s="15">
        <f>INDEX($AP$5:$AP$19,AT145)</f>
        <v>9</v>
      </c>
      <c r="AU147" s="66">
        <v>143</v>
      </c>
      <c r="AV147" s="66">
        <v>12</v>
      </c>
      <c r="AW147" s="22">
        <f>AV147/AT$148</f>
        <v>8.2758620689655171E-2</v>
      </c>
      <c r="AX147" s="94">
        <v>15</v>
      </c>
      <c r="AY147" s="66">
        <f>INT(AT$146*AW147/AX147)</f>
        <v>916510</v>
      </c>
      <c r="AZ147" s="66">
        <f>SUM(AY$5:AY147)</f>
        <v>16378511</v>
      </c>
    </row>
    <row r="148" spans="9:52" ht="16.5" x14ac:dyDescent="0.2">
      <c r="I148" s="34">
        <v>111</v>
      </c>
      <c r="J148" s="15">
        <f t="shared" si="22"/>
        <v>1102006</v>
      </c>
      <c r="K148" s="15">
        <f t="shared" si="23"/>
        <v>5</v>
      </c>
      <c r="L148" s="15">
        <f t="shared" si="24"/>
        <v>6</v>
      </c>
      <c r="M148" s="15" t="str">
        <f t="shared" si="25"/>
        <v>黄</v>
      </c>
      <c r="N148" s="15" t="str">
        <f t="shared" si="26"/>
        <v>金币</v>
      </c>
      <c r="O148" s="15">
        <f>IF(L148&gt;1,INDEX(挂机升级突破!$AI$35:$AI$55,卡牌消耗!L148),"")</f>
        <v>17500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83">
        <v>111</v>
      </c>
      <c r="X148" s="83">
        <f t="shared" si="27"/>
        <v>23</v>
      </c>
      <c r="Y148" s="83">
        <f t="shared" si="28"/>
        <v>1102007</v>
      </c>
      <c r="Z148" s="83">
        <f t="shared" si="29"/>
        <v>1</v>
      </c>
      <c r="AA148" s="83" t="s">
        <v>817</v>
      </c>
      <c r="AB148" s="15">
        <f t="shared" si="30"/>
        <v>0</v>
      </c>
      <c r="AC148" s="83" t="str">
        <f t="shared" si="31"/>
        <v>天使缇娜碎片</v>
      </c>
      <c r="AD148" s="15">
        <f t="shared" si="32"/>
        <v>80</v>
      </c>
      <c r="AS148" s="16"/>
      <c r="AT148" s="15">
        <f>SUM(AV145:AV154)</f>
        <v>145</v>
      </c>
      <c r="AU148" s="66">
        <v>144</v>
      </c>
      <c r="AV148" s="66">
        <v>13</v>
      </c>
      <c r="AW148" s="22">
        <f>AV148/AT$148</f>
        <v>8.9655172413793102E-2</v>
      </c>
      <c r="AX148" s="94">
        <v>15</v>
      </c>
      <c r="AY148" s="66">
        <f>INT(AT$146*AW148/AX148)</f>
        <v>992886</v>
      </c>
      <c r="AZ148" s="66">
        <f>SUM(AY$5:AY148)</f>
        <v>17371397</v>
      </c>
    </row>
    <row r="149" spans="9:52" ht="16.5" x14ac:dyDescent="0.2">
      <c r="I149" s="34">
        <v>112</v>
      </c>
      <c r="J149" s="15">
        <f t="shared" si="22"/>
        <v>1102006</v>
      </c>
      <c r="K149" s="15">
        <f t="shared" si="23"/>
        <v>5</v>
      </c>
      <c r="L149" s="15">
        <f t="shared" si="24"/>
        <v>7</v>
      </c>
      <c r="M149" s="15" t="str">
        <f t="shared" si="25"/>
        <v>黄</v>
      </c>
      <c r="N149" s="15" t="str">
        <f t="shared" si="26"/>
        <v>金币</v>
      </c>
      <c r="O149" s="15">
        <f>IF(L149&gt;1,INDEX(挂机升级突破!$AI$35:$AI$55,卡牌消耗!L149),"")</f>
        <v>19500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83">
        <v>112</v>
      </c>
      <c r="X149" s="83">
        <f t="shared" si="27"/>
        <v>23</v>
      </c>
      <c r="Y149" s="83">
        <f t="shared" si="28"/>
        <v>1102007</v>
      </c>
      <c r="Z149" s="83">
        <f t="shared" si="29"/>
        <v>2</v>
      </c>
      <c r="AA149" s="83" t="s">
        <v>817</v>
      </c>
      <c r="AB149" s="15">
        <f t="shared" si="30"/>
        <v>0</v>
      </c>
      <c r="AC149" s="83" t="str">
        <f t="shared" si="31"/>
        <v>天使缇娜碎片</v>
      </c>
      <c r="AD149" s="15">
        <f t="shared" si="32"/>
        <v>80</v>
      </c>
      <c r="AU149" s="66">
        <v>145</v>
      </c>
      <c r="AV149" s="66">
        <v>14</v>
      </c>
      <c r="AW149" s="22">
        <f>AV149/AT$148</f>
        <v>9.6551724137931033E-2</v>
      </c>
      <c r="AX149" s="94">
        <v>15</v>
      </c>
      <c r="AY149" s="66">
        <f>INT(AT$146*AW149/AX149)</f>
        <v>1069262</v>
      </c>
      <c r="AZ149" s="66">
        <f>SUM(AY$5:AY149)</f>
        <v>18440659</v>
      </c>
    </row>
    <row r="150" spans="9:52" ht="16.5" x14ac:dyDescent="0.2">
      <c r="I150" s="34">
        <v>113</v>
      </c>
      <c r="J150" s="15">
        <f t="shared" si="22"/>
        <v>1102006</v>
      </c>
      <c r="K150" s="15">
        <f t="shared" si="23"/>
        <v>5</v>
      </c>
      <c r="L150" s="15">
        <f t="shared" si="24"/>
        <v>8</v>
      </c>
      <c r="M150" s="15" t="str">
        <f t="shared" si="25"/>
        <v>黄</v>
      </c>
      <c r="N150" s="15" t="str">
        <f t="shared" si="26"/>
        <v>金币</v>
      </c>
      <c r="O150" s="15">
        <f>IF(L150&gt;1,INDEX(挂机升级突破!$AI$35:$AI$55,卡牌消耗!L150),"")</f>
        <v>22000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83">
        <v>113</v>
      </c>
      <c r="X150" s="83">
        <f t="shared" si="27"/>
        <v>23</v>
      </c>
      <c r="Y150" s="83">
        <f t="shared" si="28"/>
        <v>1102007</v>
      </c>
      <c r="Z150" s="83">
        <f t="shared" si="29"/>
        <v>3</v>
      </c>
      <c r="AA150" s="83" t="s">
        <v>817</v>
      </c>
      <c r="AB150" s="15">
        <f t="shared" si="30"/>
        <v>0</v>
      </c>
      <c r="AC150" s="83" t="str">
        <f t="shared" si="31"/>
        <v>天使缇娜碎片</v>
      </c>
      <c r="AD150" s="15">
        <f t="shared" si="32"/>
        <v>160</v>
      </c>
      <c r="AU150" s="66">
        <v>146</v>
      </c>
      <c r="AV150" s="66">
        <v>15</v>
      </c>
      <c r="AW150" s="22">
        <f>AV150/AT$148</f>
        <v>0.10344827586206896</v>
      </c>
      <c r="AX150" s="94">
        <v>15</v>
      </c>
      <c r="AY150" s="66">
        <f>INT(AT$146*AW150/AX150)</f>
        <v>1145637</v>
      </c>
      <c r="AZ150" s="66">
        <f>SUM(AY$5:AY150)</f>
        <v>19586296</v>
      </c>
    </row>
    <row r="151" spans="9:52" ht="16.5" x14ac:dyDescent="0.2">
      <c r="I151" s="34">
        <v>114</v>
      </c>
      <c r="J151" s="15">
        <f t="shared" si="22"/>
        <v>1102006</v>
      </c>
      <c r="K151" s="15">
        <f t="shared" si="23"/>
        <v>5</v>
      </c>
      <c r="L151" s="15">
        <f t="shared" si="24"/>
        <v>9</v>
      </c>
      <c r="M151" s="15" t="str">
        <f t="shared" si="25"/>
        <v>黄</v>
      </c>
      <c r="N151" s="15" t="str">
        <f t="shared" si="26"/>
        <v>金币</v>
      </c>
      <c r="O151" s="15">
        <f>IF(L151&gt;1,INDEX(挂机升级突破!$AI$35:$AI$55,卡牌消耗!L151),"")</f>
        <v>25000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83">
        <v>114</v>
      </c>
      <c r="X151" s="83">
        <f t="shared" si="27"/>
        <v>23</v>
      </c>
      <c r="Y151" s="83">
        <f t="shared" si="28"/>
        <v>1102007</v>
      </c>
      <c r="Z151" s="83">
        <f t="shared" si="29"/>
        <v>4</v>
      </c>
      <c r="AA151" s="83" t="s">
        <v>817</v>
      </c>
      <c r="AB151" s="15">
        <f t="shared" si="30"/>
        <v>0</v>
      </c>
      <c r="AC151" s="83" t="str">
        <f t="shared" si="31"/>
        <v>天使缇娜碎片</v>
      </c>
      <c r="AD151" s="15">
        <f t="shared" si="32"/>
        <v>240</v>
      </c>
      <c r="AU151" s="66">
        <v>147</v>
      </c>
      <c r="AV151" s="66">
        <v>16</v>
      </c>
      <c r="AW151" s="22">
        <f>AV151/AT$148</f>
        <v>0.1103448275862069</v>
      </c>
      <c r="AX151" s="94">
        <v>15</v>
      </c>
      <c r="AY151" s="66">
        <f>INT(AT$146*AW151/AX151)</f>
        <v>1222013</v>
      </c>
      <c r="AZ151" s="66">
        <f>SUM(AY$5:AY151)</f>
        <v>20808309</v>
      </c>
    </row>
    <row r="152" spans="9:52" ht="16.5" x14ac:dyDescent="0.2">
      <c r="I152" s="34">
        <v>115</v>
      </c>
      <c r="J152" s="15">
        <f t="shared" si="22"/>
        <v>1102006</v>
      </c>
      <c r="K152" s="15">
        <f t="shared" si="23"/>
        <v>5</v>
      </c>
      <c r="L152" s="15">
        <f t="shared" si="24"/>
        <v>10</v>
      </c>
      <c r="M152" s="15" t="str">
        <f t="shared" si="25"/>
        <v>黄</v>
      </c>
      <c r="N152" s="15" t="str">
        <f t="shared" si="26"/>
        <v>金币</v>
      </c>
      <c r="O152" s="15">
        <f>IF(L152&gt;1,INDEX(挂机升级突破!$AI$35:$AI$55,卡牌消耗!L152),"")</f>
        <v>27500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83">
        <v>115</v>
      </c>
      <c r="X152" s="83">
        <f t="shared" si="27"/>
        <v>23</v>
      </c>
      <c r="Y152" s="83">
        <f t="shared" si="28"/>
        <v>1102007</v>
      </c>
      <c r="Z152" s="83">
        <f t="shared" si="29"/>
        <v>5</v>
      </c>
      <c r="AA152" s="83" t="s">
        <v>817</v>
      </c>
      <c r="AB152" s="15">
        <f t="shared" si="30"/>
        <v>0</v>
      </c>
      <c r="AC152" s="83" t="str">
        <f t="shared" si="31"/>
        <v>天使缇娜碎片</v>
      </c>
      <c r="AD152" s="15">
        <f t="shared" si="32"/>
        <v>320</v>
      </c>
      <c r="AU152" s="66">
        <v>148</v>
      </c>
      <c r="AV152" s="66">
        <v>17</v>
      </c>
      <c r="AW152" s="22">
        <f>AV152/AT$148</f>
        <v>0.11724137931034483</v>
      </c>
      <c r="AX152" s="94">
        <v>15</v>
      </c>
      <c r="AY152" s="66">
        <f>INT(AT$146*AW152/AX152)</f>
        <v>1298389</v>
      </c>
      <c r="AZ152" s="66">
        <f>SUM(AY$5:AY152)</f>
        <v>22106698</v>
      </c>
    </row>
    <row r="153" spans="9:52" ht="16.5" x14ac:dyDescent="0.2">
      <c r="I153" s="34">
        <v>116</v>
      </c>
      <c r="J153" s="15">
        <f t="shared" si="22"/>
        <v>1102006</v>
      </c>
      <c r="K153" s="15">
        <f t="shared" si="23"/>
        <v>5</v>
      </c>
      <c r="L153" s="15">
        <f t="shared" si="24"/>
        <v>11</v>
      </c>
      <c r="M153" s="15" t="str">
        <f t="shared" si="25"/>
        <v>黄</v>
      </c>
      <c r="N153" s="15" t="str">
        <f t="shared" si="26"/>
        <v>金币</v>
      </c>
      <c r="O153" s="15">
        <f>IF(L153&gt;1,INDEX(挂机升级突破!$AI$35:$AI$55,卡牌消耗!L153),"")</f>
        <v>30000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83">
        <v>116</v>
      </c>
      <c r="X153" s="83">
        <f t="shared" si="27"/>
        <v>24</v>
      </c>
      <c r="Y153" s="83">
        <f t="shared" si="28"/>
        <v>1102008</v>
      </c>
      <c r="Z153" s="83">
        <f t="shared" si="29"/>
        <v>1</v>
      </c>
      <c r="AA153" s="83" t="s">
        <v>817</v>
      </c>
      <c r="AB153" s="15">
        <f t="shared" si="30"/>
        <v>0</v>
      </c>
      <c r="AC153" s="83" t="str">
        <f t="shared" si="31"/>
        <v>夏侯渊碎片</v>
      </c>
      <c r="AD153" s="15">
        <f t="shared" si="32"/>
        <v>80</v>
      </c>
      <c r="AU153" s="66">
        <v>149</v>
      </c>
      <c r="AV153" s="66">
        <v>18</v>
      </c>
      <c r="AW153" s="22">
        <f>AV153/AT$148</f>
        <v>0.12413793103448276</v>
      </c>
      <c r="AX153" s="94">
        <v>15</v>
      </c>
      <c r="AY153" s="66">
        <f>INT(AT$146*AW153/AX153)</f>
        <v>1374765</v>
      </c>
      <c r="AZ153" s="66">
        <f>SUM(AY$5:AY153)</f>
        <v>23481463</v>
      </c>
    </row>
    <row r="154" spans="9:52" ht="16.5" x14ac:dyDescent="0.2">
      <c r="I154" s="34">
        <v>117</v>
      </c>
      <c r="J154" s="15">
        <f t="shared" si="22"/>
        <v>1102006</v>
      </c>
      <c r="K154" s="15">
        <f t="shared" si="23"/>
        <v>5</v>
      </c>
      <c r="L154" s="15">
        <f t="shared" si="24"/>
        <v>12</v>
      </c>
      <c r="M154" s="15" t="str">
        <f t="shared" si="25"/>
        <v>黄</v>
      </c>
      <c r="N154" s="15" t="str">
        <f t="shared" si="26"/>
        <v>金币</v>
      </c>
      <c r="O154" s="15">
        <f>IF(L154&gt;1,INDEX(挂机升级突破!$AI$35:$AI$55,卡牌消耗!L154),"")</f>
        <v>32000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83">
        <v>117</v>
      </c>
      <c r="X154" s="83">
        <f t="shared" si="27"/>
        <v>24</v>
      </c>
      <c r="Y154" s="83">
        <f t="shared" si="28"/>
        <v>1102008</v>
      </c>
      <c r="Z154" s="83">
        <f t="shared" si="29"/>
        <v>2</v>
      </c>
      <c r="AA154" s="83" t="s">
        <v>817</v>
      </c>
      <c r="AB154" s="15">
        <f t="shared" si="30"/>
        <v>0</v>
      </c>
      <c r="AC154" s="83" t="str">
        <f t="shared" si="31"/>
        <v>夏侯渊碎片</v>
      </c>
      <c r="AD154" s="15">
        <f t="shared" si="32"/>
        <v>80</v>
      </c>
      <c r="AU154" s="66">
        <v>150</v>
      </c>
      <c r="AV154" s="66">
        <v>19</v>
      </c>
      <c r="AW154" s="22">
        <f>AV154/AT$148</f>
        <v>0.1310344827586207</v>
      </c>
      <c r="AX154" s="94">
        <v>15</v>
      </c>
      <c r="AY154" s="66">
        <f>INT(AT$146*AW154/AX154)</f>
        <v>1451141</v>
      </c>
      <c r="AZ154" s="66">
        <f>SUM(AY$5:AY154)</f>
        <v>24932604</v>
      </c>
    </row>
    <row r="155" spans="9:52" ht="16.5" x14ac:dyDescent="0.2">
      <c r="I155" s="34">
        <v>118</v>
      </c>
      <c r="J155" s="15">
        <f t="shared" si="22"/>
        <v>1102006</v>
      </c>
      <c r="K155" s="15">
        <f t="shared" si="23"/>
        <v>5</v>
      </c>
      <c r="L155" s="15">
        <f t="shared" si="24"/>
        <v>13</v>
      </c>
      <c r="M155" s="15" t="str">
        <f t="shared" si="25"/>
        <v>黄</v>
      </c>
      <c r="N155" s="15" t="str">
        <f t="shared" si="26"/>
        <v>金币</v>
      </c>
      <c r="O155" s="15">
        <f>IF(L155&gt;1,INDEX(挂机升级突破!$AI$35:$AI$55,卡牌消耗!L155),"")</f>
        <v>40500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83">
        <v>118</v>
      </c>
      <c r="X155" s="83">
        <f t="shared" si="27"/>
        <v>24</v>
      </c>
      <c r="Y155" s="83">
        <f t="shared" si="28"/>
        <v>1102008</v>
      </c>
      <c r="Z155" s="83">
        <f t="shared" si="29"/>
        <v>3</v>
      </c>
      <c r="AA155" s="83" t="s">
        <v>817</v>
      </c>
      <c r="AB155" s="15">
        <f t="shared" si="30"/>
        <v>0</v>
      </c>
      <c r="AC155" s="83" t="str">
        <f t="shared" si="31"/>
        <v>夏侯渊碎片</v>
      </c>
      <c r="AD155" s="15">
        <f t="shared" si="32"/>
        <v>160</v>
      </c>
    </row>
    <row r="156" spans="9:52" ht="16.5" x14ac:dyDescent="0.2">
      <c r="I156" s="34">
        <v>119</v>
      </c>
      <c r="J156" s="15">
        <f t="shared" si="22"/>
        <v>1102006</v>
      </c>
      <c r="K156" s="15">
        <f t="shared" si="23"/>
        <v>5</v>
      </c>
      <c r="L156" s="15">
        <f t="shared" si="24"/>
        <v>14</v>
      </c>
      <c r="M156" s="15" t="str">
        <f t="shared" si="25"/>
        <v>黄</v>
      </c>
      <c r="N156" s="15" t="str">
        <f t="shared" si="26"/>
        <v>金币</v>
      </c>
      <c r="O156" s="15">
        <f>IF(L156&gt;1,INDEX(挂机升级突破!$AI$35:$AI$55,卡牌消耗!L156),"")</f>
        <v>54000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83">
        <v>119</v>
      </c>
      <c r="X156" s="83">
        <f t="shared" si="27"/>
        <v>24</v>
      </c>
      <c r="Y156" s="83">
        <f t="shared" si="28"/>
        <v>1102008</v>
      </c>
      <c r="Z156" s="83">
        <f t="shared" si="29"/>
        <v>4</v>
      </c>
      <c r="AA156" s="83" t="s">
        <v>817</v>
      </c>
      <c r="AB156" s="15">
        <f t="shared" si="30"/>
        <v>0</v>
      </c>
      <c r="AC156" s="83" t="str">
        <f t="shared" si="31"/>
        <v>夏侯渊碎片</v>
      </c>
      <c r="AD156" s="15">
        <f t="shared" si="32"/>
        <v>240</v>
      </c>
    </row>
    <row r="157" spans="9:52" ht="16.5" x14ac:dyDescent="0.2">
      <c r="I157" s="34">
        <v>120</v>
      </c>
      <c r="J157" s="15">
        <f t="shared" si="22"/>
        <v>1102006</v>
      </c>
      <c r="K157" s="15">
        <f t="shared" si="23"/>
        <v>5</v>
      </c>
      <c r="L157" s="15">
        <f t="shared" si="24"/>
        <v>15</v>
      </c>
      <c r="M157" s="15" t="str">
        <f t="shared" si="25"/>
        <v>黄</v>
      </c>
      <c r="N157" s="15" t="str">
        <f t="shared" si="26"/>
        <v>金币</v>
      </c>
      <c r="O157" s="15">
        <f>IF(L157&gt;1,INDEX(挂机升级突破!$AI$35:$AI$55,卡牌消耗!L157),"")</f>
        <v>63000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83">
        <v>120</v>
      </c>
      <c r="X157" s="83">
        <f t="shared" si="27"/>
        <v>24</v>
      </c>
      <c r="Y157" s="83">
        <f t="shared" si="28"/>
        <v>1102008</v>
      </c>
      <c r="Z157" s="83">
        <f t="shared" si="29"/>
        <v>5</v>
      </c>
      <c r="AA157" s="83" t="s">
        <v>817</v>
      </c>
      <c r="AB157" s="15">
        <f t="shared" si="30"/>
        <v>0</v>
      </c>
      <c r="AC157" s="83" t="str">
        <f t="shared" si="31"/>
        <v>夏侯渊碎片</v>
      </c>
      <c r="AD157" s="15">
        <f t="shared" si="32"/>
        <v>320</v>
      </c>
    </row>
    <row r="158" spans="9:52" ht="16.5" x14ac:dyDescent="0.2">
      <c r="I158" s="34">
        <v>121</v>
      </c>
      <c r="J158" s="15">
        <f t="shared" si="22"/>
        <v>1102006</v>
      </c>
      <c r="K158" s="15">
        <f t="shared" si="23"/>
        <v>5</v>
      </c>
      <c r="L158" s="15">
        <f t="shared" si="24"/>
        <v>16</v>
      </c>
      <c r="M158" s="15" t="str">
        <f t="shared" si="25"/>
        <v>黄</v>
      </c>
      <c r="N158" s="15" t="str">
        <f t="shared" si="26"/>
        <v>金币</v>
      </c>
      <c r="O158" s="15">
        <f>IF(L158&gt;1,INDEX(挂机升级突破!$AI$35:$AI$55,卡牌消耗!L158),"")</f>
        <v>73000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83">
        <v>121</v>
      </c>
      <c r="X158" s="83">
        <f t="shared" si="27"/>
        <v>25</v>
      </c>
      <c r="Y158" s="83">
        <f t="shared" si="28"/>
        <v>1102009</v>
      </c>
      <c r="Z158" s="83">
        <f t="shared" si="29"/>
        <v>1</v>
      </c>
      <c r="AA158" s="83" t="s">
        <v>817</v>
      </c>
      <c r="AB158" s="15">
        <f t="shared" si="30"/>
        <v>0</v>
      </c>
      <c r="AC158" s="83" t="str">
        <f t="shared" si="31"/>
        <v>徐晃碎片</v>
      </c>
      <c r="AD158" s="15">
        <f t="shared" si="32"/>
        <v>80</v>
      </c>
    </row>
    <row r="159" spans="9:52" ht="16.5" x14ac:dyDescent="0.2">
      <c r="I159" s="34">
        <v>122</v>
      </c>
      <c r="J159" s="15">
        <f t="shared" si="22"/>
        <v>1102006</v>
      </c>
      <c r="K159" s="15">
        <f t="shared" si="23"/>
        <v>5</v>
      </c>
      <c r="L159" s="15">
        <f t="shared" si="24"/>
        <v>17</v>
      </c>
      <c r="M159" s="15" t="str">
        <f t="shared" si="25"/>
        <v>黄</v>
      </c>
      <c r="N159" s="15" t="str">
        <f t="shared" si="26"/>
        <v>金币</v>
      </c>
      <c r="O159" s="15">
        <f>IF(L159&gt;1,INDEX(挂机升级突破!$AI$35:$AI$55,卡牌消耗!L159),"")</f>
        <v>76000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83">
        <v>122</v>
      </c>
      <c r="X159" s="83">
        <f t="shared" si="27"/>
        <v>25</v>
      </c>
      <c r="Y159" s="83">
        <f t="shared" si="28"/>
        <v>1102009</v>
      </c>
      <c r="Z159" s="83">
        <f t="shared" si="29"/>
        <v>2</v>
      </c>
      <c r="AA159" s="83" t="s">
        <v>817</v>
      </c>
      <c r="AB159" s="15">
        <f t="shared" si="30"/>
        <v>0</v>
      </c>
      <c r="AC159" s="83" t="str">
        <f t="shared" si="31"/>
        <v>徐晃碎片</v>
      </c>
      <c r="AD159" s="15">
        <f t="shared" si="32"/>
        <v>80</v>
      </c>
    </row>
    <row r="160" spans="9:52" ht="16.5" x14ac:dyDescent="0.2">
      <c r="I160" s="34">
        <v>123</v>
      </c>
      <c r="J160" s="15">
        <f t="shared" si="22"/>
        <v>1102006</v>
      </c>
      <c r="K160" s="15">
        <f t="shared" si="23"/>
        <v>5</v>
      </c>
      <c r="L160" s="15">
        <f t="shared" si="24"/>
        <v>18</v>
      </c>
      <c r="M160" s="15" t="str">
        <f t="shared" si="25"/>
        <v>黄</v>
      </c>
      <c r="N160" s="15" t="str">
        <f t="shared" si="26"/>
        <v>金币</v>
      </c>
      <c r="O160" s="15">
        <f>IF(L160&gt;1,INDEX(挂机升级突破!$AI$35:$AI$55,卡牌消耗!L160),"")</f>
        <v>106500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83">
        <v>123</v>
      </c>
      <c r="X160" s="83">
        <f t="shared" si="27"/>
        <v>25</v>
      </c>
      <c r="Y160" s="83">
        <f t="shared" si="28"/>
        <v>1102009</v>
      </c>
      <c r="Z160" s="83">
        <f t="shared" si="29"/>
        <v>3</v>
      </c>
      <c r="AA160" s="83" t="s">
        <v>817</v>
      </c>
      <c r="AB160" s="15">
        <f t="shared" si="30"/>
        <v>0</v>
      </c>
      <c r="AC160" s="83" t="str">
        <f t="shared" si="31"/>
        <v>徐晃碎片</v>
      </c>
      <c r="AD160" s="15">
        <f t="shared" si="32"/>
        <v>160</v>
      </c>
    </row>
    <row r="161" spans="9:30" ht="16.5" x14ac:dyDescent="0.2">
      <c r="I161" s="34">
        <v>124</v>
      </c>
      <c r="J161" s="15">
        <f t="shared" si="22"/>
        <v>1102006</v>
      </c>
      <c r="K161" s="15">
        <f t="shared" si="23"/>
        <v>5</v>
      </c>
      <c r="L161" s="15">
        <f t="shared" si="24"/>
        <v>19</v>
      </c>
      <c r="M161" s="15" t="str">
        <f t="shared" si="25"/>
        <v>黄</v>
      </c>
      <c r="N161" s="15" t="str">
        <f t="shared" si="26"/>
        <v>金币</v>
      </c>
      <c r="O161" s="15">
        <f>IF(L161&gt;1,INDEX(挂机升级突破!$AI$35:$AI$55,卡牌消耗!L161),"")</f>
        <v>142000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83">
        <v>124</v>
      </c>
      <c r="X161" s="83">
        <f t="shared" si="27"/>
        <v>25</v>
      </c>
      <c r="Y161" s="83">
        <f t="shared" si="28"/>
        <v>1102009</v>
      </c>
      <c r="Z161" s="83">
        <f t="shared" si="29"/>
        <v>4</v>
      </c>
      <c r="AA161" s="83" t="s">
        <v>817</v>
      </c>
      <c r="AB161" s="15">
        <f t="shared" si="30"/>
        <v>0</v>
      </c>
      <c r="AC161" s="83" t="str">
        <f t="shared" si="31"/>
        <v>徐晃碎片</v>
      </c>
      <c r="AD161" s="15">
        <f t="shared" si="32"/>
        <v>240</v>
      </c>
    </row>
    <row r="162" spans="9:30" ht="16.5" x14ac:dyDescent="0.2">
      <c r="I162" s="34">
        <v>125</v>
      </c>
      <c r="J162" s="15">
        <f t="shared" si="22"/>
        <v>1102006</v>
      </c>
      <c r="K162" s="15">
        <f t="shared" si="23"/>
        <v>5</v>
      </c>
      <c r="L162" s="15">
        <f t="shared" si="24"/>
        <v>20</v>
      </c>
      <c r="M162" s="15" t="str">
        <f t="shared" si="25"/>
        <v>黄</v>
      </c>
      <c r="N162" s="15" t="str">
        <f t="shared" si="26"/>
        <v>金币</v>
      </c>
      <c r="O162" s="15">
        <f>IF(L162&gt;1,INDEX(挂机升级突破!$AI$35:$AI$55,卡牌消耗!L162),"")</f>
        <v>177500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83">
        <v>125</v>
      </c>
      <c r="X162" s="83">
        <f t="shared" si="27"/>
        <v>25</v>
      </c>
      <c r="Y162" s="83">
        <f t="shared" si="28"/>
        <v>1102009</v>
      </c>
      <c r="Z162" s="83">
        <f t="shared" si="29"/>
        <v>5</v>
      </c>
      <c r="AA162" s="83" t="s">
        <v>817</v>
      </c>
      <c r="AB162" s="15">
        <f t="shared" si="30"/>
        <v>0</v>
      </c>
      <c r="AC162" s="83" t="str">
        <f t="shared" si="31"/>
        <v>徐晃碎片</v>
      </c>
      <c r="AD162" s="15">
        <f t="shared" si="32"/>
        <v>320</v>
      </c>
    </row>
    <row r="163" spans="9:30" ht="16.5" x14ac:dyDescent="0.2">
      <c r="I163" s="34">
        <v>126</v>
      </c>
      <c r="J163" s="15">
        <f t="shared" si="22"/>
        <v>1102006</v>
      </c>
      <c r="K163" s="15">
        <f t="shared" si="23"/>
        <v>5</v>
      </c>
      <c r="L163" s="15">
        <f t="shared" si="24"/>
        <v>21</v>
      </c>
      <c r="M163" s="15" t="str">
        <f t="shared" si="25"/>
        <v>黄</v>
      </c>
      <c r="N163" s="15" t="str">
        <f t="shared" si="26"/>
        <v>金币</v>
      </c>
      <c r="O163" s="15">
        <f>IF(L163&gt;1,INDEX(挂机升级突破!$AI$35:$AI$55,卡牌消耗!L163),"")</f>
        <v>213000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83">
        <v>126</v>
      </c>
      <c r="X163" s="83">
        <f t="shared" si="27"/>
        <v>26</v>
      </c>
      <c r="Y163" s="83">
        <f t="shared" si="28"/>
        <v>1102010</v>
      </c>
      <c r="Z163" s="83">
        <f t="shared" si="29"/>
        <v>1</v>
      </c>
      <c r="AA163" s="83" t="s">
        <v>817</v>
      </c>
      <c r="AB163" s="15">
        <f t="shared" si="30"/>
        <v>0</v>
      </c>
      <c r="AC163" s="83" t="str">
        <f t="shared" si="31"/>
        <v>张郃碎片</v>
      </c>
      <c r="AD163" s="15">
        <f t="shared" si="32"/>
        <v>80</v>
      </c>
    </row>
    <row r="164" spans="9:30" ht="16.5" x14ac:dyDescent="0.2">
      <c r="I164" s="34">
        <v>127</v>
      </c>
      <c r="J164" s="15">
        <f t="shared" si="22"/>
        <v>1102007</v>
      </c>
      <c r="K164" s="15">
        <f t="shared" si="23"/>
        <v>4</v>
      </c>
      <c r="L164" s="15">
        <f t="shared" si="24"/>
        <v>1</v>
      </c>
      <c r="M164" s="15" t="str">
        <f t="shared" si="25"/>
        <v>红</v>
      </c>
      <c r="N164" s="15" t="str">
        <f t="shared" si="26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83">
        <v>127</v>
      </c>
      <c r="X164" s="83">
        <f t="shared" si="27"/>
        <v>26</v>
      </c>
      <c r="Y164" s="83">
        <f t="shared" si="28"/>
        <v>1102010</v>
      </c>
      <c r="Z164" s="83">
        <f t="shared" si="29"/>
        <v>2</v>
      </c>
      <c r="AA164" s="83" t="s">
        <v>817</v>
      </c>
      <c r="AB164" s="15">
        <f t="shared" si="30"/>
        <v>0</v>
      </c>
      <c r="AC164" s="83" t="str">
        <f t="shared" si="31"/>
        <v>张郃碎片</v>
      </c>
      <c r="AD164" s="15">
        <f t="shared" si="32"/>
        <v>80</v>
      </c>
    </row>
    <row r="165" spans="9:30" ht="16.5" x14ac:dyDescent="0.2">
      <c r="I165" s="34">
        <v>128</v>
      </c>
      <c r="J165" s="15">
        <f t="shared" si="22"/>
        <v>1102007</v>
      </c>
      <c r="K165" s="15">
        <f t="shared" si="23"/>
        <v>4</v>
      </c>
      <c r="L165" s="15">
        <f t="shared" si="24"/>
        <v>2</v>
      </c>
      <c r="M165" s="15" t="str">
        <f t="shared" si="25"/>
        <v>红</v>
      </c>
      <c r="N165" s="15" t="str">
        <f t="shared" si="26"/>
        <v>金币</v>
      </c>
      <c r="O165" s="15">
        <f>IF(L165&gt;1,INDEX(挂机升级突破!$AI$35:$AI$55,卡牌消耗!L165),"")</f>
        <v>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83">
        <v>128</v>
      </c>
      <c r="X165" s="83">
        <f t="shared" si="27"/>
        <v>26</v>
      </c>
      <c r="Y165" s="83">
        <f t="shared" si="28"/>
        <v>1102010</v>
      </c>
      <c r="Z165" s="83">
        <f t="shared" si="29"/>
        <v>3</v>
      </c>
      <c r="AA165" s="83" t="s">
        <v>817</v>
      </c>
      <c r="AB165" s="15">
        <f t="shared" si="30"/>
        <v>0</v>
      </c>
      <c r="AC165" s="83" t="str">
        <f t="shared" si="31"/>
        <v>张郃碎片</v>
      </c>
      <c r="AD165" s="15">
        <f t="shared" si="32"/>
        <v>160</v>
      </c>
    </row>
    <row r="166" spans="9:30" ht="16.5" x14ac:dyDescent="0.2">
      <c r="I166" s="34">
        <v>129</v>
      </c>
      <c r="J166" s="15">
        <f t="shared" si="22"/>
        <v>1102007</v>
      </c>
      <c r="K166" s="15">
        <f t="shared" si="23"/>
        <v>4</v>
      </c>
      <c r="L166" s="15">
        <f t="shared" si="24"/>
        <v>3</v>
      </c>
      <c r="M166" s="15" t="str">
        <f t="shared" si="25"/>
        <v>红</v>
      </c>
      <c r="N166" s="15" t="str">
        <f t="shared" si="26"/>
        <v>金币</v>
      </c>
      <c r="O166" s="15">
        <f>IF(L166&gt;1,INDEX(挂机升级突破!$AI$35:$AI$55,卡牌消耗!L166),"")</f>
        <v>2500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83">
        <v>129</v>
      </c>
      <c r="X166" s="83">
        <f t="shared" si="27"/>
        <v>26</v>
      </c>
      <c r="Y166" s="83">
        <f t="shared" si="28"/>
        <v>1102010</v>
      </c>
      <c r="Z166" s="83">
        <f t="shared" si="29"/>
        <v>4</v>
      </c>
      <c r="AA166" s="83" t="s">
        <v>817</v>
      </c>
      <c r="AB166" s="15">
        <f t="shared" si="30"/>
        <v>0</v>
      </c>
      <c r="AC166" s="83" t="str">
        <f t="shared" si="31"/>
        <v>张郃碎片</v>
      </c>
      <c r="AD166" s="15">
        <f t="shared" ref="AD166:AD197" si="33">INDEX($N$5:$Q$9,Z166,INDEX($C$38:$C$75,X166)-1)</f>
        <v>240</v>
      </c>
    </row>
    <row r="167" spans="9:30" ht="16.5" x14ac:dyDescent="0.2">
      <c r="I167" s="34">
        <v>130</v>
      </c>
      <c r="J167" s="15">
        <f t="shared" ref="J167:J230" si="34">INDEX($A$13:$A$34,INT((I167-1)/21)+1)</f>
        <v>1102007</v>
      </c>
      <c r="K167" s="15">
        <f t="shared" ref="K167:K230" si="35">VLOOKUP(J167,$A$13:$D$34,3)</f>
        <v>4</v>
      </c>
      <c r="L167" s="15">
        <f t="shared" ref="L167:L230" si="36">MOD((I167-1),21)+1</f>
        <v>4</v>
      </c>
      <c r="M167" s="15" t="str">
        <f t="shared" ref="M167:M230" si="37">INDEX($J$2:$L$2,INDEX($E$13:$E$34,INT((I167-1)/21)+1))</f>
        <v>红</v>
      </c>
      <c r="N167" s="15" t="str">
        <f t="shared" ref="N167:N230" si="38">IF(L167&gt;1,"金币","")</f>
        <v>金币</v>
      </c>
      <c r="O167" s="15">
        <f>IF(L167&gt;1,INDEX(挂机升级突破!$AI$35:$AI$55,卡牌消耗!L167),"")</f>
        <v>5500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83">
        <v>130</v>
      </c>
      <c r="X167" s="83">
        <f t="shared" ref="X167:X227" si="39">INT((W167-1)/5+1)</f>
        <v>26</v>
      </c>
      <c r="Y167" s="83">
        <f t="shared" ref="Y167:Y227" si="40">INDEX($A$38:$A$75,X167)</f>
        <v>1102010</v>
      </c>
      <c r="Z167" s="83">
        <f t="shared" ref="Z167:Z212" si="41">MOD(W167-1,5)+1</f>
        <v>5</v>
      </c>
      <c r="AA167" s="83" t="s">
        <v>817</v>
      </c>
      <c r="AB167" s="15">
        <f t="shared" ref="AB167:AB212" si="42">INDEX($N$13:$Q$17,Z167,INDEX($C$38:$C$75,X167)-1)</f>
        <v>0</v>
      </c>
      <c r="AC167" s="83" t="str">
        <f t="shared" ref="AC167:AC212" si="43">INDEX($B$38:$B$75,X167)&amp;"碎片"</f>
        <v>张郃碎片</v>
      </c>
      <c r="AD167" s="15">
        <f t="shared" si="33"/>
        <v>320</v>
      </c>
    </row>
    <row r="168" spans="9:30" ht="16.5" x14ac:dyDescent="0.2">
      <c r="I168" s="34">
        <v>131</v>
      </c>
      <c r="J168" s="15">
        <f t="shared" si="34"/>
        <v>1102007</v>
      </c>
      <c r="K168" s="15">
        <f t="shared" si="35"/>
        <v>4</v>
      </c>
      <c r="L168" s="15">
        <f t="shared" si="36"/>
        <v>5</v>
      </c>
      <c r="M168" s="15" t="str">
        <f t="shared" si="37"/>
        <v>红</v>
      </c>
      <c r="N168" s="15" t="str">
        <f t="shared" si="38"/>
        <v>金币</v>
      </c>
      <c r="O168" s="15">
        <f>IF(L168&gt;1,INDEX(挂机升级突破!$AI$35:$AI$55,卡牌消耗!L168),"")</f>
        <v>7500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83">
        <v>131</v>
      </c>
      <c r="X168" s="83">
        <f t="shared" si="39"/>
        <v>27</v>
      </c>
      <c r="Y168" s="83">
        <f t="shared" si="40"/>
        <v>1102011</v>
      </c>
      <c r="Z168" s="83">
        <f t="shared" si="41"/>
        <v>1</v>
      </c>
      <c r="AA168" s="83" t="s">
        <v>817</v>
      </c>
      <c r="AB168" s="15">
        <f t="shared" si="42"/>
        <v>0</v>
      </c>
      <c r="AC168" s="83" t="str">
        <f t="shared" si="43"/>
        <v>张飞碎片</v>
      </c>
      <c r="AD168" s="15">
        <f t="shared" si="33"/>
        <v>80</v>
      </c>
    </row>
    <row r="169" spans="9:30" ht="16.5" x14ac:dyDescent="0.2">
      <c r="I169" s="34">
        <v>132</v>
      </c>
      <c r="J169" s="15">
        <f t="shared" si="34"/>
        <v>1102007</v>
      </c>
      <c r="K169" s="15">
        <f t="shared" si="35"/>
        <v>4</v>
      </c>
      <c r="L169" s="15">
        <f t="shared" si="36"/>
        <v>6</v>
      </c>
      <c r="M169" s="15" t="str">
        <f t="shared" si="37"/>
        <v>红</v>
      </c>
      <c r="N169" s="15" t="str">
        <f t="shared" si="38"/>
        <v>金币</v>
      </c>
      <c r="O169" s="15">
        <f>IF(L169&gt;1,INDEX(挂机升级突破!$AI$35:$AI$55,卡牌消耗!L169),"")</f>
        <v>17500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83">
        <v>132</v>
      </c>
      <c r="X169" s="83">
        <f t="shared" si="39"/>
        <v>27</v>
      </c>
      <c r="Y169" s="83">
        <f t="shared" si="40"/>
        <v>1102011</v>
      </c>
      <c r="Z169" s="83">
        <f t="shared" si="41"/>
        <v>2</v>
      </c>
      <c r="AA169" s="83" t="s">
        <v>817</v>
      </c>
      <c r="AB169" s="15">
        <f t="shared" si="42"/>
        <v>0</v>
      </c>
      <c r="AC169" s="83" t="str">
        <f t="shared" si="43"/>
        <v>张飞碎片</v>
      </c>
      <c r="AD169" s="15">
        <f t="shared" si="33"/>
        <v>80</v>
      </c>
    </row>
    <row r="170" spans="9:30" ht="16.5" x14ac:dyDescent="0.2">
      <c r="I170" s="34">
        <v>133</v>
      </c>
      <c r="J170" s="15">
        <f t="shared" si="34"/>
        <v>1102007</v>
      </c>
      <c r="K170" s="15">
        <f t="shared" si="35"/>
        <v>4</v>
      </c>
      <c r="L170" s="15">
        <f t="shared" si="36"/>
        <v>7</v>
      </c>
      <c r="M170" s="15" t="str">
        <f t="shared" si="37"/>
        <v>红</v>
      </c>
      <c r="N170" s="15" t="str">
        <f t="shared" si="38"/>
        <v>金币</v>
      </c>
      <c r="O170" s="15">
        <f>IF(L170&gt;1,INDEX(挂机升级突破!$AI$35:$AI$55,卡牌消耗!L170),"")</f>
        <v>19500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83">
        <v>133</v>
      </c>
      <c r="X170" s="83">
        <f t="shared" si="39"/>
        <v>27</v>
      </c>
      <c r="Y170" s="83">
        <f t="shared" si="40"/>
        <v>1102011</v>
      </c>
      <c r="Z170" s="83">
        <f t="shared" si="41"/>
        <v>3</v>
      </c>
      <c r="AA170" s="83" t="s">
        <v>817</v>
      </c>
      <c r="AB170" s="15">
        <f t="shared" si="42"/>
        <v>0</v>
      </c>
      <c r="AC170" s="83" t="str">
        <f t="shared" si="43"/>
        <v>张飞碎片</v>
      </c>
      <c r="AD170" s="15">
        <f t="shared" si="33"/>
        <v>160</v>
      </c>
    </row>
    <row r="171" spans="9:30" ht="16.5" x14ac:dyDescent="0.2">
      <c r="I171" s="34">
        <v>134</v>
      </c>
      <c r="J171" s="15">
        <f t="shared" si="34"/>
        <v>1102007</v>
      </c>
      <c r="K171" s="15">
        <f t="shared" si="35"/>
        <v>4</v>
      </c>
      <c r="L171" s="15">
        <f t="shared" si="36"/>
        <v>8</v>
      </c>
      <c r="M171" s="15" t="str">
        <f t="shared" si="37"/>
        <v>红</v>
      </c>
      <c r="N171" s="15" t="str">
        <f t="shared" si="38"/>
        <v>金币</v>
      </c>
      <c r="O171" s="15">
        <f>IF(L171&gt;1,INDEX(挂机升级突破!$AI$35:$AI$55,卡牌消耗!L171),"")</f>
        <v>22000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83">
        <v>134</v>
      </c>
      <c r="X171" s="83">
        <f t="shared" si="39"/>
        <v>27</v>
      </c>
      <c r="Y171" s="83">
        <f t="shared" si="40"/>
        <v>1102011</v>
      </c>
      <c r="Z171" s="83">
        <f t="shared" si="41"/>
        <v>4</v>
      </c>
      <c r="AA171" s="83" t="s">
        <v>817</v>
      </c>
      <c r="AB171" s="15">
        <f t="shared" si="42"/>
        <v>0</v>
      </c>
      <c r="AC171" s="83" t="str">
        <f t="shared" si="43"/>
        <v>张飞碎片</v>
      </c>
      <c r="AD171" s="15">
        <f t="shared" si="33"/>
        <v>240</v>
      </c>
    </row>
    <row r="172" spans="9:30" ht="16.5" x14ac:dyDescent="0.2">
      <c r="I172" s="34">
        <v>135</v>
      </c>
      <c r="J172" s="15">
        <f t="shared" si="34"/>
        <v>1102007</v>
      </c>
      <c r="K172" s="15">
        <f t="shared" si="35"/>
        <v>4</v>
      </c>
      <c r="L172" s="15">
        <f t="shared" si="36"/>
        <v>9</v>
      </c>
      <c r="M172" s="15" t="str">
        <f t="shared" si="37"/>
        <v>红</v>
      </c>
      <c r="N172" s="15" t="str">
        <f t="shared" si="38"/>
        <v>金币</v>
      </c>
      <c r="O172" s="15">
        <f>IF(L172&gt;1,INDEX(挂机升级突破!$AI$35:$AI$55,卡牌消耗!L172),"")</f>
        <v>25000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83">
        <v>135</v>
      </c>
      <c r="X172" s="83">
        <f t="shared" si="39"/>
        <v>27</v>
      </c>
      <c r="Y172" s="83">
        <f t="shared" si="40"/>
        <v>1102011</v>
      </c>
      <c r="Z172" s="83">
        <f t="shared" si="41"/>
        <v>5</v>
      </c>
      <c r="AA172" s="83" t="s">
        <v>817</v>
      </c>
      <c r="AB172" s="15">
        <f t="shared" si="42"/>
        <v>0</v>
      </c>
      <c r="AC172" s="83" t="str">
        <f t="shared" si="43"/>
        <v>张飞碎片</v>
      </c>
      <c r="AD172" s="15">
        <f t="shared" si="33"/>
        <v>320</v>
      </c>
    </row>
    <row r="173" spans="9:30" ht="16.5" x14ac:dyDescent="0.2">
      <c r="I173" s="34">
        <v>136</v>
      </c>
      <c r="J173" s="15">
        <f t="shared" si="34"/>
        <v>1102007</v>
      </c>
      <c r="K173" s="15">
        <f t="shared" si="35"/>
        <v>4</v>
      </c>
      <c r="L173" s="15">
        <f t="shared" si="36"/>
        <v>10</v>
      </c>
      <c r="M173" s="15" t="str">
        <f t="shared" si="37"/>
        <v>红</v>
      </c>
      <c r="N173" s="15" t="str">
        <f t="shared" si="38"/>
        <v>金币</v>
      </c>
      <c r="O173" s="15">
        <f>IF(L173&gt;1,INDEX(挂机升级突破!$AI$35:$AI$55,卡牌消耗!L173),"")</f>
        <v>27500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83">
        <v>136</v>
      </c>
      <c r="X173" s="83">
        <f t="shared" si="39"/>
        <v>28</v>
      </c>
      <c r="Y173" s="83">
        <f t="shared" si="40"/>
        <v>1102012</v>
      </c>
      <c r="Z173" s="83">
        <f t="shared" si="41"/>
        <v>1</v>
      </c>
      <c r="AA173" s="83" t="s">
        <v>817</v>
      </c>
      <c r="AB173" s="15">
        <f t="shared" si="42"/>
        <v>0</v>
      </c>
      <c r="AC173" s="83" t="str">
        <f t="shared" si="43"/>
        <v>夏侯惇碎片</v>
      </c>
      <c r="AD173" s="15">
        <f t="shared" si="33"/>
        <v>80</v>
      </c>
    </row>
    <row r="174" spans="9:30" ht="16.5" x14ac:dyDescent="0.2">
      <c r="I174" s="34">
        <v>137</v>
      </c>
      <c r="J174" s="15">
        <f t="shared" si="34"/>
        <v>1102007</v>
      </c>
      <c r="K174" s="15">
        <f t="shared" si="35"/>
        <v>4</v>
      </c>
      <c r="L174" s="15">
        <f t="shared" si="36"/>
        <v>11</v>
      </c>
      <c r="M174" s="15" t="str">
        <f t="shared" si="37"/>
        <v>红</v>
      </c>
      <c r="N174" s="15" t="str">
        <f t="shared" si="38"/>
        <v>金币</v>
      </c>
      <c r="O174" s="15">
        <f>IF(L174&gt;1,INDEX(挂机升级突破!$AI$35:$AI$55,卡牌消耗!L174),"")</f>
        <v>30000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83">
        <v>137</v>
      </c>
      <c r="X174" s="83">
        <f t="shared" si="39"/>
        <v>28</v>
      </c>
      <c r="Y174" s="83">
        <f t="shared" si="40"/>
        <v>1102012</v>
      </c>
      <c r="Z174" s="83">
        <f t="shared" si="41"/>
        <v>2</v>
      </c>
      <c r="AA174" s="83" t="s">
        <v>817</v>
      </c>
      <c r="AB174" s="15">
        <f t="shared" si="42"/>
        <v>0</v>
      </c>
      <c r="AC174" s="83" t="str">
        <f t="shared" si="43"/>
        <v>夏侯惇碎片</v>
      </c>
      <c r="AD174" s="15">
        <f t="shared" si="33"/>
        <v>80</v>
      </c>
    </row>
    <row r="175" spans="9:30" ht="16.5" x14ac:dyDescent="0.2">
      <c r="I175" s="34">
        <v>138</v>
      </c>
      <c r="J175" s="15">
        <f t="shared" si="34"/>
        <v>1102007</v>
      </c>
      <c r="K175" s="15">
        <f t="shared" si="35"/>
        <v>4</v>
      </c>
      <c r="L175" s="15">
        <f t="shared" si="36"/>
        <v>12</v>
      </c>
      <c r="M175" s="15" t="str">
        <f t="shared" si="37"/>
        <v>红</v>
      </c>
      <c r="N175" s="15" t="str">
        <f t="shared" si="38"/>
        <v>金币</v>
      </c>
      <c r="O175" s="15">
        <f>IF(L175&gt;1,INDEX(挂机升级突破!$AI$35:$AI$55,卡牌消耗!L175),"")</f>
        <v>32000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83">
        <v>138</v>
      </c>
      <c r="X175" s="83">
        <f t="shared" si="39"/>
        <v>28</v>
      </c>
      <c r="Y175" s="83">
        <f t="shared" si="40"/>
        <v>1102012</v>
      </c>
      <c r="Z175" s="83">
        <f t="shared" si="41"/>
        <v>3</v>
      </c>
      <c r="AA175" s="83" t="s">
        <v>817</v>
      </c>
      <c r="AB175" s="15">
        <f t="shared" si="42"/>
        <v>0</v>
      </c>
      <c r="AC175" s="83" t="str">
        <f t="shared" si="43"/>
        <v>夏侯惇碎片</v>
      </c>
      <c r="AD175" s="15">
        <f t="shared" si="33"/>
        <v>160</v>
      </c>
    </row>
    <row r="176" spans="9:30" ht="16.5" x14ac:dyDescent="0.2">
      <c r="I176" s="34">
        <v>139</v>
      </c>
      <c r="J176" s="15">
        <f t="shared" si="34"/>
        <v>1102007</v>
      </c>
      <c r="K176" s="15">
        <f t="shared" si="35"/>
        <v>4</v>
      </c>
      <c r="L176" s="15">
        <f t="shared" si="36"/>
        <v>13</v>
      </c>
      <c r="M176" s="15" t="str">
        <f t="shared" si="37"/>
        <v>红</v>
      </c>
      <c r="N176" s="15" t="str">
        <f t="shared" si="38"/>
        <v>金币</v>
      </c>
      <c r="O176" s="15">
        <f>IF(L176&gt;1,INDEX(挂机升级突破!$AI$35:$AI$55,卡牌消耗!L176),"")</f>
        <v>40500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83">
        <v>139</v>
      </c>
      <c r="X176" s="83">
        <f t="shared" si="39"/>
        <v>28</v>
      </c>
      <c r="Y176" s="83">
        <f t="shared" si="40"/>
        <v>1102012</v>
      </c>
      <c r="Z176" s="83">
        <f t="shared" si="41"/>
        <v>4</v>
      </c>
      <c r="AA176" s="83" t="s">
        <v>817</v>
      </c>
      <c r="AB176" s="15">
        <f t="shared" si="42"/>
        <v>0</v>
      </c>
      <c r="AC176" s="83" t="str">
        <f t="shared" si="43"/>
        <v>夏侯惇碎片</v>
      </c>
      <c r="AD176" s="15">
        <f t="shared" si="33"/>
        <v>240</v>
      </c>
    </row>
    <row r="177" spans="9:30" ht="16.5" x14ac:dyDescent="0.2">
      <c r="I177" s="34">
        <v>140</v>
      </c>
      <c r="J177" s="15">
        <f t="shared" si="34"/>
        <v>1102007</v>
      </c>
      <c r="K177" s="15">
        <f t="shared" si="35"/>
        <v>4</v>
      </c>
      <c r="L177" s="15">
        <f t="shared" si="36"/>
        <v>14</v>
      </c>
      <c r="M177" s="15" t="str">
        <f t="shared" si="37"/>
        <v>红</v>
      </c>
      <c r="N177" s="15" t="str">
        <f t="shared" si="38"/>
        <v>金币</v>
      </c>
      <c r="O177" s="15">
        <f>IF(L177&gt;1,INDEX(挂机升级突破!$AI$35:$AI$55,卡牌消耗!L177),"")</f>
        <v>54000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83">
        <v>140</v>
      </c>
      <c r="X177" s="83">
        <f t="shared" si="39"/>
        <v>28</v>
      </c>
      <c r="Y177" s="83">
        <f t="shared" si="40"/>
        <v>1102012</v>
      </c>
      <c r="Z177" s="83">
        <f t="shared" si="41"/>
        <v>5</v>
      </c>
      <c r="AA177" s="83" t="s">
        <v>817</v>
      </c>
      <c r="AB177" s="15">
        <f t="shared" si="42"/>
        <v>0</v>
      </c>
      <c r="AC177" s="83" t="str">
        <f t="shared" si="43"/>
        <v>夏侯惇碎片</v>
      </c>
      <c r="AD177" s="15">
        <f t="shared" si="33"/>
        <v>320</v>
      </c>
    </row>
    <row r="178" spans="9:30" ht="16.5" x14ac:dyDescent="0.2">
      <c r="I178" s="34">
        <v>141</v>
      </c>
      <c r="J178" s="15">
        <f t="shared" si="34"/>
        <v>1102007</v>
      </c>
      <c r="K178" s="15">
        <f t="shared" si="35"/>
        <v>4</v>
      </c>
      <c r="L178" s="15">
        <f t="shared" si="36"/>
        <v>15</v>
      </c>
      <c r="M178" s="15" t="str">
        <f t="shared" si="37"/>
        <v>红</v>
      </c>
      <c r="N178" s="15" t="str">
        <f t="shared" si="38"/>
        <v>金币</v>
      </c>
      <c r="O178" s="15">
        <f>IF(L178&gt;1,INDEX(挂机升级突破!$AI$35:$AI$55,卡牌消耗!L178),"")</f>
        <v>63000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83">
        <v>141</v>
      </c>
      <c r="X178" s="83">
        <f t="shared" si="39"/>
        <v>29</v>
      </c>
      <c r="Y178" s="83">
        <f t="shared" si="40"/>
        <v>1102013</v>
      </c>
      <c r="Z178" s="83">
        <f t="shared" si="41"/>
        <v>1</v>
      </c>
      <c r="AA178" s="83" t="s">
        <v>817</v>
      </c>
      <c r="AB178" s="15">
        <f t="shared" si="42"/>
        <v>0</v>
      </c>
      <c r="AC178" s="83" t="str">
        <f t="shared" si="43"/>
        <v>塞伯罗斯碎片</v>
      </c>
      <c r="AD178" s="15">
        <f t="shared" si="33"/>
        <v>20</v>
      </c>
    </row>
    <row r="179" spans="9:30" ht="16.5" x14ac:dyDescent="0.2">
      <c r="I179" s="34">
        <v>142</v>
      </c>
      <c r="J179" s="15">
        <f t="shared" si="34"/>
        <v>1102007</v>
      </c>
      <c r="K179" s="15">
        <f t="shared" si="35"/>
        <v>4</v>
      </c>
      <c r="L179" s="15">
        <f t="shared" si="36"/>
        <v>16</v>
      </c>
      <c r="M179" s="15" t="str">
        <f t="shared" si="37"/>
        <v>红</v>
      </c>
      <c r="N179" s="15" t="str">
        <f t="shared" si="38"/>
        <v>金币</v>
      </c>
      <c r="O179" s="15">
        <f>IF(L179&gt;1,INDEX(挂机升级突破!$AI$35:$AI$55,卡牌消耗!L179),"")</f>
        <v>73000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83">
        <v>142</v>
      </c>
      <c r="X179" s="83">
        <f t="shared" si="39"/>
        <v>29</v>
      </c>
      <c r="Y179" s="83">
        <f t="shared" si="40"/>
        <v>1102013</v>
      </c>
      <c r="Z179" s="83">
        <f t="shared" si="41"/>
        <v>2</v>
      </c>
      <c r="AA179" s="83" t="s">
        <v>817</v>
      </c>
      <c r="AB179" s="15">
        <f t="shared" si="42"/>
        <v>0</v>
      </c>
      <c r="AC179" s="83" t="str">
        <f t="shared" si="43"/>
        <v>塞伯罗斯碎片</v>
      </c>
      <c r="AD179" s="15">
        <f t="shared" si="33"/>
        <v>40</v>
      </c>
    </row>
    <row r="180" spans="9:30" ht="16.5" x14ac:dyDescent="0.2">
      <c r="I180" s="34">
        <v>143</v>
      </c>
      <c r="J180" s="15">
        <f t="shared" si="34"/>
        <v>1102007</v>
      </c>
      <c r="K180" s="15">
        <f t="shared" si="35"/>
        <v>4</v>
      </c>
      <c r="L180" s="15">
        <f t="shared" si="36"/>
        <v>17</v>
      </c>
      <c r="M180" s="15" t="str">
        <f t="shared" si="37"/>
        <v>红</v>
      </c>
      <c r="N180" s="15" t="str">
        <f t="shared" si="38"/>
        <v>金币</v>
      </c>
      <c r="O180" s="15">
        <f>IF(L180&gt;1,INDEX(挂机升级突破!$AI$35:$AI$55,卡牌消耗!L180),"")</f>
        <v>76000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83">
        <v>143</v>
      </c>
      <c r="X180" s="83">
        <f t="shared" si="39"/>
        <v>29</v>
      </c>
      <c r="Y180" s="83">
        <f t="shared" si="40"/>
        <v>1102013</v>
      </c>
      <c r="Z180" s="83">
        <f t="shared" si="41"/>
        <v>3</v>
      </c>
      <c r="AA180" s="83" t="s">
        <v>817</v>
      </c>
      <c r="AB180" s="15">
        <f t="shared" si="42"/>
        <v>0</v>
      </c>
      <c r="AC180" s="83" t="str">
        <f t="shared" si="43"/>
        <v>塞伯罗斯碎片</v>
      </c>
      <c r="AD180" s="15">
        <f t="shared" si="33"/>
        <v>80</v>
      </c>
    </row>
    <row r="181" spans="9:30" ht="16.5" x14ac:dyDescent="0.2">
      <c r="I181" s="34">
        <v>144</v>
      </c>
      <c r="J181" s="15">
        <f t="shared" si="34"/>
        <v>1102007</v>
      </c>
      <c r="K181" s="15">
        <f t="shared" si="35"/>
        <v>4</v>
      </c>
      <c r="L181" s="15">
        <f t="shared" si="36"/>
        <v>18</v>
      </c>
      <c r="M181" s="15" t="str">
        <f t="shared" si="37"/>
        <v>红</v>
      </c>
      <c r="N181" s="15" t="str">
        <f t="shared" si="38"/>
        <v>金币</v>
      </c>
      <c r="O181" s="15">
        <f>IF(L181&gt;1,INDEX(挂机升级突破!$AI$35:$AI$55,卡牌消耗!L181),"")</f>
        <v>106500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83">
        <v>144</v>
      </c>
      <c r="X181" s="83">
        <f t="shared" si="39"/>
        <v>29</v>
      </c>
      <c r="Y181" s="83">
        <f t="shared" si="40"/>
        <v>1102013</v>
      </c>
      <c r="Z181" s="83">
        <f t="shared" si="41"/>
        <v>4</v>
      </c>
      <c r="AA181" s="83" t="s">
        <v>817</v>
      </c>
      <c r="AB181" s="15">
        <f t="shared" si="42"/>
        <v>0</v>
      </c>
      <c r="AC181" s="83" t="str">
        <f t="shared" si="43"/>
        <v>塞伯罗斯碎片</v>
      </c>
      <c r="AD181" s="15">
        <f t="shared" si="33"/>
        <v>120</v>
      </c>
    </row>
    <row r="182" spans="9:30" ht="16.5" x14ac:dyDescent="0.2">
      <c r="I182" s="34">
        <v>145</v>
      </c>
      <c r="J182" s="15">
        <f t="shared" si="34"/>
        <v>1102007</v>
      </c>
      <c r="K182" s="15">
        <f t="shared" si="35"/>
        <v>4</v>
      </c>
      <c r="L182" s="15">
        <f t="shared" si="36"/>
        <v>19</v>
      </c>
      <c r="M182" s="15" t="str">
        <f t="shared" si="37"/>
        <v>红</v>
      </c>
      <c r="N182" s="15" t="str">
        <f t="shared" si="38"/>
        <v>金币</v>
      </c>
      <c r="O182" s="15">
        <f>IF(L182&gt;1,INDEX(挂机升级突破!$AI$35:$AI$55,卡牌消耗!L182),"")</f>
        <v>142000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83">
        <v>145</v>
      </c>
      <c r="X182" s="83">
        <f t="shared" si="39"/>
        <v>29</v>
      </c>
      <c r="Y182" s="83">
        <f t="shared" si="40"/>
        <v>1102013</v>
      </c>
      <c r="Z182" s="83">
        <f t="shared" si="41"/>
        <v>5</v>
      </c>
      <c r="AA182" s="83" t="s">
        <v>817</v>
      </c>
      <c r="AB182" s="15">
        <f t="shared" si="42"/>
        <v>0</v>
      </c>
      <c r="AC182" s="83" t="str">
        <f t="shared" si="43"/>
        <v>塞伯罗斯碎片</v>
      </c>
      <c r="AD182" s="15">
        <f t="shared" si="33"/>
        <v>160</v>
      </c>
    </row>
    <row r="183" spans="9:30" ht="16.5" x14ac:dyDescent="0.2">
      <c r="I183" s="34">
        <v>146</v>
      </c>
      <c r="J183" s="15">
        <f t="shared" si="34"/>
        <v>1102007</v>
      </c>
      <c r="K183" s="15">
        <f t="shared" si="35"/>
        <v>4</v>
      </c>
      <c r="L183" s="15">
        <f t="shared" si="36"/>
        <v>20</v>
      </c>
      <c r="M183" s="15" t="str">
        <f t="shared" si="37"/>
        <v>红</v>
      </c>
      <c r="N183" s="15" t="str">
        <f t="shared" si="38"/>
        <v>金币</v>
      </c>
      <c r="O183" s="15">
        <f>IF(L183&gt;1,INDEX(挂机升级突破!$AI$35:$AI$55,卡牌消耗!L183),"")</f>
        <v>177500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83">
        <v>146</v>
      </c>
      <c r="X183" s="83">
        <f t="shared" si="39"/>
        <v>30</v>
      </c>
      <c r="Y183" s="83">
        <f t="shared" si="40"/>
        <v>1102014</v>
      </c>
      <c r="Z183" s="83">
        <f t="shared" si="41"/>
        <v>1</v>
      </c>
      <c r="AA183" s="83" t="s">
        <v>817</v>
      </c>
      <c r="AB183" s="15">
        <f t="shared" si="42"/>
        <v>0</v>
      </c>
      <c r="AC183" s="83" t="str">
        <f t="shared" si="43"/>
        <v>石灵明碎片</v>
      </c>
      <c r="AD183" s="15">
        <f t="shared" si="33"/>
        <v>80</v>
      </c>
    </row>
    <row r="184" spans="9:30" ht="16.5" x14ac:dyDescent="0.2">
      <c r="I184" s="34">
        <v>147</v>
      </c>
      <c r="J184" s="15">
        <f t="shared" si="34"/>
        <v>1102007</v>
      </c>
      <c r="K184" s="15">
        <f t="shared" si="35"/>
        <v>4</v>
      </c>
      <c r="L184" s="15">
        <f t="shared" si="36"/>
        <v>21</v>
      </c>
      <c r="M184" s="15" t="str">
        <f t="shared" si="37"/>
        <v>红</v>
      </c>
      <c r="N184" s="15" t="str">
        <f t="shared" si="38"/>
        <v>金币</v>
      </c>
      <c r="O184" s="15">
        <f>IF(L184&gt;1,INDEX(挂机升级突破!$AI$35:$AI$55,卡牌消耗!L184),"")</f>
        <v>213000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83">
        <v>147</v>
      </c>
      <c r="X184" s="83">
        <f t="shared" si="39"/>
        <v>30</v>
      </c>
      <c r="Y184" s="83">
        <f t="shared" si="40"/>
        <v>1102014</v>
      </c>
      <c r="Z184" s="83">
        <f t="shared" si="41"/>
        <v>2</v>
      </c>
      <c r="AA184" s="83" t="s">
        <v>817</v>
      </c>
      <c r="AB184" s="15">
        <f t="shared" si="42"/>
        <v>0</v>
      </c>
      <c r="AC184" s="83" t="str">
        <f t="shared" si="43"/>
        <v>石灵明碎片</v>
      </c>
      <c r="AD184" s="15">
        <f t="shared" si="33"/>
        <v>80</v>
      </c>
    </row>
    <row r="185" spans="9:30" ht="16.5" x14ac:dyDescent="0.2">
      <c r="I185" s="34">
        <v>148</v>
      </c>
      <c r="J185" s="15">
        <f t="shared" si="34"/>
        <v>1102008</v>
      </c>
      <c r="K185" s="15">
        <f t="shared" si="35"/>
        <v>4</v>
      </c>
      <c r="L185" s="15">
        <f t="shared" si="36"/>
        <v>1</v>
      </c>
      <c r="M185" s="15" t="str">
        <f t="shared" si="37"/>
        <v>红</v>
      </c>
      <c r="N185" s="15" t="str">
        <f t="shared" si="38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83">
        <v>148</v>
      </c>
      <c r="X185" s="83">
        <f t="shared" si="39"/>
        <v>30</v>
      </c>
      <c r="Y185" s="83">
        <f t="shared" si="40"/>
        <v>1102014</v>
      </c>
      <c r="Z185" s="83">
        <f t="shared" si="41"/>
        <v>3</v>
      </c>
      <c r="AA185" s="83" t="s">
        <v>817</v>
      </c>
      <c r="AB185" s="15">
        <f t="shared" si="42"/>
        <v>0</v>
      </c>
      <c r="AC185" s="83" t="str">
        <f t="shared" si="43"/>
        <v>石灵明碎片</v>
      </c>
      <c r="AD185" s="15">
        <f t="shared" si="33"/>
        <v>160</v>
      </c>
    </row>
    <row r="186" spans="9:30" ht="16.5" x14ac:dyDescent="0.2">
      <c r="I186" s="34">
        <v>149</v>
      </c>
      <c r="J186" s="15">
        <f t="shared" si="34"/>
        <v>1102008</v>
      </c>
      <c r="K186" s="15">
        <f t="shared" si="35"/>
        <v>4</v>
      </c>
      <c r="L186" s="15">
        <f t="shared" si="36"/>
        <v>2</v>
      </c>
      <c r="M186" s="15" t="str">
        <f t="shared" si="37"/>
        <v>红</v>
      </c>
      <c r="N186" s="15" t="str">
        <f t="shared" si="38"/>
        <v>金币</v>
      </c>
      <c r="O186" s="15">
        <f>IF(L186&gt;1,INDEX(挂机升级突破!$AI$35:$AI$55,卡牌消耗!L186),"")</f>
        <v>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83">
        <v>149</v>
      </c>
      <c r="X186" s="83">
        <f t="shared" si="39"/>
        <v>30</v>
      </c>
      <c r="Y186" s="83">
        <f t="shared" si="40"/>
        <v>1102014</v>
      </c>
      <c r="Z186" s="83">
        <f t="shared" si="41"/>
        <v>4</v>
      </c>
      <c r="AA186" s="83" t="s">
        <v>817</v>
      </c>
      <c r="AB186" s="15">
        <f t="shared" si="42"/>
        <v>0</v>
      </c>
      <c r="AC186" s="83" t="str">
        <f t="shared" si="43"/>
        <v>石灵明碎片</v>
      </c>
      <c r="AD186" s="15">
        <f t="shared" si="33"/>
        <v>240</v>
      </c>
    </row>
    <row r="187" spans="9:30" ht="16.5" x14ac:dyDescent="0.2">
      <c r="I187" s="34">
        <v>150</v>
      </c>
      <c r="J187" s="15">
        <f t="shared" si="34"/>
        <v>1102008</v>
      </c>
      <c r="K187" s="15">
        <f t="shared" si="35"/>
        <v>4</v>
      </c>
      <c r="L187" s="15">
        <f t="shared" si="36"/>
        <v>3</v>
      </c>
      <c r="M187" s="15" t="str">
        <f t="shared" si="37"/>
        <v>红</v>
      </c>
      <c r="N187" s="15" t="str">
        <f t="shared" si="38"/>
        <v>金币</v>
      </c>
      <c r="O187" s="15">
        <f>IF(L187&gt;1,INDEX(挂机升级突破!$AI$35:$AI$55,卡牌消耗!L187),"")</f>
        <v>2500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83">
        <v>150</v>
      </c>
      <c r="X187" s="83">
        <f t="shared" si="39"/>
        <v>30</v>
      </c>
      <c r="Y187" s="83">
        <f t="shared" si="40"/>
        <v>1102014</v>
      </c>
      <c r="Z187" s="83">
        <f t="shared" si="41"/>
        <v>5</v>
      </c>
      <c r="AA187" s="83" t="s">
        <v>817</v>
      </c>
      <c r="AB187" s="15">
        <f t="shared" si="42"/>
        <v>0</v>
      </c>
      <c r="AC187" s="83" t="str">
        <f t="shared" si="43"/>
        <v>石灵明碎片</v>
      </c>
      <c r="AD187" s="15">
        <f t="shared" si="33"/>
        <v>320</v>
      </c>
    </row>
    <row r="188" spans="9:30" ht="16.5" x14ac:dyDescent="0.2">
      <c r="I188" s="34">
        <v>151</v>
      </c>
      <c r="J188" s="15">
        <f t="shared" si="34"/>
        <v>1102008</v>
      </c>
      <c r="K188" s="15">
        <f t="shared" si="35"/>
        <v>4</v>
      </c>
      <c r="L188" s="15">
        <f t="shared" si="36"/>
        <v>4</v>
      </c>
      <c r="M188" s="15" t="str">
        <f t="shared" si="37"/>
        <v>红</v>
      </c>
      <c r="N188" s="15" t="str">
        <f t="shared" si="38"/>
        <v>金币</v>
      </c>
      <c r="O188" s="15">
        <f>IF(L188&gt;1,INDEX(挂机升级突破!$AI$35:$AI$55,卡牌消耗!L188),"")</f>
        <v>5500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83">
        <v>151</v>
      </c>
      <c r="X188" s="83">
        <f t="shared" si="39"/>
        <v>31</v>
      </c>
      <c r="Y188" s="83">
        <f t="shared" si="40"/>
        <v>1102015</v>
      </c>
      <c r="Z188" s="83">
        <f t="shared" si="41"/>
        <v>1</v>
      </c>
      <c r="AA188" s="83" t="s">
        <v>817</v>
      </c>
      <c r="AB188" s="15">
        <f t="shared" si="42"/>
        <v>0</v>
      </c>
      <c r="AC188" s="83" t="str">
        <f t="shared" si="43"/>
        <v>于禁碎片</v>
      </c>
      <c r="AD188" s="15">
        <f t="shared" si="33"/>
        <v>20</v>
      </c>
    </row>
    <row r="189" spans="9:30" ht="16.5" x14ac:dyDescent="0.2">
      <c r="I189" s="34">
        <v>152</v>
      </c>
      <c r="J189" s="15">
        <f t="shared" si="34"/>
        <v>1102008</v>
      </c>
      <c r="K189" s="15">
        <f t="shared" si="35"/>
        <v>4</v>
      </c>
      <c r="L189" s="15">
        <f t="shared" si="36"/>
        <v>5</v>
      </c>
      <c r="M189" s="15" t="str">
        <f t="shared" si="37"/>
        <v>红</v>
      </c>
      <c r="N189" s="15" t="str">
        <f t="shared" si="38"/>
        <v>金币</v>
      </c>
      <c r="O189" s="15">
        <f>IF(L189&gt;1,INDEX(挂机升级突破!$AI$35:$AI$55,卡牌消耗!L189),"")</f>
        <v>7500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83">
        <v>152</v>
      </c>
      <c r="X189" s="83">
        <f t="shared" si="39"/>
        <v>31</v>
      </c>
      <c r="Y189" s="83">
        <f t="shared" si="40"/>
        <v>1102015</v>
      </c>
      <c r="Z189" s="83">
        <f t="shared" si="41"/>
        <v>2</v>
      </c>
      <c r="AA189" s="83" t="s">
        <v>817</v>
      </c>
      <c r="AB189" s="15">
        <f t="shared" si="42"/>
        <v>0</v>
      </c>
      <c r="AC189" s="83" t="str">
        <f t="shared" si="43"/>
        <v>于禁碎片</v>
      </c>
      <c r="AD189" s="15">
        <f t="shared" si="33"/>
        <v>40</v>
      </c>
    </row>
    <row r="190" spans="9:30" ht="16.5" x14ac:dyDescent="0.2">
      <c r="I190" s="34">
        <v>153</v>
      </c>
      <c r="J190" s="15">
        <f t="shared" si="34"/>
        <v>1102008</v>
      </c>
      <c r="K190" s="15">
        <f t="shared" si="35"/>
        <v>4</v>
      </c>
      <c r="L190" s="15">
        <f t="shared" si="36"/>
        <v>6</v>
      </c>
      <c r="M190" s="15" t="str">
        <f t="shared" si="37"/>
        <v>红</v>
      </c>
      <c r="N190" s="15" t="str">
        <f t="shared" si="38"/>
        <v>金币</v>
      </c>
      <c r="O190" s="15">
        <f>IF(L190&gt;1,INDEX(挂机升级突破!$AI$35:$AI$55,卡牌消耗!L190),"")</f>
        <v>17500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83">
        <v>153</v>
      </c>
      <c r="X190" s="83">
        <f t="shared" si="39"/>
        <v>31</v>
      </c>
      <c r="Y190" s="83">
        <f t="shared" si="40"/>
        <v>1102015</v>
      </c>
      <c r="Z190" s="83">
        <f t="shared" si="41"/>
        <v>3</v>
      </c>
      <c r="AA190" s="83" t="s">
        <v>817</v>
      </c>
      <c r="AB190" s="15">
        <f t="shared" si="42"/>
        <v>0</v>
      </c>
      <c r="AC190" s="83" t="str">
        <f t="shared" si="43"/>
        <v>于禁碎片</v>
      </c>
      <c r="AD190" s="15">
        <f t="shared" si="33"/>
        <v>80</v>
      </c>
    </row>
    <row r="191" spans="9:30" ht="16.5" x14ac:dyDescent="0.2">
      <c r="I191" s="34">
        <v>154</v>
      </c>
      <c r="J191" s="15">
        <f t="shared" si="34"/>
        <v>1102008</v>
      </c>
      <c r="K191" s="15">
        <f t="shared" si="35"/>
        <v>4</v>
      </c>
      <c r="L191" s="15">
        <f t="shared" si="36"/>
        <v>7</v>
      </c>
      <c r="M191" s="15" t="str">
        <f t="shared" si="37"/>
        <v>红</v>
      </c>
      <c r="N191" s="15" t="str">
        <f t="shared" si="38"/>
        <v>金币</v>
      </c>
      <c r="O191" s="15">
        <f>IF(L191&gt;1,INDEX(挂机升级突破!$AI$35:$AI$55,卡牌消耗!L191),"")</f>
        <v>19500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83">
        <v>154</v>
      </c>
      <c r="X191" s="83">
        <f t="shared" si="39"/>
        <v>31</v>
      </c>
      <c r="Y191" s="83">
        <f t="shared" si="40"/>
        <v>1102015</v>
      </c>
      <c r="Z191" s="83">
        <f t="shared" si="41"/>
        <v>4</v>
      </c>
      <c r="AA191" s="83" t="s">
        <v>817</v>
      </c>
      <c r="AB191" s="15">
        <f t="shared" si="42"/>
        <v>0</v>
      </c>
      <c r="AC191" s="83" t="str">
        <f t="shared" si="43"/>
        <v>于禁碎片</v>
      </c>
      <c r="AD191" s="15">
        <f t="shared" si="33"/>
        <v>120</v>
      </c>
    </row>
    <row r="192" spans="9:30" ht="16.5" x14ac:dyDescent="0.2">
      <c r="I192" s="34">
        <v>155</v>
      </c>
      <c r="J192" s="15">
        <f t="shared" si="34"/>
        <v>1102008</v>
      </c>
      <c r="K192" s="15">
        <f t="shared" si="35"/>
        <v>4</v>
      </c>
      <c r="L192" s="15">
        <f t="shared" si="36"/>
        <v>8</v>
      </c>
      <c r="M192" s="15" t="str">
        <f t="shared" si="37"/>
        <v>红</v>
      </c>
      <c r="N192" s="15" t="str">
        <f t="shared" si="38"/>
        <v>金币</v>
      </c>
      <c r="O192" s="15">
        <f>IF(L192&gt;1,INDEX(挂机升级突破!$AI$35:$AI$55,卡牌消耗!L192),"")</f>
        <v>22000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83">
        <v>155</v>
      </c>
      <c r="X192" s="83">
        <f t="shared" si="39"/>
        <v>31</v>
      </c>
      <c r="Y192" s="83">
        <f t="shared" si="40"/>
        <v>1102015</v>
      </c>
      <c r="Z192" s="83">
        <f t="shared" si="41"/>
        <v>5</v>
      </c>
      <c r="AA192" s="83" t="s">
        <v>817</v>
      </c>
      <c r="AB192" s="15">
        <f t="shared" si="42"/>
        <v>0</v>
      </c>
      <c r="AC192" s="83" t="str">
        <f t="shared" si="43"/>
        <v>于禁碎片</v>
      </c>
      <c r="AD192" s="15">
        <f t="shared" si="33"/>
        <v>160</v>
      </c>
    </row>
    <row r="193" spans="9:30" ht="16.5" x14ac:dyDescent="0.2">
      <c r="I193" s="34">
        <v>156</v>
      </c>
      <c r="J193" s="15">
        <f t="shared" si="34"/>
        <v>1102008</v>
      </c>
      <c r="K193" s="15">
        <f t="shared" si="35"/>
        <v>4</v>
      </c>
      <c r="L193" s="15">
        <f t="shared" si="36"/>
        <v>9</v>
      </c>
      <c r="M193" s="15" t="str">
        <f t="shared" si="37"/>
        <v>红</v>
      </c>
      <c r="N193" s="15" t="str">
        <f t="shared" si="38"/>
        <v>金币</v>
      </c>
      <c r="O193" s="15">
        <f>IF(L193&gt;1,INDEX(挂机升级突破!$AI$35:$AI$55,卡牌消耗!L193),"")</f>
        <v>25000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83">
        <v>156</v>
      </c>
      <c r="X193" s="83">
        <f t="shared" si="39"/>
        <v>32</v>
      </c>
      <c r="Y193" s="83">
        <f t="shared" si="40"/>
        <v>1102016</v>
      </c>
      <c r="Z193" s="83">
        <f t="shared" si="41"/>
        <v>1</v>
      </c>
      <c r="AA193" s="83" t="s">
        <v>817</v>
      </c>
      <c r="AB193" s="15">
        <f t="shared" si="42"/>
        <v>0</v>
      </c>
      <c r="AC193" s="83" t="str">
        <f t="shared" si="43"/>
        <v>西方龙碎片</v>
      </c>
      <c r="AD193" s="15">
        <f t="shared" si="33"/>
        <v>80</v>
      </c>
    </row>
    <row r="194" spans="9:30" ht="16.5" x14ac:dyDescent="0.2">
      <c r="I194" s="34">
        <v>157</v>
      </c>
      <c r="J194" s="15">
        <f t="shared" si="34"/>
        <v>1102008</v>
      </c>
      <c r="K194" s="15">
        <f t="shared" si="35"/>
        <v>4</v>
      </c>
      <c r="L194" s="15">
        <f t="shared" si="36"/>
        <v>10</v>
      </c>
      <c r="M194" s="15" t="str">
        <f t="shared" si="37"/>
        <v>红</v>
      </c>
      <c r="N194" s="15" t="str">
        <f t="shared" si="38"/>
        <v>金币</v>
      </c>
      <c r="O194" s="15">
        <f>IF(L194&gt;1,INDEX(挂机升级突破!$AI$35:$AI$55,卡牌消耗!L194),"")</f>
        <v>27500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83">
        <v>157</v>
      </c>
      <c r="X194" s="83">
        <f t="shared" si="39"/>
        <v>32</v>
      </c>
      <c r="Y194" s="83">
        <f t="shared" si="40"/>
        <v>1102016</v>
      </c>
      <c r="Z194" s="83">
        <f t="shared" si="41"/>
        <v>2</v>
      </c>
      <c r="AA194" s="83" t="s">
        <v>817</v>
      </c>
      <c r="AB194" s="15">
        <f t="shared" si="42"/>
        <v>0</v>
      </c>
      <c r="AC194" s="83" t="str">
        <f t="shared" si="43"/>
        <v>西方龙碎片</v>
      </c>
      <c r="AD194" s="15">
        <f t="shared" si="33"/>
        <v>80</v>
      </c>
    </row>
    <row r="195" spans="9:30" ht="16.5" x14ac:dyDescent="0.2">
      <c r="I195" s="34">
        <v>158</v>
      </c>
      <c r="J195" s="15">
        <f t="shared" si="34"/>
        <v>1102008</v>
      </c>
      <c r="K195" s="15">
        <f t="shared" si="35"/>
        <v>4</v>
      </c>
      <c r="L195" s="15">
        <f t="shared" si="36"/>
        <v>11</v>
      </c>
      <c r="M195" s="15" t="str">
        <f t="shared" si="37"/>
        <v>红</v>
      </c>
      <c r="N195" s="15" t="str">
        <f t="shared" si="38"/>
        <v>金币</v>
      </c>
      <c r="O195" s="15">
        <f>IF(L195&gt;1,INDEX(挂机升级突破!$AI$35:$AI$55,卡牌消耗!L195),"")</f>
        <v>30000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83">
        <v>158</v>
      </c>
      <c r="X195" s="83">
        <f t="shared" si="39"/>
        <v>32</v>
      </c>
      <c r="Y195" s="83">
        <f t="shared" si="40"/>
        <v>1102016</v>
      </c>
      <c r="Z195" s="83">
        <f t="shared" si="41"/>
        <v>3</v>
      </c>
      <c r="AA195" s="83" t="s">
        <v>817</v>
      </c>
      <c r="AB195" s="15">
        <f t="shared" si="42"/>
        <v>0</v>
      </c>
      <c r="AC195" s="83" t="str">
        <f t="shared" si="43"/>
        <v>西方龙碎片</v>
      </c>
      <c r="AD195" s="15">
        <f t="shared" si="33"/>
        <v>160</v>
      </c>
    </row>
    <row r="196" spans="9:30" ht="16.5" x14ac:dyDescent="0.2">
      <c r="I196" s="34">
        <v>159</v>
      </c>
      <c r="J196" s="15">
        <f t="shared" si="34"/>
        <v>1102008</v>
      </c>
      <c r="K196" s="15">
        <f t="shared" si="35"/>
        <v>4</v>
      </c>
      <c r="L196" s="15">
        <f t="shared" si="36"/>
        <v>12</v>
      </c>
      <c r="M196" s="15" t="str">
        <f t="shared" si="37"/>
        <v>红</v>
      </c>
      <c r="N196" s="15" t="str">
        <f t="shared" si="38"/>
        <v>金币</v>
      </c>
      <c r="O196" s="15">
        <f>IF(L196&gt;1,INDEX(挂机升级突破!$AI$35:$AI$55,卡牌消耗!L196),"")</f>
        <v>32000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83">
        <v>159</v>
      </c>
      <c r="X196" s="83">
        <f t="shared" si="39"/>
        <v>32</v>
      </c>
      <c r="Y196" s="83">
        <f t="shared" si="40"/>
        <v>1102016</v>
      </c>
      <c r="Z196" s="83">
        <f t="shared" si="41"/>
        <v>4</v>
      </c>
      <c r="AA196" s="83" t="s">
        <v>817</v>
      </c>
      <c r="AB196" s="15">
        <f t="shared" si="42"/>
        <v>0</v>
      </c>
      <c r="AC196" s="83" t="str">
        <f t="shared" si="43"/>
        <v>西方龙碎片</v>
      </c>
      <c r="AD196" s="15">
        <f t="shared" si="33"/>
        <v>240</v>
      </c>
    </row>
    <row r="197" spans="9:30" ht="16.5" x14ac:dyDescent="0.2">
      <c r="I197" s="34">
        <v>160</v>
      </c>
      <c r="J197" s="15">
        <f t="shared" si="34"/>
        <v>1102008</v>
      </c>
      <c r="K197" s="15">
        <f t="shared" si="35"/>
        <v>4</v>
      </c>
      <c r="L197" s="15">
        <f t="shared" si="36"/>
        <v>13</v>
      </c>
      <c r="M197" s="15" t="str">
        <f t="shared" si="37"/>
        <v>红</v>
      </c>
      <c r="N197" s="15" t="str">
        <f t="shared" si="38"/>
        <v>金币</v>
      </c>
      <c r="O197" s="15">
        <f>IF(L197&gt;1,INDEX(挂机升级突破!$AI$35:$AI$55,卡牌消耗!L197),"")</f>
        <v>40500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83">
        <v>160</v>
      </c>
      <c r="X197" s="83">
        <f t="shared" si="39"/>
        <v>32</v>
      </c>
      <c r="Y197" s="83">
        <f t="shared" si="40"/>
        <v>1102016</v>
      </c>
      <c r="Z197" s="83">
        <f t="shared" si="41"/>
        <v>5</v>
      </c>
      <c r="AA197" s="83" t="s">
        <v>817</v>
      </c>
      <c r="AB197" s="15">
        <f t="shared" si="42"/>
        <v>0</v>
      </c>
      <c r="AC197" s="83" t="str">
        <f t="shared" si="43"/>
        <v>西方龙碎片</v>
      </c>
      <c r="AD197" s="15">
        <f t="shared" si="33"/>
        <v>320</v>
      </c>
    </row>
    <row r="198" spans="9:30" ht="16.5" x14ac:dyDescent="0.2">
      <c r="I198" s="34">
        <v>161</v>
      </c>
      <c r="J198" s="15">
        <f t="shared" si="34"/>
        <v>1102008</v>
      </c>
      <c r="K198" s="15">
        <f t="shared" si="35"/>
        <v>4</v>
      </c>
      <c r="L198" s="15">
        <f t="shared" si="36"/>
        <v>14</v>
      </c>
      <c r="M198" s="15" t="str">
        <f t="shared" si="37"/>
        <v>红</v>
      </c>
      <c r="N198" s="15" t="str">
        <f t="shared" si="38"/>
        <v>金币</v>
      </c>
      <c r="O198" s="15">
        <f>IF(L198&gt;1,INDEX(挂机升级突破!$AI$35:$AI$55,卡牌消耗!L198),"")</f>
        <v>54000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83">
        <v>161</v>
      </c>
      <c r="X198" s="83">
        <f t="shared" si="39"/>
        <v>33</v>
      </c>
      <c r="Y198" s="83">
        <f t="shared" si="40"/>
        <v>1102017</v>
      </c>
      <c r="Z198" s="83">
        <f t="shared" si="41"/>
        <v>1</v>
      </c>
      <c r="AA198" s="83" t="s">
        <v>817</v>
      </c>
      <c r="AB198" s="15">
        <f t="shared" si="42"/>
        <v>0</v>
      </c>
      <c r="AC198" s="83" t="str">
        <f t="shared" si="43"/>
        <v>飞廉碎片</v>
      </c>
      <c r="AD198" s="15">
        <f t="shared" ref="AD198:AD227" si="44">INDEX($N$5:$Q$9,Z198,INDEX($C$38:$C$75,X198)-1)</f>
        <v>80</v>
      </c>
    </row>
    <row r="199" spans="9:30" ht="16.5" x14ac:dyDescent="0.2">
      <c r="I199" s="34">
        <v>162</v>
      </c>
      <c r="J199" s="15">
        <f t="shared" si="34"/>
        <v>1102008</v>
      </c>
      <c r="K199" s="15">
        <f t="shared" si="35"/>
        <v>4</v>
      </c>
      <c r="L199" s="15">
        <f t="shared" si="36"/>
        <v>15</v>
      </c>
      <c r="M199" s="15" t="str">
        <f t="shared" si="37"/>
        <v>红</v>
      </c>
      <c r="N199" s="15" t="str">
        <f t="shared" si="38"/>
        <v>金币</v>
      </c>
      <c r="O199" s="15">
        <f>IF(L199&gt;1,INDEX(挂机升级突破!$AI$35:$AI$55,卡牌消耗!L199),"")</f>
        <v>63000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83">
        <v>162</v>
      </c>
      <c r="X199" s="83">
        <f t="shared" si="39"/>
        <v>33</v>
      </c>
      <c r="Y199" s="83">
        <f t="shared" si="40"/>
        <v>1102017</v>
      </c>
      <c r="Z199" s="83">
        <f t="shared" si="41"/>
        <v>2</v>
      </c>
      <c r="AA199" s="83" t="s">
        <v>817</v>
      </c>
      <c r="AB199" s="15">
        <f t="shared" si="42"/>
        <v>0</v>
      </c>
      <c r="AC199" s="83" t="str">
        <f t="shared" si="43"/>
        <v>飞廉碎片</v>
      </c>
      <c r="AD199" s="15">
        <f t="shared" si="44"/>
        <v>80</v>
      </c>
    </row>
    <row r="200" spans="9:30" ht="16.5" x14ac:dyDescent="0.2">
      <c r="I200" s="34">
        <v>163</v>
      </c>
      <c r="J200" s="15">
        <f t="shared" si="34"/>
        <v>1102008</v>
      </c>
      <c r="K200" s="15">
        <f t="shared" si="35"/>
        <v>4</v>
      </c>
      <c r="L200" s="15">
        <f t="shared" si="36"/>
        <v>16</v>
      </c>
      <c r="M200" s="15" t="str">
        <f t="shared" si="37"/>
        <v>红</v>
      </c>
      <c r="N200" s="15" t="str">
        <f t="shared" si="38"/>
        <v>金币</v>
      </c>
      <c r="O200" s="15">
        <f>IF(L200&gt;1,INDEX(挂机升级突破!$AI$35:$AI$55,卡牌消耗!L200),"")</f>
        <v>73000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83">
        <v>163</v>
      </c>
      <c r="X200" s="83">
        <f t="shared" si="39"/>
        <v>33</v>
      </c>
      <c r="Y200" s="83">
        <f t="shared" si="40"/>
        <v>1102017</v>
      </c>
      <c r="Z200" s="83">
        <f t="shared" si="41"/>
        <v>3</v>
      </c>
      <c r="AA200" s="83" t="s">
        <v>817</v>
      </c>
      <c r="AB200" s="15">
        <f t="shared" si="42"/>
        <v>0</v>
      </c>
      <c r="AC200" s="83" t="str">
        <f t="shared" si="43"/>
        <v>飞廉碎片</v>
      </c>
      <c r="AD200" s="15">
        <f t="shared" si="44"/>
        <v>160</v>
      </c>
    </row>
    <row r="201" spans="9:30" ht="16.5" x14ac:dyDescent="0.2">
      <c r="I201" s="34">
        <v>164</v>
      </c>
      <c r="J201" s="15">
        <f t="shared" si="34"/>
        <v>1102008</v>
      </c>
      <c r="K201" s="15">
        <f t="shared" si="35"/>
        <v>4</v>
      </c>
      <c r="L201" s="15">
        <f t="shared" si="36"/>
        <v>17</v>
      </c>
      <c r="M201" s="15" t="str">
        <f t="shared" si="37"/>
        <v>红</v>
      </c>
      <c r="N201" s="15" t="str">
        <f t="shared" si="38"/>
        <v>金币</v>
      </c>
      <c r="O201" s="15">
        <f>IF(L201&gt;1,INDEX(挂机升级突破!$AI$35:$AI$55,卡牌消耗!L201),"")</f>
        <v>76000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83">
        <v>164</v>
      </c>
      <c r="X201" s="83">
        <f t="shared" si="39"/>
        <v>33</v>
      </c>
      <c r="Y201" s="83">
        <f t="shared" si="40"/>
        <v>1102017</v>
      </c>
      <c r="Z201" s="83">
        <f t="shared" si="41"/>
        <v>4</v>
      </c>
      <c r="AA201" s="83" t="s">
        <v>817</v>
      </c>
      <c r="AB201" s="15">
        <f t="shared" si="42"/>
        <v>0</v>
      </c>
      <c r="AC201" s="83" t="str">
        <f t="shared" si="43"/>
        <v>飞廉碎片</v>
      </c>
      <c r="AD201" s="15">
        <f t="shared" si="44"/>
        <v>240</v>
      </c>
    </row>
    <row r="202" spans="9:30" ht="16.5" x14ac:dyDescent="0.2">
      <c r="I202" s="34">
        <v>165</v>
      </c>
      <c r="J202" s="15">
        <f t="shared" si="34"/>
        <v>1102008</v>
      </c>
      <c r="K202" s="15">
        <f t="shared" si="35"/>
        <v>4</v>
      </c>
      <c r="L202" s="15">
        <f t="shared" si="36"/>
        <v>18</v>
      </c>
      <c r="M202" s="15" t="str">
        <f t="shared" si="37"/>
        <v>红</v>
      </c>
      <c r="N202" s="15" t="str">
        <f t="shared" si="38"/>
        <v>金币</v>
      </c>
      <c r="O202" s="15">
        <f>IF(L202&gt;1,INDEX(挂机升级突破!$AI$35:$AI$55,卡牌消耗!L202),"")</f>
        <v>106500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83">
        <v>165</v>
      </c>
      <c r="X202" s="83">
        <f t="shared" si="39"/>
        <v>33</v>
      </c>
      <c r="Y202" s="83">
        <f t="shared" si="40"/>
        <v>1102017</v>
      </c>
      <c r="Z202" s="83">
        <f t="shared" si="41"/>
        <v>5</v>
      </c>
      <c r="AA202" s="83" t="s">
        <v>817</v>
      </c>
      <c r="AB202" s="15">
        <f t="shared" si="42"/>
        <v>0</v>
      </c>
      <c r="AC202" s="83" t="str">
        <f t="shared" si="43"/>
        <v>飞廉碎片</v>
      </c>
      <c r="AD202" s="15">
        <f t="shared" si="44"/>
        <v>320</v>
      </c>
    </row>
    <row r="203" spans="9:30" ht="16.5" x14ac:dyDescent="0.2">
      <c r="I203" s="34">
        <v>166</v>
      </c>
      <c r="J203" s="15">
        <f t="shared" si="34"/>
        <v>1102008</v>
      </c>
      <c r="K203" s="15">
        <f t="shared" si="35"/>
        <v>4</v>
      </c>
      <c r="L203" s="15">
        <f t="shared" si="36"/>
        <v>19</v>
      </c>
      <c r="M203" s="15" t="str">
        <f t="shared" si="37"/>
        <v>红</v>
      </c>
      <c r="N203" s="15" t="str">
        <f t="shared" si="38"/>
        <v>金币</v>
      </c>
      <c r="O203" s="15">
        <f>IF(L203&gt;1,INDEX(挂机升级突破!$AI$35:$AI$55,卡牌消耗!L203),"")</f>
        <v>142000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83">
        <v>166</v>
      </c>
      <c r="X203" s="83">
        <f t="shared" si="39"/>
        <v>34</v>
      </c>
      <c r="Y203" s="83">
        <f t="shared" si="40"/>
        <v>1102018</v>
      </c>
      <c r="Z203" s="83">
        <f t="shared" si="41"/>
        <v>1</v>
      </c>
      <c r="AA203" s="83" t="s">
        <v>817</v>
      </c>
      <c r="AB203" s="15">
        <f t="shared" si="42"/>
        <v>0</v>
      </c>
      <c r="AC203" s="83" t="str">
        <f t="shared" si="43"/>
        <v>噬日碎片</v>
      </c>
      <c r="AD203" s="15">
        <f t="shared" si="44"/>
        <v>20</v>
      </c>
    </row>
    <row r="204" spans="9:30" ht="16.5" x14ac:dyDescent="0.2">
      <c r="I204" s="34">
        <v>167</v>
      </c>
      <c r="J204" s="15">
        <f t="shared" si="34"/>
        <v>1102008</v>
      </c>
      <c r="K204" s="15">
        <f t="shared" si="35"/>
        <v>4</v>
      </c>
      <c r="L204" s="15">
        <f t="shared" si="36"/>
        <v>20</v>
      </c>
      <c r="M204" s="15" t="str">
        <f t="shared" si="37"/>
        <v>红</v>
      </c>
      <c r="N204" s="15" t="str">
        <f t="shared" si="38"/>
        <v>金币</v>
      </c>
      <c r="O204" s="15">
        <f>IF(L204&gt;1,INDEX(挂机升级突破!$AI$35:$AI$55,卡牌消耗!L204),"")</f>
        <v>177500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83">
        <v>167</v>
      </c>
      <c r="X204" s="83">
        <f t="shared" si="39"/>
        <v>34</v>
      </c>
      <c r="Y204" s="83">
        <f t="shared" si="40"/>
        <v>1102018</v>
      </c>
      <c r="Z204" s="83">
        <f t="shared" si="41"/>
        <v>2</v>
      </c>
      <c r="AA204" s="83" t="s">
        <v>817</v>
      </c>
      <c r="AB204" s="15">
        <f t="shared" si="42"/>
        <v>0</v>
      </c>
      <c r="AC204" s="83" t="str">
        <f t="shared" si="43"/>
        <v>噬日碎片</v>
      </c>
      <c r="AD204" s="15">
        <f t="shared" si="44"/>
        <v>40</v>
      </c>
    </row>
    <row r="205" spans="9:30" ht="16.5" x14ac:dyDescent="0.2">
      <c r="I205" s="34">
        <v>168</v>
      </c>
      <c r="J205" s="15">
        <f t="shared" si="34"/>
        <v>1102008</v>
      </c>
      <c r="K205" s="15">
        <f t="shared" si="35"/>
        <v>4</v>
      </c>
      <c r="L205" s="15">
        <f t="shared" si="36"/>
        <v>21</v>
      </c>
      <c r="M205" s="15" t="str">
        <f t="shared" si="37"/>
        <v>红</v>
      </c>
      <c r="N205" s="15" t="str">
        <f t="shared" si="38"/>
        <v>金币</v>
      </c>
      <c r="O205" s="15">
        <f>IF(L205&gt;1,INDEX(挂机升级突破!$AI$35:$AI$55,卡牌消耗!L205),"")</f>
        <v>213000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83">
        <v>168</v>
      </c>
      <c r="X205" s="83">
        <f t="shared" si="39"/>
        <v>34</v>
      </c>
      <c r="Y205" s="83">
        <f t="shared" si="40"/>
        <v>1102018</v>
      </c>
      <c r="Z205" s="83">
        <f t="shared" si="41"/>
        <v>3</v>
      </c>
      <c r="AA205" s="83" t="s">
        <v>817</v>
      </c>
      <c r="AB205" s="15">
        <f t="shared" si="42"/>
        <v>0</v>
      </c>
      <c r="AC205" s="83" t="str">
        <f t="shared" si="43"/>
        <v>噬日碎片</v>
      </c>
      <c r="AD205" s="15">
        <f t="shared" si="44"/>
        <v>80</v>
      </c>
    </row>
    <row r="206" spans="9:30" ht="16.5" x14ac:dyDescent="0.2">
      <c r="I206" s="34">
        <v>169</v>
      </c>
      <c r="J206" s="15">
        <f t="shared" si="34"/>
        <v>1102009</v>
      </c>
      <c r="K206" s="15">
        <f t="shared" si="35"/>
        <v>4</v>
      </c>
      <c r="L206" s="15">
        <f t="shared" si="36"/>
        <v>1</v>
      </c>
      <c r="M206" s="15" t="str">
        <f t="shared" si="37"/>
        <v>黄</v>
      </c>
      <c r="N206" s="15" t="str">
        <f t="shared" si="38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83">
        <v>169</v>
      </c>
      <c r="X206" s="83">
        <f t="shared" si="39"/>
        <v>34</v>
      </c>
      <c r="Y206" s="83">
        <f t="shared" si="40"/>
        <v>1102018</v>
      </c>
      <c r="Z206" s="83">
        <f t="shared" si="41"/>
        <v>4</v>
      </c>
      <c r="AA206" s="83" t="s">
        <v>817</v>
      </c>
      <c r="AB206" s="15">
        <f t="shared" si="42"/>
        <v>0</v>
      </c>
      <c r="AC206" s="83" t="str">
        <f t="shared" si="43"/>
        <v>噬日碎片</v>
      </c>
      <c r="AD206" s="15">
        <f t="shared" si="44"/>
        <v>120</v>
      </c>
    </row>
    <row r="207" spans="9:30" ht="16.5" x14ac:dyDescent="0.2">
      <c r="I207" s="34">
        <v>170</v>
      </c>
      <c r="J207" s="15">
        <f t="shared" si="34"/>
        <v>1102009</v>
      </c>
      <c r="K207" s="15">
        <f t="shared" si="35"/>
        <v>4</v>
      </c>
      <c r="L207" s="15">
        <f t="shared" si="36"/>
        <v>2</v>
      </c>
      <c r="M207" s="15" t="str">
        <f t="shared" si="37"/>
        <v>黄</v>
      </c>
      <c r="N207" s="15" t="str">
        <f t="shared" si="38"/>
        <v>金币</v>
      </c>
      <c r="O207" s="15">
        <f>IF(L207&gt;1,INDEX(挂机升级突破!$AI$35:$AI$55,卡牌消耗!L207),"")</f>
        <v>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83">
        <v>170</v>
      </c>
      <c r="X207" s="83">
        <f t="shared" si="39"/>
        <v>34</v>
      </c>
      <c r="Y207" s="83">
        <f t="shared" si="40"/>
        <v>1102018</v>
      </c>
      <c r="Z207" s="83">
        <f t="shared" si="41"/>
        <v>5</v>
      </c>
      <c r="AA207" s="83" t="s">
        <v>817</v>
      </c>
      <c r="AB207" s="15">
        <f t="shared" si="42"/>
        <v>0</v>
      </c>
      <c r="AC207" s="83" t="str">
        <f t="shared" si="43"/>
        <v>噬日碎片</v>
      </c>
      <c r="AD207" s="15">
        <f t="shared" si="44"/>
        <v>160</v>
      </c>
    </row>
    <row r="208" spans="9:30" ht="16.5" x14ac:dyDescent="0.2">
      <c r="I208" s="34">
        <v>171</v>
      </c>
      <c r="J208" s="15">
        <f t="shared" si="34"/>
        <v>1102009</v>
      </c>
      <c r="K208" s="15">
        <f t="shared" si="35"/>
        <v>4</v>
      </c>
      <c r="L208" s="15">
        <f t="shared" si="36"/>
        <v>3</v>
      </c>
      <c r="M208" s="15" t="str">
        <f t="shared" si="37"/>
        <v>黄</v>
      </c>
      <c r="N208" s="15" t="str">
        <f t="shared" si="38"/>
        <v>金币</v>
      </c>
      <c r="O208" s="15">
        <f>IF(L208&gt;1,INDEX(挂机升级突破!$AI$35:$AI$55,卡牌消耗!L208),"")</f>
        <v>2500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83">
        <v>171</v>
      </c>
      <c r="X208" s="83">
        <f t="shared" si="39"/>
        <v>35</v>
      </c>
      <c r="Y208" s="83">
        <f t="shared" si="40"/>
        <v>1102019</v>
      </c>
      <c r="Z208" s="83">
        <f t="shared" si="41"/>
        <v>1</v>
      </c>
      <c r="AA208" s="83" t="s">
        <v>817</v>
      </c>
      <c r="AB208" s="15">
        <f t="shared" si="42"/>
        <v>0</v>
      </c>
      <c r="AC208" s="83" t="str">
        <f t="shared" si="43"/>
        <v>食火蜥碎片</v>
      </c>
      <c r="AD208" s="15">
        <f t="shared" si="44"/>
        <v>20</v>
      </c>
    </row>
    <row r="209" spans="9:30" ht="16.5" x14ac:dyDescent="0.2">
      <c r="I209" s="34">
        <v>172</v>
      </c>
      <c r="J209" s="15">
        <f t="shared" si="34"/>
        <v>1102009</v>
      </c>
      <c r="K209" s="15">
        <f t="shared" si="35"/>
        <v>4</v>
      </c>
      <c r="L209" s="15">
        <f t="shared" si="36"/>
        <v>4</v>
      </c>
      <c r="M209" s="15" t="str">
        <f t="shared" si="37"/>
        <v>黄</v>
      </c>
      <c r="N209" s="15" t="str">
        <f t="shared" si="38"/>
        <v>金币</v>
      </c>
      <c r="O209" s="15">
        <f>IF(L209&gt;1,INDEX(挂机升级突破!$AI$35:$AI$55,卡牌消耗!L209),"")</f>
        <v>5500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83">
        <v>172</v>
      </c>
      <c r="X209" s="83">
        <f t="shared" si="39"/>
        <v>35</v>
      </c>
      <c r="Y209" s="83">
        <f t="shared" si="40"/>
        <v>1102019</v>
      </c>
      <c r="Z209" s="83">
        <f t="shared" si="41"/>
        <v>2</v>
      </c>
      <c r="AA209" s="83" t="s">
        <v>817</v>
      </c>
      <c r="AB209" s="15">
        <f t="shared" si="42"/>
        <v>0</v>
      </c>
      <c r="AC209" s="83" t="str">
        <f t="shared" si="43"/>
        <v>食火蜥碎片</v>
      </c>
      <c r="AD209" s="15">
        <f t="shared" si="44"/>
        <v>40</v>
      </c>
    </row>
    <row r="210" spans="9:30" ht="16.5" x14ac:dyDescent="0.2">
      <c r="I210" s="34">
        <v>173</v>
      </c>
      <c r="J210" s="15">
        <f t="shared" si="34"/>
        <v>1102009</v>
      </c>
      <c r="K210" s="15">
        <f t="shared" si="35"/>
        <v>4</v>
      </c>
      <c r="L210" s="15">
        <f t="shared" si="36"/>
        <v>5</v>
      </c>
      <c r="M210" s="15" t="str">
        <f t="shared" si="37"/>
        <v>黄</v>
      </c>
      <c r="N210" s="15" t="str">
        <f t="shared" si="38"/>
        <v>金币</v>
      </c>
      <c r="O210" s="15">
        <f>IF(L210&gt;1,INDEX(挂机升级突破!$AI$35:$AI$55,卡牌消耗!L210),"")</f>
        <v>7500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83">
        <v>173</v>
      </c>
      <c r="X210" s="83">
        <f t="shared" si="39"/>
        <v>35</v>
      </c>
      <c r="Y210" s="83">
        <f t="shared" si="40"/>
        <v>1102019</v>
      </c>
      <c r="Z210" s="83">
        <f t="shared" si="41"/>
        <v>3</v>
      </c>
      <c r="AA210" s="83" t="s">
        <v>817</v>
      </c>
      <c r="AB210" s="15">
        <f t="shared" si="42"/>
        <v>0</v>
      </c>
      <c r="AC210" s="83" t="str">
        <f t="shared" si="43"/>
        <v>食火蜥碎片</v>
      </c>
      <c r="AD210" s="15">
        <f t="shared" si="44"/>
        <v>80</v>
      </c>
    </row>
    <row r="211" spans="9:30" ht="16.5" x14ac:dyDescent="0.2">
      <c r="I211" s="34">
        <v>174</v>
      </c>
      <c r="J211" s="15">
        <f t="shared" si="34"/>
        <v>1102009</v>
      </c>
      <c r="K211" s="15">
        <f t="shared" si="35"/>
        <v>4</v>
      </c>
      <c r="L211" s="15">
        <f t="shared" si="36"/>
        <v>6</v>
      </c>
      <c r="M211" s="15" t="str">
        <f t="shared" si="37"/>
        <v>黄</v>
      </c>
      <c r="N211" s="15" t="str">
        <f t="shared" si="38"/>
        <v>金币</v>
      </c>
      <c r="O211" s="15">
        <f>IF(L211&gt;1,INDEX(挂机升级突破!$AI$35:$AI$55,卡牌消耗!L211),"")</f>
        <v>17500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83">
        <v>174</v>
      </c>
      <c r="X211" s="83">
        <f t="shared" si="39"/>
        <v>35</v>
      </c>
      <c r="Y211" s="83">
        <f t="shared" si="40"/>
        <v>1102019</v>
      </c>
      <c r="Z211" s="83">
        <f t="shared" si="41"/>
        <v>4</v>
      </c>
      <c r="AA211" s="83" t="s">
        <v>817</v>
      </c>
      <c r="AB211" s="15">
        <f t="shared" si="42"/>
        <v>0</v>
      </c>
      <c r="AC211" s="83" t="str">
        <f t="shared" si="43"/>
        <v>食火蜥碎片</v>
      </c>
      <c r="AD211" s="15">
        <f t="shared" si="44"/>
        <v>120</v>
      </c>
    </row>
    <row r="212" spans="9:30" ht="16.5" x14ac:dyDescent="0.2">
      <c r="I212" s="34">
        <v>175</v>
      </c>
      <c r="J212" s="15">
        <f t="shared" si="34"/>
        <v>1102009</v>
      </c>
      <c r="K212" s="15">
        <f t="shared" si="35"/>
        <v>4</v>
      </c>
      <c r="L212" s="15">
        <f t="shared" si="36"/>
        <v>7</v>
      </c>
      <c r="M212" s="15" t="str">
        <f t="shared" si="37"/>
        <v>黄</v>
      </c>
      <c r="N212" s="15" t="str">
        <f t="shared" si="38"/>
        <v>金币</v>
      </c>
      <c r="O212" s="15">
        <f>IF(L212&gt;1,INDEX(挂机升级突破!$AI$35:$AI$55,卡牌消耗!L212),"")</f>
        <v>19500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83">
        <v>175</v>
      </c>
      <c r="X212" s="83">
        <f t="shared" si="39"/>
        <v>35</v>
      </c>
      <c r="Y212" s="83">
        <f t="shared" si="40"/>
        <v>1102019</v>
      </c>
      <c r="Z212" s="83">
        <f t="shared" si="41"/>
        <v>5</v>
      </c>
      <c r="AA212" s="83" t="s">
        <v>817</v>
      </c>
      <c r="AB212" s="15">
        <f t="shared" si="42"/>
        <v>0</v>
      </c>
      <c r="AC212" s="83" t="str">
        <f t="shared" si="43"/>
        <v>食火蜥碎片</v>
      </c>
      <c r="AD212" s="15">
        <f t="shared" si="44"/>
        <v>160</v>
      </c>
    </row>
    <row r="213" spans="9:30" ht="16.5" x14ac:dyDescent="0.2">
      <c r="I213" s="34">
        <v>176</v>
      </c>
      <c r="J213" s="15">
        <f t="shared" si="34"/>
        <v>1102009</v>
      </c>
      <c r="K213" s="15">
        <f t="shared" si="35"/>
        <v>4</v>
      </c>
      <c r="L213" s="15">
        <f t="shared" si="36"/>
        <v>8</v>
      </c>
      <c r="M213" s="15" t="str">
        <f t="shared" si="37"/>
        <v>黄</v>
      </c>
      <c r="N213" s="15" t="str">
        <f t="shared" si="38"/>
        <v>金币</v>
      </c>
      <c r="O213" s="15">
        <f>IF(L213&gt;1,INDEX(挂机升级突破!$AI$35:$AI$55,卡牌消耗!L213),"")</f>
        <v>22000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83">
        <v>176</v>
      </c>
      <c r="X213" s="83">
        <f t="shared" si="39"/>
        <v>36</v>
      </c>
      <c r="Y213" s="83">
        <f t="shared" si="40"/>
        <v>1102020</v>
      </c>
      <c r="Z213" s="83">
        <f t="shared" ref="Z213:Z227" si="45">MOD(W213-1,5)+1</f>
        <v>1</v>
      </c>
      <c r="AA213" s="83" t="s">
        <v>817</v>
      </c>
      <c r="AB213" s="15">
        <f t="shared" ref="AB213:AB227" si="46">INDEX($N$13:$Q$17,Z213,INDEX($C$38:$C$75,X213)-1)</f>
        <v>0</v>
      </c>
      <c r="AC213" s="83" t="str">
        <f t="shared" ref="AC213:AC227" si="47">INDEX($B$38:$B$75,X213)&amp;"碎片"</f>
        <v>高顺碎片</v>
      </c>
      <c r="AD213" s="15">
        <f t="shared" si="44"/>
        <v>40</v>
      </c>
    </row>
    <row r="214" spans="9:30" ht="16.5" x14ac:dyDescent="0.2">
      <c r="I214" s="34">
        <v>177</v>
      </c>
      <c r="J214" s="15">
        <f t="shared" si="34"/>
        <v>1102009</v>
      </c>
      <c r="K214" s="15">
        <f t="shared" si="35"/>
        <v>4</v>
      </c>
      <c r="L214" s="15">
        <f t="shared" si="36"/>
        <v>9</v>
      </c>
      <c r="M214" s="15" t="str">
        <f t="shared" si="37"/>
        <v>黄</v>
      </c>
      <c r="N214" s="15" t="str">
        <f t="shared" si="38"/>
        <v>金币</v>
      </c>
      <c r="O214" s="15">
        <f>IF(L214&gt;1,INDEX(挂机升级突破!$AI$35:$AI$55,卡牌消耗!L214),"")</f>
        <v>25000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83">
        <v>177</v>
      </c>
      <c r="X214" s="83">
        <f t="shared" si="39"/>
        <v>36</v>
      </c>
      <c r="Y214" s="83">
        <f t="shared" si="40"/>
        <v>1102020</v>
      </c>
      <c r="Z214" s="83">
        <f t="shared" si="45"/>
        <v>2</v>
      </c>
      <c r="AA214" s="83" t="s">
        <v>817</v>
      </c>
      <c r="AB214" s="15">
        <f t="shared" si="46"/>
        <v>0</v>
      </c>
      <c r="AC214" s="83" t="str">
        <f t="shared" si="47"/>
        <v>高顺碎片</v>
      </c>
      <c r="AD214" s="15">
        <f t="shared" si="44"/>
        <v>80</v>
      </c>
    </row>
    <row r="215" spans="9:30" ht="16.5" x14ac:dyDescent="0.2">
      <c r="I215" s="34">
        <v>178</v>
      </c>
      <c r="J215" s="15">
        <f t="shared" si="34"/>
        <v>1102009</v>
      </c>
      <c r="K215" s="15">
        <f t="shared" si="35"/>
        <v>4</v>
      </c>
      <c r="L215" s="15">
        <f t="shared" si="36"/>
        <v>10</v>
      </c>
      <c r="M215" s="15" t="str">
        <f t="shared" si="37"/>
        <v>黄</v>
      </c>
      <c r="N215" s="15" t="str">
        <f t="shared" si="38"/>
        <v>金币</v>
      </c>
      <c r="O215" s="15">
        <f>IF(L215&gt;1,INDEX(挂机升级突破!$AI$35:$AI$55,卡牌消耗!L215),"")</f>
        <v>27500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83">
        <v>178</v>
      </c>
      <c r="X215" s="83">
        <f t="shared" si="39"/>
        <v>36</v>
      </c>
      <c r="Y215" s="83">
        <f t="shared" si="40"/>
        <v>1102020</v>
      </c>
      <c r="Z215" s="83">
        <f t="shared" si="45"/>
        <v>3</v>
      </c>
      <c r="AA215" s="83" t="s">
        <v>817</v>
      </c>
      <c r="AB215" s="15">
        <f t="shared" si="46"/>
        <v>0</v>
      </c>
      <c r="AC215" s="83" t="str">
        <f t="shared" si="47"/>
        <v>高顺碎片</v>
      </c>
      <c r="AD215" s="15">
        <f t="shared" si="44"/>
        <v>120</v>
      </c>
    </row>
    <row r="216" spans="9:30" ht="16.5" x14ac:dyDescent="0.2">
      <c r="I216" s="34">
        <v>179</v>
      </c>
      <c r="J216" s="15">
        <f t="shared" si="34"/>
        <v>1102009</v>
      </c>
      <c r="K216" s="15">
        <f t="shared" si="35"/>
        <v>4</v>
      </c>
      <c r="L216" s="15">
        <f t="shared" si="36"/>
        <v>11</v>
      </c>
      <c r="M216" s="15" t="str">
        <f t="shared" si="37"/>
        <v>黄</v>
      </c>
      <c r="N216" s="15" t="str">
        <f t="shared" si="38"/>
        <v>金币</v>
      </c>
      <c r="O216" s="15">
        <f>IF(L216&gt;1,INDEX(挂机升级突破!$AI$35:$AI$55,卡牌消耗!L216),"")</f>
        <v>30000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83">
        <v>179</v>
      </c>
      <c r="X216" s="83">
        <f t="shared" si="39"/>
        <v>36</v>
      </c>
      <c r="Y216" s="83">
        <f t="shared" si="40"/>
        <v>1102020</v>
      </c>
      <c r="Z216" s="83">
        <f t="shared" si="45"/>
        <v>4</v>
      </c>
      <c r="AA216" s="83" t="s">
        <v>817</v>
      </c>
      <c r="AB216" s="15">
        <f t="shared" si="46"/>
        <v>0</v>
      </c>
      <c r="AC216" s="83" t="str">
        <f t="shared" si="47"/>
        <v>高顺碎片</v>
      </c>
      <c r="AD216" s="15">
        <f t="shared" si="44"/>
        <v>160</v>
      </c>
    </row>
    <row r="217" spans="9:30" ht="16.5" x14ac:dyDescent="0.2">
      <c r="I217" s="34">
        <v>180</v>
      </c>
      <c r="J217" s="15">
        <f t="shared" si="34"/>
        <v>1102009</v>
      </c>
      <c r="K217" s="15">
        <f t="shared" si="35"/>
        <v>4</v>
      </c>
      <c r="L217" s="15">
        <f t="shared" si="36"/>
        <v>12</v>
      </c>
      <c r="M217" s="15" t="str">
        <f t="shared" si="37"/>
        <v>黄</v>
      </c>
      <c r="N217" s="15" t="str">
        <f t="shared" si="38"/>
        <v>金币</v>
      </c>
      <c r="O217" s="15">
        <f>IF(L217&gt;1,INDEX(挂机升级突破!$AI$35:$AI$55,卡牌消耗!L217),"")</f>
        <v>32000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83">
        <v>180</v>
      </c>
      <c r="X217" s="83">
        <f t="shared" si="39"/>
        <v>36</v>
      </c>
      <c r="Y217" s="83">
        <f t="shared" si="40"/>
        <v>1102020</v>
      </c>
      <c r="Z217" s="83">
        <f t="shared" si="45"/>
        <v>5</v>
      </c>
      <c r="AA217" s="83" t="s">
        <v>817</v>
      </c>
      <c r="AB217" s="15">
        <f t="shared" si="46"/>
        <v>0</v>
      </c>
      <c r="AC217" s="83" t="str">
        <f t="shared" si="47"/>
        <v>高顺碎片</v>
      </c>
      <c r="AD217" s="15">
        <f t="shared" si="44"/>
        <v>240</v>
      </c>
    </row>
    <row r="218" spans="9:30" ht="16.5" x14ac:dyDescent="0.2">
      <c r="I218" s="34">
        <v>181</v>
      </c>
      <c r="J218" s="15">
        <f t="shared" si="34"/>
        <v>1102009</v>
      </c>
      <c r="K218" s="15">
        <f t="shared" si="35"/>
        <v>4</v>
      </c>
      <c r="L218" s="15">
        <f t="shared" si="36"/>
        <v>13</v>
      </c>
      <c r="M218" s="15" t="str">
        <f t="shared" si="37"/>
        <v>黄</v>
      </c>
      <c r="N218" s="15" t="str">
        <f t="shared" si="38"/>
        <v>金币</v>
      </c>
      <c r="O218" s="15">
        <f>IF(L218&gt;1,INDEX(挂机升级突破!$AI$35:$AI$55,卡牌消耗!L218),"")</f>
        <v>40500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83">
        <v>181</v>
      </c>
      <c r="X218" s="83">
        <f t="shared" si="39"/>
        <v>37</v>
      </c>
      <c r="Y218" s="83">
        <f t="shared" si="40"/>
        <v>1102021</v>
      </c>
      <c r="Z218" s="83">
        <f t="shared" si="45"/>
        <v>1</v>
      </c>
      <c r="AA218" s="83" t="s">
        <v>817</v>
      </c>
      <c r="AB218" s="15">
        <f t="shared" si="46"/>
        <v>0</v>
      </c>
      <c r="AC218" s="83" t="str">
        <f t="shared" si="47"/>
        <v>烈风螳螂碎片</v>
      </c>
      <c r="AD218" s="15">
        <f t="shared" si="44"/>
        <v>20</v>
      </c>
    </row>
    <row r="219" spans="9:30" ht="16.5" x14ac:dyDescent="0.2">
      <c r="I219" s="34">
        <v>182</v>
      </c>
      <c r="J219" s="15">
        <f t="shared" si="34"/>
        <v>1102009</v>
      </c>
      <c r="K219" s="15">
        <f t="shared" si="35"/>
        <v>4</v>
      </c>
      <c r="L219" s="15">
        <f t="shared" si="36"/>
        <v>14</v>
      </c>
      <c r="M219" s="15" t="str">
        <f t="shared" si="37"/>
        <v>黄</v>
      </c>
      <c r="N219" s="15" t="str">
        <f t="shared" si="38"/>
        <v>金币</v>
      </c>
      <c r="O219" s="15">
        <f>IF(L219&gt;1,INDEX(挂机升级突破!$AI$35:$AI$55,卡牌消耗!L219),"")</f>
        <v>54000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83">
        <v>182</v>
      </c>
      <c r="X219" s="83">
        <f t="shared" si="39"/>
        <v>37</v>
      </c>
      <c r="Y219" s="83">
        <f t="shared" si="40"/>
        <v>1102021</v>
      </c>
      <c r="Z219" s="83">
        <f t="shared" si="45"/>
        <v>2</v>
      </c>
      <c r="AA219" s="83" t="s">
        <v>817</v>
      </c>
      <c r="AB219" s="15">
        <f t="shared" si="46"/>
        <v>0</v>
      </c>
      <c r="AC219" s="83" t="str">
        <f t="shared" si="47"/>
        <v>烈风螳螂碎片</v>
      </c>
      <c r="AD219" s="15">
        <f t="shared" si="44"/>
        <v>40</v>
      </c>
    </row>
    <row r="220" spans="9:30" ht="16.5" x14ac:dyDescent="0.2">
      <c r="I220" s="34">
        <v>183</v>
      </c>
      <c r="J220" s="15">
        <f t="shared" si="34"/>
        <v>1102009</v>
      </c>
      <c r="K220" s="15">
        <f t="shared" si="35"/>
        <v>4</v>
      </c>
      <c r="L220" s="15">
        <f t="shared" si="36"/>
        <v>15</v>
      </c>
      <c r="M220" s="15" t="str">
        <f t="shared" si="37"/>
        <v>黄</v>
      </c>
      <c r="N220" s="15" t="str">
        <f t="shared" si="38"/>
        <v>金币</v>
      </c>
      <c r="O220" s="15">
        <f>IF(L220&gt;1,INDEX(挂机升级突破!$AI$35:$AI$55,卡牌消耗!L220),"")</f>
        <v>63000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83">
        <v>183</v>
      </c>
      <c r="X220" s="83">
        <f t="shared" si="39"/>
        <v>37</v>
      </c>
      <c r="Y220" s="83">
        <f t="shared" si="40"/>
        <v>1102021</v>
      </c>
      <c r="Z220" s="83">
        <f t="shared" si="45"/>
        <v>3</v>
      </c>
      <c r="AA220" s="83" t="s">
        <v>817</v>
      </c>
      <c r="AB220" s="15">
        <f t="shared" si="46"/>
        <v>0</v>
      </c>
      <c r="AC220" s="83" t="str">
        <f t="shared" si="47"/>
        <v>烈风螳螂碎片</v>
      </c>
      <c r="AD220" s="15">
        <f t="shared" si="44"/>
        <v>80</v>
      </c>
    </row>
    <row r="221" spans="9:30" ht="16.5" x14ac:dyDescent="0.2">
      <c r="I221" s="34">
        <v>184</v>
      </c>
      <c r="J221" s="15">
        <f t="shared" si="34"/>
        <v>1102009</v>
      </c>
      <c r="K221" s="15">
        <f t="shared" si="35"/>
        <v>4</v>
      </c>
      <c r="L221" s="15">
        <f t="shared" si="36"/>
        <v>16</v>
      </c>
      <c r="M221" s="15" t="str">
        <f t="shared" si="37"/>
        <v>黄</v>
      </c>
      <c r="N221" s="15" t="str">
        <f t="shared" si="38"/>
        <v>金币</v>
      </c>
      <c r="O221" s="15">
        <f>IF(L221&gt;1,INDEX(挂机升级突破!$AI$35:$AI$55,卡牌消耗!L221),"")</f>
        <v>73000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83">
        <v>184</v>
      </c>
      <c r="X221" s="83">
        <f t="shared" si="39"/>
        <v>37</v>
      </c>
      <c r="Y221" s="83">
        <f t="shared" si="40"/>
        <v>1102021</v>
      </c>
      <c r="Z221" s="83">
        <f t="shared" si="45"/>
        <v>4</v>
      </c>
      <c r="AA221" s="83" t="s">
        <v>817</v>
      </c>
      <c r="AB221" s="15">
        <f t="shared" si="46"/>
        <v>0</v>
      </c>
      <c r="AC221" s="83" t="str">
        <f t="shared" si="47"/>
        <v>烈风螳螂碎片</v>
      </c>
      <c r="AD221" s="15">
        <f t="shared" si="44"/>
        <v>120</v>
      </c>
    </row>
    <row r="222" spans="9:30" ht="16.5" x14ac:dyDescent="0.2">
      <c r="I222" s="34">
        <v>185</v>
      </c>
      <c r="J222" s="15">
        <f t="shared" si="34"/>
        <v>1102009</v>
      </c>
      <c r="K222" s="15">
        <f t="shared" si="35"/>
        <v>4</v>
      </c>
      <c r="L222" s="15">
        <f t="shared" si="36"/>
        <v>17</v>
      </c>
      <c r="M222" s="15" t="str">
        <f t="shared" si="37"/>
        <v>黄</v>
      </c>
      <c r="N222" s="15" t="str">
        <f t="shared" si="38"/>
        <v>金币</v>
      </c>
      <c r="O222" s="15">
        <f>IF(L222&gt;1,INDEX(挂机升级突破!$AI$35:$AI$55,卡牌消耗!L222),"")</f>
        <v>76000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83">
        <v>185</v>
      </c>
      <c r="X222" s="83">
        <f t="shared" si="39"/>
        <v>37</v>
      </c>
      <c r="Y222" s="83">
        <f t="shared" si="40"/>
        <v>1102021</v>
      </c>
      <c r="Z222" s="83">
        <f t="shared" si="45"/>
        <v>5</v>
      </c>
      <c r="AA222" s="83" t="s">
        <v>817</v>
      </c>
      <c r="AB222" s="15">
        <f t="shared" si="46"/>
        <v>0</v>
      </c>
      <c r="AC222" s="83" t="str">
        <f t="shared" si="47"/>
        <v>烈风螳螂碎片</v>
      </c>
      <c r="AD222" s="15">
        <f t="shared" si="44"/>
        <v>160</v>
      </c>
    </row>
    <row r="223" spans="9:30" ht="16.5" x14ac:dyDescent="0.2">
      <c r="I223" s="34">
        <v>186</v>
      </c>
      <c r="J223" s="15">
        <f t="shared" si="34"/>
        <v>1102009</v>
      </c>
      <c r="K223" s="15">
        <f t="shared" si="35"/>
        <v>4</v>
      </c>
      <c r="L223" s="15">
        <f t="shared" si="36"/>
        <v>18</v>
      </c>
      <c r="M223" s="15" t="str">
        <f t="shared" si="37"/>
        <v>黄</v>
      </c>
      <c r="N223" s="15" t="str">
        <f t="shared" si="38"/>
        <v>金币</v>
      </c>
      <c r="O223" s="15">
        <f>IF(L223&gt;1,INDEX(挂机升级突破!$AI$35:$AI$55,卡牌消耗!L223),"")</f>
        <v>106500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83">
        <v>186</v>
      </c>
      <c r="X223" s="83">
        <f t="shared" si="39"/>
        <v>38</v>
      </c>
      <c r="Y223" s="83">
        <f t="shared" si="40"/>
        <v>1102050</v>
      </c>
      <c r="Z223" s="83">
        <f t="shared" si="45"/>
        <v>1</v>
      </c>
      <c r="AA223" s="83" t="s">
        <v>817</v>
      </c>
      <c r="AB223" s="15">
        <f t="shared" si="46"/>
        <v>0</v>
      </c>
      <c r="AC223" s="83" t="str">
        <f t="shared" si="47"/>
        <v>柠檬精碎片</v>
      </c>
      <c r="AD223" s="15">
        <f t="shared" si="44"/>
        <v>20</v>
      </c>
    </row>
    <row r="224" spans="9:30" ht="16.5" x14ac:dyDescent="0.2">
      <c r="I224" s="34">
        <v>187</v>
      </c>
      <c r="J224" s="15">
        <f t="shared" si="34"/>
        <v>1102009</v>
      </c>
      <c r="K224" s="15">
        <f t="shared" si="35"/>
        <v>4</v>
      </c>
      <c r="L224" s="15">
        <f t="shared" si="36"/>
        <v>19</v>
      </c>
      <c r="M224" s="15" t="str">
        <f t="shared" si="37"/>
        <v>黄</v>
      </c>
      <c r="N224" s="15" t="str">
        <f t="shared" si="38"/>
        <v>金币</v>
      </c>
      <c r="O224" s="15">
        <f>IF(L224&gt;1,INDEX(挂机升级突破!$AI$35:$AI$55,卡牌消耗!L224),"")</f>
        <v>142000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83">
        <v>187</v>
      </c>
      <c r="X224" s="83">
        <f t="shared" si="39"/>
        <v>38</v>
      </c>
      <c r="Y224" s="83">
        <f t="shared" si="40"/>
        <v>1102050</v>
      </c>
      <c r="Z224" s="83">
        <f t="shared" si="45"/>
        <v>2</v>
      </c>
      <c r="AA224" s="83" t="s">
        <v>817</v>
      </c>
      <c r="AB224" s="15">
        <f t="shared" si="46"/>
        <v>0</v>
      </c>
      <c r="AC224" s="83" t="str">
        <f t="shared" si="47"/>
        <v>柠檬精碎片</v>
      </c>
      <c r="AD224" s="15">
        <f t="shared" si="44"/>
        <v>40</v>
      </c>
    </row>
    <row r="225" spans="9:30" ht="16.5" x14ac:dyDescent="0.2">
      <c r="I225" s="34">
        <v>188</v>
      </c>
      <c r="J225" s="15">
        <f t="shared" si="34"/>
        <v>1102009</v>
      </c>
      <c r="K225" s="15">
        <f t="shared" si="35"/>
        <v>4</v>
      </c>
      <c r="L225" s="15">
        <f t="shared" si="36"/>
        <v>20</v>
      </c>
      <c r="M225" s="15" t="str">
        <f t="shared" si="37"/>
        <v>黄</v>
      </c>
      <c r="N225" s="15" t="str">
        <f t="shared" si="38"/>
        <v>金币</v>
      </c>
      <c r="O225" s="15">
        <f>IF(L225&gt;1,INDEX(挂机升级突破!$AI$35:$AI$55,卡牌消耗!L225),"")</f>
        <v>177500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83">
        <v>188</v>
      </c>
      <c r="X225" s="83">
        <f t="shared" si="39"/>
        <v>38</v>
      </c>
      <c r="Y225" s="83">
        <f t="shared" si="40"/>
        <v>1102050</v>
      </c>
      <c r="Z225" s="83">
        <f t="shared" si="45"/>
        <v>3</v>
      </c>
      <c r="AA225" s="83" t="s">
        <v>817</v>
      </c>
      <c r="AB225" s="15">
        <f t="shared" si="46"/>
        <v>0</v>
      </c>
      <c r="AC225" s="83" t="str">
        <f t="shared" si="47"/>
        <v>柠檬精碎片</v>
      </c>
      <c r="AD225" s="15">
        <f t="shared" si="44"/>
        <v>80</v>
      </c>
    </row>
    <row r="226" spans="9:30" ht="16.5" x14ac:dyDescent="0.2">
      <c r="I226" s="34">
        <v>189</v>
      </c>
      <c r="J226" s="15">
        <f t="shared" si="34"/>
        <v>1102009</v>
      </c>
      <c r="K226" s="15">
        <f t="shared" si="35"/>
        <v>4</v>
      </c>
      <c r="L226" s="15">
        <f t="shared" si="36"/>
        <v>21</v>
      </c>
      <c r="M226" s="15" t="str">
        <f t="shared" si="37"/>
        <v>黄</v>
      </c>
      <c r="N226" s="15" t="str">
        <f t="shared" si="38"/>
        <v>金币</v>
      </c>
      <c r="O226" s="15">
        <f>IF(L226&gt;1,INDEX(挂机升级突破!$AI$35:$AI$55,卡牌消耗!L226),"")</f>
        <v>213000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83">
        <v>189</v>
      </c>
      <c r="X226" s="83">
        <f t="shared" si="39"/>
        <v>38</v>
      </c>
      <c r="Y226" s="83">
        <f t="shared" si="40"/>
        <v>1102050</v>
      </c>
      <c r="Z226" s="83">
        <f t="shared" si="45"/>
        <v>4</v>
      </c>
      <c r="AA226" s="83" t="s">
        <v>817</v>
      </c>
      <c r="AB226" s="15">
        <f t="shared" si="46"/>
        <v>0</v>
      </c>
      <c r="AC226" s="83" t="str">
        <f t="shared" si="47"/>
        <v>柠檬精碎片</v>
      </c>
      <c r="AD226" s="15">
        <f t="shared" si="44"/>
        <v>120</v>
      </c>
    </row>
    <row r="227" spans="9:30" ht="16.5" x14ac:dyDescent="0.2">
      <c r="I227" s="34">
        <v>190</v>
      </c>
      <c r="J227" s="15">
        <f t="shared" si="34"/>
        <v>1102010</v>
      </c>
      <c r="K227" s="15">
        <f t="shared" si="35"/>
        <v>5</v>
      </c>
      <c r="L227" s="15">
        <f t="shared" si="36"/>
        <v>1</v>
      </c>
      <c r="M227" s="15" t="str">
        <f t="shared" si="37"/>
        <v>红</v>
      </c>
      <c r="N227" s="15" t="str">
        <f t="shared" si="38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83">
        <v>190</v>
      </c>
      <c r="X227" s="83">
        <f t="shared" si="39"/>
        <v>38</v>
      </c>
      <c r="Y227" s="83">
        <f t="shared" si="40"/>
        <v>1102050</v>
      </c>
      <c r="Z227" s="83">
        <f t="shared" si="45"/>
        <v>5</v>
      </c>
      <c r="AA227" s="83" t="s">
        <v>817</v>
      </c>
      <c r="AB227" s="15">
        <f t="shared" si="46"/>
        <v>0</v>
      </c>
      <c r="AC227" s="83" t="str">
        <f t="shared" si="47"/>
        <v>柠檬精碎片</v>
      </c>
      <c r="AD227" s="15">
        <f t="shared" si="44"/>
        <v>160</v>
      </c>
    </row>
    <row r="228" spans="9:30" ht="16.5" x14ac:dyDescent="0.2">
      <c r="I228" s="34">
        <v>191</v>
      </c>
      <c r="J228" s="15">
        <f t="shared" si="34"/>
        <v>1102010</v>
      </c>
      <c r="K228" s="15">
        <f t="shared" si="35"/>
        <v>5</v>
      </c>
      <c r="L228" s="15">
        <f t="shared" si="36"/>
        <v>2</v>
      </c>
      <c r="M228" s="15" t="str">
        <f t="shared" si="37"/>
        <v>红</v>
      </c>
      <c r="N228" s="15" t="str">
        <f t="shared" si="38"/>
        <v>金币</v>
      </c>
      <c r="O228" s="15">
        <f>IF(L228&gt;1,INDEX(挂机升级突破!$AI$35:$AI$55,卡牌消耗!L228),"")</f>
        <v>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4">
        <v>192</v>
      </c>
      <c r="J229" s="15">
        <f t="shared" si="34"/>
        <v>1102010</v>
      </c>
      <c r="K229" s="15">
        <f t="shared" si="35"/>
        <v>5</v>
      </c>
      <c r="L229" s="15">
        <f t="shared" si="36"/>
        <v>3</v>
      </c>
      <c r="M229" s="15" t="str">
        <f t="shared" si="37"/>
        <v>红</v>
      </c>
      <c r="N229" s="15" t="str">
        <f t="shared" si="38"/>
        <v>金币</v>
      </c>
      <c r="O229" s="15">
        <f>IF(L229&gt;1,INDEX(挂机升级突破!$AI$35:$AI$55,卡牌消耗!L229),"")</f>
        <v>2500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4">
        <v>193</v>
      </c>
      <c r="J230" s="15">
        <f t="shared" si="34"/>
        <v>1102010</v>
      </c>
      <c r="K230" s="15">
        <f t="shared" si="35"/>
        <v>5</v>
      </c>
      <c r="L230" s="15">
        <f t="shared" si="36"/>
        <v>4</v>
      </c>
      <c r="M230" s="15" t="str">
        <f t="shared" si="37"/>
        <v>红</v>
      </c>
      <c r="N230" s="15" t="str">
        <f t="shared" si="38"/>
        <v>金币</v>
      </c>
      <c r="O230" s="15">
        <f>IF(L230&gt;1,INDEX(挂机升级突破!$AI$35:$AI$55,卡牌消耗!L230),"")</f>
        <v>5500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4">
        <v>194</v>
      </c>
      <c r="J231" s="15">
        <f t="shared" ref="J231:J294" si="48">INDEX($A$13:$A$34,INT((I231-1)/21)+1)</f>
        <v>1102010</v>
      </c>
      <c r="K231" s="15">
        <f t="shared" ref="K231:K294" si="49">VLOOKUP(J231,$A$13:$D$34,3)</f>
        <v>5</v>
      </c>
      <c r="L231" s="15">
        <f t="shared" ref="L231:L294" si="50">MOD((I231-1),21)+1</f>
        <v>5</v>
      </c>
      <c r="M231" s="15" t="str">
        <f t="shared" ref="M231:M294" si="51">INDEX($J$2:$L$2,INDEX($E$13:$E$34,INT((I231-1)/21)+1))</f>
        <v>红</v>
      </c>
      <c r="N231" s="15" t="str">
        <f t="shared" ref="N231:N294" si="52">IF(L231&gt;1,"金币","")</f>
        <v>金币</v>
      </c>
      <c r="O231" s="15">
        <f>IF(L231&gt;1,INDEX(挂机升级突破!$AI$35:$AI$55,卡牌消耗!L231),"")</f>
        <v>7500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4">
        <v>195</v>
      </c>
      <c r="J232" s="15">
        <f t="shared" si="48"/>
        <v>1102010</v>
      </c>
      <c r="K232" s="15">
        <f t="shared" si="49"/>
        <v>5</v>
      </c>
      <c r="L232" s="15">
        <f t="shared" si="50"/>
        <v>6</v>
      </c>
      <c r="M232" s="15" t="str">
        <f t="shared" si="51"/>
        <v>红</v>
      </c>
      <c r="N232" s="15" t="str">
        <f t="shared" si="52"/>
        <v>金币</v>
      </c>
      <c r="O232" s="15">
        <f>IF(L232&gt;1,INDEX(挂机升级突破!$AI$35:$AI$55,卡牌消耗!L232),"")</f>
        <v>17500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4">
        <v>196</v>
      </c>
      <c r="J233" s="15">
        <f t="shared" si="48"/>
        <v>1102010</v>
      </c>
      <c r="K233" s="15">
        <f t="shared" si="49"/>
        <v>5</v>
      </c>
      <c r="L233" s="15">
        <f t="shared" si="50"/>
        <v>7</v>
      </c>
      <c r="M233" s="15" t="str">
        <f t="shared" si="51"/>
        <v>红</v>
      </c>
      <c r="N233" s="15" t="str">
        <f t="shared" si="52"/>
        <v>金币</v>
      </c>
      <c r="O233" s="15">
        <f>IF(L233&gt;1,INDEX(挂机升级突破!$AI$35:$AI$55,卡牌消耗!L233),"")</f>
        <v>19500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4">
        <v>197</v>
      </c>
      <c r="J234" s="15">
        <f t="shared" si="48"/>
        <v>1102010</v>
      </c>
      <c r="K234" s="15">
        <f t="shared" si="49"/>
        <v>5</v>
      </c>
      <c r="L234" s="15">
        <f t="shared" si="50"/>
        <v>8</v>
      </c>
      <c r="M234" s="15" t="str">
        <f t="shared" si="51"/>
        <v>红</v>
      </c>
      <c r="N234" s="15" t="str">
        <f t="shared" si="52"/>
        <v>金币</v>
      </c>
      <c r="O234" s="15">
        <f>IF(L234&gt;1,INDEX(挂机升级突破!$AI$35:$AI$55,卡牌消耗!L234),"")</f>
        <v>22000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4">
        <v>198</v>
      </c>
      <c r="J235" s="15">
        <f t="shared" si="48"/>
        <v>1102010</v>
      </c>
      <c r="K235" s="15">
        <f t="shared" si="49"/>
        <v>5</v>
      </c>
      <c r="L235" s="15">
        <f t="shared" si="50"/>
        <v>9</v>
      </c>
      <c r="M235" s="15" t="str">
        <f t="shared" si="51"/>
        <v>红</v>
      </c>
      <c r="N235" s="15" t="str">
        <f t="shared" si="52"/>
        <v>金币</v>
      </c>
      <c r="O235" s="15">
        <f>IF(L235&gt;1,INDEX(挂机升级突破!$AI$35:$AI$55,卡牌消耗!L235),"")</f>
        <v>25000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4">
        <v>199</v>
      </c>
      <c r="J236" s="15">
        <f t="shared" si="48"/>
        <v>1102010</v>
      </c>
      <c r="K236" s="15">
        <f t="shared" si="49"/>
        <v>5</v>
      </c>
      <c r="L236" s="15">
        <f t="shared" si="50"/>
        <v>10</v>
      </c>
      <c r="M236" s="15" t="str">
        <f t="shared" si="51"/>
        <v>红</v>
      </c>
      <c r="N236" s="15" t="str">
        <f t="shared" si="52"/>
        <v>金币</v>
      </c>
      <c r="O236" s="15">
        <f>IF(L236&gt;1,INDEX(挂机升级突破!$AI$35:$AI$55,卡牌消耗!L236),"")</f>
        <v>27500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4">
        <v>200</v>
      </c>
      <c r="J237" s="15">
        <f t="shared" si="48"/>
        <v>1102010</v>
      </c>
      <c r="K237" s="15">
        <f t="shared" si="49"/>
        <v>5</v>
      </c>
      <c r="L237" s="15">
        <f t="shared" si="50"/>
        <v>11</v>
      </c>
      <c r="M237" s="15" t="str">
        <f t="shared" si="51"/>
        <v>红</v>
      </c>
      <c r="N237" s="15" t="str">
        <f t="shared" si="52"/>
        <v>金币</v>
      </c>
      <c r="O237" s="15">
        <f>IF(L237&gt;1,INDEX(挂机升级突破!$AI$35:$AI$55,卡牌消耗!L237),"")</f>
        <v>30000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4">
        <v>201</v>
      </c>
      <c r="J238" s="15">
        <f t="shared" si="48"/>
        <v>1102010</v>
      </c>
      <c r="K238" s="15">
        <f t="shared" si="49"/>
        <v>5</v>
      </c>
      <c r="L238" s="15">
        <f t="shared" si="50"/>
        <v>12</v>
      </c>
      <c r="M238" s="15" t="str">
        <f t="shared" si="51"/>
        <v>红</v>
      </c>
      <c r="N238" s="15" t="str">
        <f t="shared" si="52"/>
        <v>金币</v>
      </c>
      <c r="O238" s="15">
        <f>IF(L238&gt;1,INDEX(挂机升级突破!$AI$35:$AI$55,卡牌消耗!L238),"")</f>
        <v>32000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4">
        <v>202</v>
      </c>
      <c r="J239" s="15">
        <f t="shared" si="48"/>
        <v>1102010</v>
      </c>
      <c r="K239" s="15">
        <f t="shared" si="49"/>
        <v>5</v>
      </c>
      <c r="L239" s="15">
        <f t="shared" si="50"/>
        <v>13</v>
      </c>
      <c r="M239" s="15" t="str">
        <f t="shared" si="51"/>
        <v>红</v>
      </c>
      <c r="N239" s="15" t="str">
        <f t="shared" si="52"/>
        <v>金币</v>
      </c>
      <c r="O239" s="15">
        <f>IF(L239&gt;1,INDEX(挂机升级突破!$AI$35:$AI$55,卡牌消耗!L239),"")</f>
        <v>40500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4">
        <v>203</v>
      </c>
      <c r="J240" s="15">
        <f t="shared" si="48"/>
        <v>1102010</v>
      </c>
      <c r="K240" s="15">
        <f t="shared" si="49"/>
        <v>5</v>
      </c>
      <c r="L240" s="15">
        <f t="shared" si="50"/>
        <v>14</v>
      </c>
      <c r="M240" s="15" t="str">
        <f t="shared" si="51"/>
        <v>红</v>
      </c>
      <c r="N240" s="15" t="str">
        <f t="shared" si="52"/>
        <v>金币</v>
      </c>
      <c r="O240" s="15">
        <f>IF(L240&gt;1,INDEX(挂机升级突破!$AI$35:$AI$55,卡牌消耗!L240),"")</f>
        <v>54000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4">
        <v>204</v>
      </c>
      <c r="J241" s="15">
        <f t="shared" si="48"/>
        <v>1102010</v>
      </c>
      <c r="K241" s="15">
        <f t="shared" si="49"/>
        <v>5</v>
      </c>
      <c r="L241" s="15">
        <f t="shared" si="50"/>
        <v>15</v>
      </c>
      <c r="M241" s="15" t="str">
        <f t="shared" si="51"/>
        <v>红</v>
      </c>
      <c r="N241" s="15" t="str">
        <f t="shared" si="52"/>
        <v>金币</v>
      </c>
      <c r="O241" s="15">
        <f>IF(L241&gt;1,INDEX(挂机升级突破!$AI$35:$AI$55,卡牌消耗!L241),"")</f>
        <v>63000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4">
        <v>205</v>
      </c>
      <c r="J242" s="15">
        <f t="shared" si="48"/>
        <v>1102010</v>
      </c>
      <c r="K242" s="15">
        <f t="shared" si="49"/>
        <v>5</v>
      </c>
      <c r="L242" s="15">
        <f t="shared" si="50"/>
        <v>16</v>
      </c>
      <c r="M242" s="15" t="str">
        <f t="shared" si="51"/>
        <v>红</v>
      </c>
      <c r="N242" s="15" t="str">
        <f t="shared" si="52"/>
        <v>金币</v>
      </c>
      <c r="O242" s="15">
        <f>IF(L242&gt;1,INDEX(挂机升级突破!$AI$35:$AI$55,卡牌消耗!L242),"")</f>
        <v>73000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4">
        <v>206</v>
      </c>
      <c r="J243" s="15">
        <f t="shared" si="48"/>
        <v>1102010</v>
      </c>
      <c r="K243" s="15">
        <f t="shared" si="49"/>
        <v>5</v>
      </c>
      <c r="L243" s="15">
        <f t="shared" si="50"/>
        <v>17</v>
      </c>
      <c r="M243" s="15" t="str">
        <f t="shared" si="51"/>
        <v>红</v>
      </c>
      <c r="N243" s="15" t="str">
        <f t="shared" si="52"/>
        <v>金币</v>
      </c>
      <c r="O243" s="15">
        <f>IF(L243&gt;1,INDEX(挂机升级突破!$AI$35:$AI$55,卡牌消耗!L243),"")</f>
        <v>76000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4">
        <v>207</v>
      </c>
      <c r="J244" s="15">
        <f t="shared" si="48"/>
        <v>1102010</v>
      </c>
      <c r="K244" s="15">
        <f t="shared" si="49"/>
        <v>5</v>
      </c>
      <c r="L244" s="15">
        <f t="shared" si="50"/>
        <v>18</v>
      </c>
      <c r="M244" s="15" t="str">
        <f t="shared" si="51"/>
        <v>红</v>
      </c>
      <c r="N244" s="15" t="str">
        <f t="shared" si="52"/>
        <v>金币</v>
      </c>
      <c r="O244" s="15">
        <f>IF(L244&gt;1,INDEX(挂机升级突破!$AI$35:$AI$55,卡牌消耗!L244),"")</f>
        <v>106500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4">
        <v>208</v>
      </c>
      <c r="J245" s="15">
        <f t="shared" si="48"/>
        <v>1102010</v>
      </c>
      <c r="K245" s="15">
        <f t="shared" si="49"/>
        <v>5</v>
      </c>
      <c r="L245" s="15">
        <f t="shared" si="50"/>
        <v>19</v>
      </c>
      <c r="M245" s="15" t="str">
        <f t="shared" si="51"/>
        <v>红</v>
      </c>
      <c r="N245" s="15" t="str">
        <f t="shared" si="52"/>
        <v>金币</v>
      </c>
      <c r="O245" s="15">
        <f>IF(L245&gt;1,INDEX(挂机升级突破!$AI$35:$AI$55,卡牌消耗!L245),"")</f>
        <v>142000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4">
        <v>209</v>
      </c>
      <c r="J246" s="15">
        <f t="shared" si="48"/>
        <v>1102010</v>
      </c>
      <c r="K246" s="15">
        <f t="shared" si="49"/>
        <v>5</v>
      </c>
      <c r="L246" s="15">
        <f t="shared" si="50"/>
        <v>20</v>
      </c>
      <c r="M246" s="15" t="str">
        <f t="shared" si="51"/>
        <v>红</v>
      </c>
      <c r="N246" s="15" t="str">
        <f t="shared" si="52"/>
        <v>金币</v>
      </c>
      <c r="O246" s="15">
        <f>IF(L246&gt;1,INDEX(挂机升级突破!$AI$35:$AI$55,卡牌消耗!L246),"")</f>
        <v>177500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4">
        <v>210</v>
      </c>
      <c r="J247" s="15">
        <f t="shared" si="48"/>
        <v>1102010</v>
      </c>
      <c r="K247" s="15">
        <f t="shared" si="49"/>
        <v>5</v>
      </c>
      <c r="L247" s="15">
        <f t="shared" si="50"/>
        <v>21</v>
      </c>
      <c r="M247" s="15" t="str">
        <f t="shared" si="51"/>
        <v>红</v>
      </c>
      <c r="N247" s="15" t="str">
        <f t="shared" si="52"/>
        <v>金币</v>
      </c>
      <c r="O247" s="15">
        <f>IF(L247&gt;1,INDEX(挂机升级突破!$AI$35:$AI$55,卡牌消耗!L247),"")</f>
        <v>213000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4">
        <v>211</v>
      </c>
      <c r="J248" s="15">
        <f t="shared" si="48"/>
        <v>1102011</v>
      </c>
      <c r="K248" s="15">
        <f t="shared" si="49"/>
        <v>5</v>
      </c>
      <c r="L248" s="15">
        <f t="shared" si="50"/>
        <v>1</v>
      </c>
      <c r="M248" s="15" t="str">
        <f t="shared" si="51"/>
        <v>黄</v>
      </c>
      <c r="N248" s="15" t="str">
        <f t="shared" si="52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4">
        <v>212</v>
      </c>
      <c r="J249" s="15">
        <f t="shared" si="48"/>
        <v>1102011</v>
      </c>
      <c r="K249" s="15">
        <f t="shared" si="49"/>
        <v>5</v>
      </c>
      <c r="L249" s="15">
        <f t="shared" si="50"/>
        <v>2</v>
      </c>
      <c r="M249" s="15" t="str">
        <f t="shared" si="51"/>
        <v>黄</v>
      </c>
      <c r="N249" s="15" t="str">
        <f t="shared" si="52"/>
        <v>金币</v>
      </c>
      <c r="O249" s="15">
        <f>IF(L249&gt;1,INDEX(挂机升级突破!$AI$35:$AI$55,卡牌消耗!L249),"")</f>
        <v>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4">
        <v>213</v>
      </c>
      <c r="J250" s="15">
        <f t="shared" si="48"/>
        <v>1102011</v>
      </c>
      <c r="K250" s="15">
        <f t="shared" si="49"/>
        <v>5</v>
      </c>
      <c r="L250" s="15">
        <f t="shared" si="50"/>
        <v>3</v>
      </c>
      <c r="M250" s="15" t="str">
        <f t="shared" si="51"/>
        <v>黄</v>
      </c>
      <c r="N250" s="15" t="str">
        <f t="shared" si="52"/>
        <v>金币</v>
      </c>
      <c r="O250" s="15">
        <f>IF(L250&gt;1,INDEX(挂机升级突破!$AI$35:$AI$55,卡牌消耗!L250),"")</f>
        <v>2500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4">
        <v>214</v>
      </c>
      <c r="J251" s="15">
        <f t="shared" si="48"/>
        <v>1102011</v>
      </c>
      <c r="K251" s="15">
        <f t="shared" si="49"/>
        <v>5</v>
      </c>
      <c r="L251" s="15">
        <f t="shared" si="50"/>
        <v>4</v>
      </c>
      <c r="M251" s="15" t="str">
        <f t="shared" si="51"/>
        <v>黄</v>
      </c>
      <c r="N251" s="15" t="str">
        <f t="shared" si="52"/>
        <v>金币</v>
      </c>
      <c r="O251" s="15">
        <f>IF(L251&gt;1,INDEX(挂机升级突破!$AI$35:$AI$55,卡牌消耗!L251),"")</f>
        <v>5500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4">
        <v>215</v>
      </c>
      <c r="J252" s="15">
        <f t="shared" si="48"/>
        <v>1102011</v>
      </c>
      <c r="K252" s="15">
        <f t="shared" si="49"/>
        <v>5</v>
      </c>
      <c r="L252" s="15">
        <f t="shared" si="50"/>
        <v>5</v>
      </c>
      <c r="M252" s="15" t="str">
        <f t="shared" si="51"/>
        <v>黄</v>
      </c>
      <c r="N252" s="15" t="str">
        <f t="shared" si="52"/>
        <v>金币</v>
      </c>
      <c r="O252" s="15">
        <f>IF(L252&gt;1,INDEX(挂机升级突破!$AI$35:$AI$55,卡牌消耗!L252),"")</f>
        <v>7500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4">
        <v>216</v>
      </c>
      <c r="J253" s="15">
        <f t="shared" si="48"/>
        <v>1102011</v>
      </c>
      <c r="K253" s="15">
        <f t="shared" si="49"/>
        <v>5</v>
      </c>
      <c r="L253" s="15">
        <f t="shared" si="50"/>
        <v>6</v>
      </c>
      <c r="M253" s="15" t="str">
        <f t="shared" si="51"/>
        <v>黄</v>
      </c>
      <c r="N253" s="15" t="str">
        <f t="shared" si="52"/>
        <v>金币</v>
      </c>
      <c r="O253" s="15">
        <f>IF(L253&gt;1,INDEX(挂机升级突破!$AI$35:$AI$55,卡牌消耗!L253),"")</f>
        <v>17500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4">
        <v>217</v>
      </c>
      <c r="J254" s="15">
        <f t="shared" si="48"/>
        <v>1102011</v>
      </c>
      <c r="K254" s="15">
        <f t="shared" si="49"/>
        <v>5</v>
      </c>
      <c r="L254" s="15">
        <f t="shared" si="50"/>
        <v>7</v>
      </c>
      <c r="M254" s="15" t="str">
        <f t="shared" si="51"/>
        <v>黄</v>
      </c>
      <c r="N254" s="15" t="str">
        <f t="shared" si="52"/>
        <v>金币</v>
      </c>
      <c r="O254" s="15">
        <f>IF(L254&gt;1,INDEX(挂机升级突破!$AI$35:$AI$55,卡牌消耗!L254),"")</f>
        <v>19500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4">
        <v>218</v>
      </c>
      <c r="J255" s="15">
        <f t="shared" si="48"/>
        <v>1102011</v>
      </c>
      <c r="K255" s="15">
        <f t="shared" si="49"/>
        <v>5</v>
      </c>
      <c r="L255" s="15">
        <f t="shared" si="50"/>
        <v>8</v>
      </c>
      <c r="M255" s="15" t="str">
        <f t="shared" si="51"/>
        <v>黄</v>
      </c>
      <c r="N255" s="15" t="str">
        <f t="shared" si="52"/>
        <v>金币</v>
      </c>
      <c r="O255" s="15">
        <f>IF(L255&gt;1,INDEX(挂机升级突破!$AI$35:$AI$55,卡牌消耗!L255),"")</f>
        <v>22000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4">
        <v>219</v>
      </c>
      <c r="J256" s="15">
        <f t="shared" si="48"/>
        <v>1102011</v>
      </c>
      <c r="K256" s="15">
        <f t="shared" si="49"/>
        <v>5</v>
      </c>
      <c r="L256" s="15">
        <f t="shared" si="50"/>
        <v>9</v>
      </c>
      <c r="M256" s="15" t="str">
        <f t="shared" si="51"/>
        <v>黄</v>
      </c>
      <c r="N256" s="15" t="str">
        <f t="shared" si="52"/>
        <v>金币</v>
      </c>
      <c r="O256" s="15">
        <f>IF(L256&gt;1,INDEX(挂机升级突破!$AI$35:$AI$55,卡牌消耗!L256),"")</f>
        <v>25000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4">
        <v>220</v>
      </c>
      <c r="J257" s="15">
        <f t="shared" si="48"/>
        <v>1102011</v>
      </c>
      <c r="K257" s="15">
        <f t="shared" si="49"/>
        <v>5</v>
      </c>
      <c r="L257" s="15">
        <f t="shared" si="50"/>
        <v>10</v>
      </c>
      <c r="M257" s="15" t="str">
        <f t="shared" si="51"/>
        <v>黄</v>
      </c>
      <c r="N257" s="15" t="str">
        <f t="shared" si="52"/>
        <v>金币</v>
      </c>
      <c r="O257" s="15">
        <f>IF(L257&gt;1,INDEX(挂机升级突破!$AI$35:$AI$55,卡牌消耗!L257),"")</f>
        <v>27500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4">
        <v>221</v>
      </c>
      <c r="J258" s="15">
        <f t="shared" si="48"/>
        <v>1102011</v>
      </c>
      <c r="K258" s="15">
        <f t="shared" si="49"/>
        <v>5</v>
      </c>
      <c r="L258" s="15">
        <f t="shared" si="50"/>
        <v>11</v>
      </c>
      <c r="M258" s="15" t="str">
        <f t="shared" si="51"/>
        <v>黄</v>
      </c>
      <c r="N258" s="15" t="str">
        <f t="shared" si="52"/>
        <v>金币</v>
      </c>
      <c r="O258" s="15">
        <f>IF(L258&gt;1,INDEX(挂机升级突破!$AI$35:$AI$55,卡牌消耗!L258),"")</f>
        <v>30000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4">
        <v>222</v>
      </c>
      <c r="J259" s="15">
        <f t="shared" si="48"/>
        <v>1102011</v>
      </c>
      <c r="K259" s="15">
        <f t="shared" si="49"/>
        <v>5</v>
      </c>
      <c r="L259" s="15">
        <f t="shared" si="50"/>
        <v>12</v>
      </c>
      <c r="M259" s="15" t="str">
        <f t="shared" si="51"/>
        <v>黄</v>
      </c>
      <c r="N259" s="15" t="str">
        <f t="shared" si="52"/>
        <v>金币</v>
      </c>
      <c r="O259" s="15">
        <f>IF(L259&gt;1,INDEX(挂机升级突破!$AI$35:$AI$55,卡牌消耗!L259),"")</f>
        <v>32000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4">
        <v>223</v>
      </c>
      <c r="J260" s="15">
        <f t="shared" si="48"/>
        <v>1102011</v>
      </c>
      <c r="K260" s="15">
        <f t="shared" si="49"/>
        <v>5</v>
      </c>
      <c r="L260" s="15">
        <f t="shared" si="50"/>
        <v>13</v>
      </c>
      <c r="M260" s="15" t="str">
        <f t="shared" si="51"/>
        <v>黄</v>
      </c>
      <c r="N260" s="15" t="str">
        <f t="shared" si="52"/>
        <v>金币</v>
      </c>
      <c r="O260" s="15">
        <f>IF(L260&gt;1,INDEX(挂机升级突破!$AI$35:$AI$55,卡牌消耗!L260),"")</f>
        <v>40500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4">
        <v>224</v>
      </c>
      <c r="J261" s="15">
        <f t="shared" si="48"/>
        <v>1102011</v>
      </c>
      <c r="K261" s="15">
        <f t="shared" si="49"/>
        <v>5</v>
      </c>
      <c r="L261" s="15">
        <f t="shared" si="50"/>
        <v>14</v>
      </c>
      <c r="M261" s="15" t="str">
        <f t="shared" si="51"/>
        <v>黄</v>
      </c>
      <c r="N261" s="15" t="str">
        <f t="shared" si="52"/>
        <v>金币</v>
      </c>
      <c r="O261" s="15">
        <f>IF(L261&gt;1,INDEX(挂机升级突破!$AI$35:$AI$55,卡牌消耗!L261),"")</f>
        <v>54000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4">
        <v>225</v>
      </c>
      <c r="J262" s="15">
        <f t="shared" si="48"/>
        <v>1102011</v>
      </c>
      <c r="K262" s="15">
        <f t="shared" si="49"/>
        <v>5</v>
      </c>
      <c r="L262" s="15">
        <f t="shared" si="50"/>
        <v>15</v>
      </c>
      <c r="M262" s="15" t="str">
        <f t="shared" si="51"/>
        <v>黄</v>
      </c>
      <c r="N262" s="15" t="str">
        <f t="shared" si="52"/>
        <v>金币</v>
      </c>
      <c r="O262" s="15">
        <f>IF(L262&gt;1,INDEX(挂机升级突破!$AI$35:$AI$55,卡牌消耗!L262),"")</f>
        <v>63000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4">
        <v>226</v>
      </c>
      <c r="J263" s="15">
        <f t="shared" si="48"/>
        <v>1102011</v>
      </c>
      <c r="K263" s="15">
        <f t="shared" si="49"/>
        <v>5</v>
      </c>
      <c r="L263" s="15">
        <f t="shared" si="50"/>
        <v>16</v>
      </c>
      <c r="M263" s="15" t="str">
        <f t="shared" si="51"/>
        <v>黄</v>
      </c>
      <c r="N263" s="15" t="str">
        <f t="shared" si="52"/>
        <v>金币</v>
      </c>
      <c r="O263" s="15">
        <f>IF(L263&gt;1,INDEX(挂机升级突破!$AI$35:$AI$55,卡牌消耗!L263),"")</f>
        <v>73000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4">
        <v>227</v>
      </c>
      <c r="J264" s="15">
        <f t="shared" si="48"/>
        <v>1102011</v>
      </c>
      <c r="K264" s="15">
        <f t="shared" si="49"/>
        <v>5</v>
      </c>
      <c r="L264" s="15">
        <f t="shared" si="50"/>
        <v>17</v>
      </c>
      <c r="M264" s="15" t="str">
        <f t="shared" si="51"/>
        <v>黄</v>
      </c>
      <c r="N264" s="15" t="str">
        <f t="shared" si="52"/>
        <v>金币</v>
      </c>
      <c r="O264" s="15">
        <f>IF(L264&gt;1,INDEX(挂机升级突破!$AI$35:$AI$55,卡牌消耗!L264),"")</f>
        <v>76000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4">
        <v>228</v>
      </c>
      <c r="J265" s="15">
        <f t="shared" si="48"/>
        <v>1102011</v>
      </c>
      <c r="K265" s="15">
        <f t="shared" si="49"/>
        <v>5</v>
      </c>
      <c r="L265" s="15">
        <f t="shared" si="50"/>
        <v>18</v>
      </c>
      <c r="M265" s="15" t="str">
        <f t="shared" si="51"/>
        <v>黄</v>
      </c>
      <c r="N265" s="15" t="str">
        <f t="shared" si="52"/>
        <v>金币</v>
      </c>
      <c r="O265" s="15">
        <f>IF(L265&gt;1,INDEX(挂机升级突破!$AI$35:$AI$55,卡牌消耗!L265),"")</f>
        <v>106500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4">
        <v>229</v>
      </c>
      <c r="J266" s="15">
        <f t="shared" si="48"/>
        <v>1102011</v>
      </c>
      <c r="K266" s="15">
        <f t="shared" si="49"/>
        <v>5</v>
      </c>
      <c r="L266" s="15">
        <f t="shared" si="50"/>
        <v>19</v>
      </c>
      <c r="M266" s="15" t="str">
        <f t="shared" si="51"/>
        <v>黄</v>
      </c>
      <c r="N266" s="15" t="str">
        <f t="shared" si="52"/>
        <v>金币</v>
      </c>
      <c r="O266" s="15">
        <f>IF(L266&gt;1,INDEX(挂机升级突破!$AI$35:$AI$55,卡牌消耗!L266),"")</f>
        <v>142000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4">
        <v>230</v>
      </c>
      <c r="J267" s="15">
        <f t="shared" si="48"/>
        <v>1102011</v>
      </c>
      <c r="K267" s="15">
        <f t="shared" si="49"/>
        <v>5</v>
      </c>
      <c r="L267" s="15">
        <f t="shared" si="50"/>
        <v>20</v>
      </c>
      <c r="M267" s="15" t="str">
        <f t="shared" si="51"/>
        <v>黄</v>
      </c>
      <c r="N267" s="15" t="str">
        <f t="shared" si="52"/>
        <v>金币</v>
      </c>
      <c r="O267" s="15">
        <f>IF(L267&gt;1,INDEX(挂机升级突破!$AI$35:$AI$55,卡牌消耗!L267),"")</f>
        <v>177500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4">
        <v>231</v>
      </c>
      <c r="J268" s="15">
        <f t="shared" si="48"/>
        <v>1102011</v>
      </c>
      <c r="K268" s="15">
        <f t="shared" si="49"/>
        <v>5</v>
      </c>
      <c r="L268" s="15">
        <f t="shared" si="50"/>
        <v>21</v>
      </c>
      <c r="M268" s="15" t="str">
        <f t="shared" si="51"/>
        <v>黄</v>
      </c>
      <c r="N268" s="15" t="str">
        <f t="shared" si="52"/>
        <v>金币</v>
      </c>
      <c r="O268" s="15">
        <f>IF(L268&gt;1,INDEX(挂机升级突破!$AI$35:$AI$55,卡牌消耗!L268),"")</f>
        <v>213000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4">
        <v>232</v>
      </c>
      <c r="J269" s="15">
        <f t="shared" si="48"/>
        <v>1102012</v>
      </c>
      <c r="K269" s="15">
        <f t="shared" si="49"/>
        <v>5</v>
      </c>
      <c r="L269" s="15">
        <f t="shared" si="50"/>
        <v>1</v>
      </c>
      <c r="M269" s="15" t="str">
        <f t="shared" si="51"/>
        <v>红</v>
      </c>
      <c r="N269" s="15" t="str">
        <f t="shared" si="52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4">
        <v>233</v>
      </c>
      <c r="J270" s="15">
        <f t="shared" si="48"/>
        <v>1102012</v>
      </c>
      <c r="K270" s="15">
        <f t="shared" si="49"/>
        <v>5</v>
      </c>
      <c r="L270" s="15">
        <f t="shared" si="50"/>
        <v>2</v>
      </c>
      <c r="M270" s="15" t="str">
        <f t="shared" si="51"/>
        <v>红</v>
      </c>
      <c r="N270" s="15" t="str">
        <f t="shared" si="52"/>
        <v>金币</v>
      </c>
      <c r="O270" s="15">
        <f>IF(L270&gt;1,INDEX(挂机升级突破!$AI$35:$AI$55,卡牌消耗!L270),"")</f>
        <v>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4">
        <v>234</v>
      </c>
      <c r="J271" s="15">
        <f t="shared" si="48"/>
        <v>1102012</v>
      </c>
      <c r="K271" s="15">
        <f t="shared" si="49"/>
        <v>5</v>
      </c>
      <c r="L271" s="15">
        <f t="shared" si="50"/>
        <v>3</v>
      </c>
      <c r="M271" s="15" t="str">
        <f t="shared" si="51"/>
        <v>红</v>
      </c>
      <c r="N271" s="15" t="str">
        <f t="shared" si="52"/>
        <v>金币</v>
      </c>
      <c r="O271" s="15">
        <f>IF(L271&gt;1,INDEX(挂机升级突破!$AI$35:$AI$55,卡牌消耗!L271),"")</f>
        <v>2500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4">
        <v>235</v>
      </c>
      <c r="J272" s="15">
        <f t="shared" si="48"/>
        <v>1102012</v>
      </c>
      <c r="K272" s="15">
        <f t="shared" si="49"/>
        <v>5</v>
      </c>
      <c r="L272" s="15">
        <f t="shared" si="50"/>
        <v>4</v>
      </c>
      <c r="M272" s="15" t="str">
        <f t="shared" si="51"/>
        <v>红</v>
      </c>
      <c r="N272" s="15" t="str">
        <f t="shared" si="52"/>
        <v>金币</v>
      </c>
      <c r="O272" s="15">
        <f>IF(L272&gt;1,INDEX(挂机升级突破!$AI$35:$AI$55,卡牌消耗!L272),"")</f>
        <v>5500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4">
        <v>236</v>
      </c>
      <c r="J273" s="15">
        <f t="shared" si="48"/>
        <v>1102012</v>
      </c>
      <c r="K273" s="15">
        <f t="shared" si="49"/>
        <v>5</v>
      </c>
      <c r="L273" s="15">
        <f t="shared" si="50"/>
        <v>5</v>
      </c>
      <c r="M273" s="15" t="str">
        <f t="shared" si="51"/>
        <v>红</v>
      </c>
      <c r="N273" s="15" t="str">
        <f t="shared" si="52"/>
        <v>金币</v>
      </c>
      <c r="O273" s="15">
        <f>IF(L273&gt;1,INDEX(挂机升级突破!$AI$35:$AI$55,卡牌消耗!L273),"")</f>
        <v>7500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4">
        <v>237</v>
      </c>
      <c r="J274" s="15">
        <f t="shared" si="48"/>
        <v>1102012</v>
      </c>
      <c r="K274" s="15">
        <f t="shared" si="49"/>
        <v>5</v>
      </c>
      <c r="L274" s="15">
        <f t="shared" si="50"/>
        <v>6</v>
      </c>
      <c r="M274" s="15" t="str">
        <f t="shared" si="51"/>
        <v>红</v>
      </c>
      <c r="N274" s="15" t="str">
        <f t="shared" si="52"/>
        <v>金币</v>
      </c>
      <c r="O274" s="15">
        <f>IF(L274&gt;1,INDEX(挂机升级突破!$AI$35:$AI$55,卡牌消耗!L274),"")</f>
        <v>17500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4">
        <v>238</v>
      </c>
      <c r="J275" s="15">
        <f t="shared" si="48"/>
        <v>1102012</v>
      </c>
      <c r="K275" s="15">
        <f t="shared" si="49"/>
        <v>5</v>
      </c>
      <c r="L275" s="15">
        <f t="shared" si="50"/>
        <v>7</v>
      </c>
      <c r="M275" s="15" t="str">
        <f t="shared" si="51"/>
        <v>红</v>
      </c>
      <c r="N275" s="15" t="str">
        <f t="shared" si="52"/>
        <v>金币</v>
      </c>
      <c r="O275" s="15">
        <f>IF(L275&gt;1,INDEX(挂机升级突破!$AI$35:$AI$55,卡牌消耗!L275),"")</f>
        <v>19500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4">
        <v>239</v>
      </c>
      <c r="J276" s="15">
        <f t="shared" si="48"/>
        <v>1102012</v>
      </c>
      <c r="K276" s="15">
        <f t="shared" si="49"/>
        <v>5</v>
      </c>
      <c r="L276" s="15">
        <f t="shared" si="50"/>
        <v>8</v>
      </c>
      <c r="M276" s="15" t="str">
        <f t="shared" si="51"/>
        <v>红</v>
      </c>
      <c r="N276" s="15" t="str">
        <f t="shared" si="52"/>
        <v>金币</v>
      </c>
      <c r="O276" s="15">
        <f>IF(L276&gt;1,INDEX(挂机升级突破!$AI$35:$AI$55,卡牌消耗!L276),"")</f>
        <v>22000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4">
        <v>240</v>
      </c>
      <c r="J277" s="15">
        <f t="shared" si="48"/>
        <v>1102012</v>
      </c>
      <c r="K277" s="15">
        <f t="shared" si="49"/>
        <v>5</v>
      </c>
      <c r="L277" s="15">
        <f t="shared" si="50"/>
        <v>9</v>
      </c>
      <c r="M277" s="15" t="str">
        <f t="shared" si="51"/>
        <v>红</v>
      </c>
      <c r="N277" s="15" t="str">
        <f t="shared" si="52"/>
        <v>金币</v>
      </c>
      <c r="O277" s="15">
        <f>IF(L277&gt;1,INDEX(挂机升级突破!$AI$35:$AI$55,卡牌消耗!L277),"")</f>
        <v>25000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4">
        <v>241</v>
      </c>
      <c r="J278" s="15">
        <f t="shared" si="48"/>
        <v>1102012</v>
      </c>
      <c r="K278" s="15">
        <f t="shared" si="49"/>
        <v>5</v>
      </c>
      <c r="L278" s="15">
        <f t="shared" si="50"/>
        <v>10</v>
      </c>
      <c r="M278" s="15" t="str">
        <f t="shared" si="51"/>
        <v>红</v>
      </c>
      <c r="N278" s="15" t="str">
        <f t="shared" si="52"/>
        <v>金币</v>
      </c>
      <c r="O278" s="15">
        <f>IF(L278&gt;1,INDEX(挂机升级突破!$AI$35:$AI$55,卡牌消耗!L278),"")</f>
        <v>27500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4">
        <v>242</v>
      </c>
      <c r="J279" s="15">
        <f t="shared" si="48"/>
        <v>1102012</v>
      </c>
      <c r="K279" s="15">
        <f t="shared" si="49"/>
        <v>5</v>
      </c>
      <c r="L279" s="15">
        <f t="shared" si="50"/>
        <v>11</v>
      </c>
      <c r="M279" s="15" t="str">
        <f t="shared" si="51"/>
        <v>红</v>
      </c>
      <c r="N279" s="15" t="str">
        <f t="shared" si="52"/>
        <v>金币</v>
      </c>
      <c r="O279" s="15">
        <f>IF(L279&gt;1,INDEX(挂机升级突破!$AI$35:$AI$55,卡牌消耗!L279),"")</f>
        <v>30000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4">
        <v>243</v>
      </c>
      <c r="J280" s="15">
        <f t="shared" si="48"/>
        <v>1102012</v>
      </c>
      <c r="K280" s="15">
        <f t="shared" si="49"/>
        <v>5</v>
      </c>
      <c r="L280" s="15">
        <f t="shared" si="50"/>
        <v>12</v>
      </c>
      <c r="M280" s="15" t="str">
        <f t="shared" si="51"/>
        <v>红</v>
      </c>
      <c r="N280" s="15" t="str">
        <f t="shared" si="52"/>
        <v>金币</v>
      </c>
      <c r="O280" s="15">
        <f>IF(L280&gt;1,INDEX(挂机升级突破!$AI$35:$AI$55,卡牌消耗!L280),"")</f>
        <v>32000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4">
        <v>244</v>
      </c>
      <c r="J281" s="15">
        <f t="shared" si="48"/>
        <v>1102012</v>
      </c>
      <c r="K281" s="15">
        <f t="shared" si="49"/>
        <v>5</v>
      </c>
      <c r="L281" s="15">
        <f t="shared" si="50"/>
        <v>13</v>
      </c>
      <c r="M281" s="15" t="str">
        <f t="shared" si="51"/>
        <v>红</v>
      </c>
      <c r="N281" s="15" t="str">
        <f t="shared" si="52"/>
        <v>金币</v>
      </c>
      <c r="O281" s="15">
        <f>IF(L281&gt;1,INDEX(挂机升级突破!$AI$35:$AI$55,卡牌消耗!L281),"")</f>
        <v>40500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4">
        <v>245</v>
      </c>
      <c r="J282" s="15">
        <f t="shared" si="48"/>
        <v>1102012</v>
      </c>
      <c r="K282" s="15">
        <f t="shared" si="49"/>
        <v>5</v>
      </c>
      <c r="L282" s="15">
        <f t="shared" si="50"/>
        <v>14</v>
      </c>
      <c r="M282" s="15" t="str">
        <f t="shared" si="51"/>
        <v>红</v>
      </c>
      <c r="N282" s="15" t="str">
        <f t="shared" si="52"/>
        <v>金币</v>
      </c>
      <c r="O282" s="15">
        <f>IF(L282&gt;1,INDEX(挂机升级突破!$AI$35:$AI$55,卡牌消耗!L282),"")</f>
        <v>54000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4">
        <v>246</v>
      </c>
      <c r="J283" s="15">
        <f t="shared" si="48"/>
        <v>1102012</v>
      </c>
      <c r="K283" s="15">
        <f t="shared" si="49"/>
        <v>5</v>
      </c>
      <c r="L283" s="15">
        <f t="shared" si="50"/>
        <v>15</v>
      </c>
      <c r="M283" s="15" t="str">
        <f t="shared" si="51"/>
        <v>红</v>
      </c>
      <c r="N283" s="15" t="str">
        <f t="shared" si="52"/>
        <v>金币</v>
      </c>
      <c r="O283" s="15">
        <f>IF(L283&gt;1,INDEX(挂机升级突破!$AI$35:$AI$55,卡牌消耗!L283),"")</f>
        <v>63000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4">
        <v>247</v>
      </c>
      <c r="J284" s="15">
        <f t="shared" si="48"/>
        <v>1102012</v>
      </c>
      <c r="K284" s="15">
        <f t="shared" si="49"/>
        <v>5</v>
      </c>
      <c r="L284" s="15">
        <f t="shared" si="50"/>
        <v>16</v>
      </c>
      <c r="M284" s="15" t="str">
        <f t="shared" si="51"/>
        <v>红</v>
      </c>
      <c r="N284" s="15" t="str">
        <f t="shared" si="52"/>
        <v>金币</v>
      </c>
      <c r="O284" s="15">
        <f>IF(L284&gt;1,INDEX(挂机升级突破!$AI$35:$AI$55,卡牌消耗!L284),"")</f>
        <v>73000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4">
        <v>248</v>
      </c>
      <c r="J285" s="15">
        <f t="shared" si="48"/>
        <v>1102012</v>
      </c>
      <c r="K285" s="15">
        <f t="shared" si="49"/>
        <v>5</v>
      </c>
      <c r="L285" s="15">
        <f t="shared" si="50"/>
        <v>17</v>
      </c>
      <c r="M285" s="15" t="str">
        <f t="shared" si="51"/>
        <v>红</v>
      </c>
      <c r="N285" s="15" t="str">
        <f t="shared" si="52"/>
        <v>金币</v>
      </c>
      <c r="O285" s="15">
        <f>IF(L285&gt;1,INDEX(挂机升级突破!$AI$35:$AI$55,卡牌消耗!L285),"")</f>
        <v>76000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4">
        <v>249</v>
      </c>
      <c r="J286" s="15">
        <f t="shared" si="48"/>
        <v>1102012</v>
      </c>
      <c r="K286" s="15">
        <f t="shared" si="49"/>
        <v>5</v>
      </c>
      <c r="L286" s="15">
        <f t="shared" si="50"/>
        <v>18</v>
      </c>
      <c r="M286" s="15" t="str">
        <f t="shared" si="51"/>
        <v>红</v>
      </c>
      <c r="N286" s="15" t="str">
        <f t="shared" si="52"/>
        <v>金币</v>
      </c>
      <c r="O286" s="15">
        <f>IF(L286&gt;1,INDEX(挂机升级突破!$AI$35:$AI$55,卡牌消耗!L286),"")</f>
        <v>106500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4">
        <v>250</v>
      </c>
      <c r="J287" s="15">
        <f t="shared" si="48"/>
        <v>1102012</v>
      </c>
      <c r="K287" s="15">
        <f t="shared" si="49"/>
        <v>5</v>
      </c>
      <c r="L287" s="15">
        <f t="shared" si="50"/>
        <v>19</v>
      </c>
      <c r="M287" s="15" t="str">
        <f t="shared" si="51"/>
        <v>红</v>
      </c>
      <c r="N287" s="15" t="str">
        <f t="shared" si="52"/>
        <v>金币</v>
      </c>
      <c r="O287" s="15">
        <f>IF(L287&gt;1,INDEX(挂机升级突破!$AI$35:$AI$55,卡牌消耗!L287),"")</f>
        <v>142000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4">
        <v>251</v>
      </c>
      <c r="J288" s="15">
        <f t="shared" si="48"/>
        <v>1102012</v>
      </c>
      <c r="K288" s="15">
        <f t="shared" si="49"/>
        <v>5</v>
      </c>
      <c r="L288" s="15">
        <f t="shared" si="50"/>
        <v>20</v>
      </c>
      <c r="M288" s="15" t="str">
        <f t="shared" si="51"/>
        <v>红</v>
      </c>
      <c r="N288" s="15" t="str">
        <f t="shared" si="52"/>
        <v>金币</v>
      </c>
      <c r="O288" s="15">
        <f>IF(L288&gt;1,INDEX(挂机升级突破!$AI$35:$AI$55,卡牌消耗!L288),"")</f>
        <v>177500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4">
        <v>252</v>
      </c>
      <c r="J289" s="15">
        <f t="shared" si="48"/>
        <v>1102012</v>
      </c>
      <c r="K289" s="15">
        <f t="shared" si="49"/>
        <v>5</v>
      </c>
      <c r="L289" s="15">
        <f t="shared" si="50"/>
        <v>21</v>
      </c>
      <c r="M289" s="15" t="str">
        <f t="shared" si="51"/>
        <v>红</v>
      </c>
      <c r="N289" s="15" t="str">
        <f t="shared" si="52"/>
        <v>金币</v>
      </c>
      <c r="O289" s="15">
        <f>IF(L289&gt;1,INDEX(挂机升级突破!$AI$35:$AI$55,卡牌消耗!L289),"")</f>
        <v>213000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4">
        <v>253</v>
      </c>
      <c r="J290" s="15">
        <f t="shared" si="48"/>
        <v>1102013</v>
      </c>
      <c r="K290" s="15">
        <f t="shared" si="49"/>
        <v>2</v>
      </c>
      <c r="L290" s="15">
        <f t="shared" si="50"/>
        <v>1</v>
      </c>
      <c r="M290" s="15" t="str">
        <f t="shared" si="51"/>
        <v>蓝</v>
      </c>
      <c r="N290" s="15" t="str">
        <f t="shared" si="52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4">
        <v>254</v>
      </c>
      <c r="J291" s="15">
        <f t="shared" si="48"/>
        <v>1102013</v>
      </c>
      <c r="K291" s="15">
        <f t="shared" si="49"/>
        <v>2</v>
      </c>
      <c r="L291" s="15">
        <f t="shared" si="50"/>
        <v>2</v>
      </c>
      <c r="M291" s="15" t="str">
        <f t="shared" si="51"/>
        <v>蓝</v>
      </c>
      <c r="N291" s="15" t="str">
        <f t="shared" si="52"/>
        <v>金币</v>
      </c>
      <c r="O291" s="15">
        <f>IF(L291&gt;1,INDEX(挂机升级突破!$AI$35:$AI$55,卡牌消耗!L291),"")</f>
        <v>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4">
        <v>255</v>
      </c>
      <c r="J292" s="15">
        <f t="shared" si="48"/>
        <v>1102013</v>
      </c>
      <c r="K292" s="15">
        <f t="shared" si="49"/>
        <v>2</v>
      </c>
      <c r="L292" s="15">
        <f t="shared" si="50"/>
        <v>3</v>
      </c>
      <c r="M292" s="15" t="str">
        <f t="shared" si="51"/>
        <v>蓝</v>
      </c>
      <c r="N292" s="15" t="str">
        <f t="shared" si="52"/>
        <v>金币</v>
      </c>
      <c r="O292" s="15">
        <f>IF(L292&gt;1,INDEX(挂机升级突破!$AI$35:$AI$55,卡牌消耗!L292),"")</f>
        <v>2500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4">
        <v>256</v>
      </c>
      <c r="J293" s="15">
        <f t="shared" si="48"/>
        <v>1102013</v>
      </c>
      <c r="K293" s="15">
        <f t="shared" si="49"/>
        <v>2</v>
      </c>
      <c r="L293" s="15">
        <f t="shared" si="50"/>
        <v>4</v>
      </c>
      <c r="M293" s="15" t="str">
        <f t="shared" si="51"/>
        <v>蓝</v>
      </c>
      <c r="N293" s="15" t="str">
        <f t="shared" si="52"/>
        <v>金币</v>
      </c>
      <c r="O293" s="15">
        <f>IF(L293&gt;1,INDEX(挂机升级突破!$AI$35:$AI$55,卡牌消耗!L293),"")</f>
        <v>5500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4">
        <v>257</v>
      </c>
      <c r="J294" s="15">
        <f t="shared" si="48"/>
        <v>1102013</v>
      </c>
      <c r="K294" s="15">
        <f t="shared" si="49"/>
        <v>2</v>
      </c>
      <c r="L294" s="15">
        <f t="shared" si="50"/>
        <v>5</v>
      </c>
      <c r="M294" s="15" t="str">
        <f t="shared" si="51"/>
        <v>蓝</v>
      </c>
      <c r="N294" s="15" t="str">
        <f t="shared" si="52"/>
        <v>金币</v>
      </c>
      <c r="O294" s="15">
        <f>IF(L294&gt;1,INDEX(挂机升级突破!$AI$35:$AI$55,卡牌消耗!L294),"")</f>
        <v>7500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4">
        <v>258</v>
      </c>
      <c r="J295" s="15">
        <f t="shared" ref="J295:J358" si="53">INDEX($A$13:$A$34,INT((I295-1)/21)+1)</f>
        <v>1102013</v>
      </c>
      <c r="K295" s="15">
        <f t="shared" ref="K295:K358" si="54">VLOOKUP(J295,$A$13:$D$34,3)</f>
        <v>2</v>
      </c>
      <c r="L295" s="15">
        <f t="shared" ref="L295:L358" si="55">MOD((I295-1),21)+1</f>
        <v>6</v>
      </c>
      <c r="M295" s="15" t="str">
        <f t="shared" ref="M295:M358" si="56">INDEX($J$2:$L$2,INDEX($E$13:$E$34,INT((I295-1)/21)+1))</f>
        <v>蓝</v>
      </c>
      <c r="N295" s="15" t="str">
        <f t="shared" ref="N295:N358" si="57">IF(L295&gt;1,"金币","")</f>
        <v>金币</v>
      </c>
      <c r="O295" s="15">
        <f>IF(L295&gt;1,INDEX(挂机升级突破!$AI$35:$AI$55,卡牌消耗!L295),"")</f>
        <v>17500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4">
        <v>259</v>
      </c>
      <c r="J296" s="15">
        <f t="shared" si="53"/>
        <v>1102013</v>
      </c>
      <c r="K296" s="15">
        <f t="shared" si="54"/>
        <v>2</v>
      </c>
      <c r="L296" s="15">
        <f t="shared" si="55"/>
        <v>7</v>
      </c>
      <c r="M296" s="15" t="str">
        <f t="shared" si="56"/>
        <v>蓝</v>
      </c>
      <c r="N296" s="15" t="str">
        <f t="shared" si="57"/>
        <v>金币</v>
      </c>
      <c r="O296" s="15">
        <f>IF(L296&gt;1,INDEX(挂机升级突破!$AI$35:$AI$55,卡牌消耗!L296),"")</f>
        <v>19500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4">
        <v>260</v>
      </c>
      <c r="J297" s="15">
        <f t="shared" si="53"/>
        <v>1102013</v>
      </c>
      <c r="K297" s="15">
        <f t="shared" si="54"/>
        <v>2</v>
      </c>
      <c r="L297" s="15">
        <f t="shared" si="55"/>
        <v>8</v>
      </c>
      <c r="M297" s="15" t="str">
        <f t="shared" si="56"/>
        <v>蓝</v>
      </c>
      <c r="N297" s="15" t="str">
        <f t="shared" si="57"/>
        <v>金币</v>
      </c>
      <c r="O297" s="15">
        <f>IF(L297&gt;1,INDEX(挂机升级突破!$AI$35:$AI$55,卡牌消耗!L297),"")</f>
        <v>22000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4">
        <v>261</v>
      </c>
      <c r="J298" s="15">
        <f t="shared" si="53"/>
        <v>1102013</v>
      </c>
      <c r="K298" s="15">
        <f t="shared" si="54"/>
        <v>2</v>
      </c>
      <c r="L298" s="15">
        <f t="shared" si="55"/>
        <v>9</v>
      </c>
      <c r="M298" s="15" t="str">
        <f t="shared" si="56"/>
        <v>蓝</v>
      </c>
      <c r="N298" s="15" t="str">
        <f t="shared" si="57"/>
        <v>金币</v>
      </c>
      <c r="O298" s="15">
        <f>IF(L298&gt;1,INDEX(挂机升级突破!$AI$35:$AI$55,卡牌消耗!L298),"")</f>
        <v>25000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4">
        <v>262</v>
      </c>
      <c r="J299" s="15">
        <f t="shared" si="53"/>
        <v>1102013</v>
      </c>
      <c r="K299" s="15">
        <f t="shared" si="54"/>
        <v>2</v>
      </c>
      <c r="L299" s="15">
        <f t="shared" si="55"/>
        <v>10</v>
      </c>
      <c r="M299" s="15" t="str">
        <f t="shared" si="56"/>
        <v>蓝</v>
      </c>
      <c r="N299" s="15" t="str">
        <f t="shared" si="57"/>
        <v>金币</v>
      </c>
      <c r="O299" s="15">
        <f>IF(L299&gt;1,INDEX(挂机升级突破!$AI$35:$AI$55,卡牌消耗!L299),"")</f>
        <v>27500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4">
        <v>263</v>
      </c>
      <c r="J300" s="15">
        <f t="shared" si="53"/>
        <v>1102013</v>
      </c>
      <c r="K300" s="15">
        <f t="shared" si="54"/>
        <v>2</v>
      </c>
      <c r="L300" s="15">
        <f t="shared" si="55"/>
        <v>11</v>
      </c>
      <c r="M300" s="15" t="str">
        <f t="shared" si="56"/>
        <v>蓝</v>
      </c>
      <c r="N300" s="15" t="str">
        <f t="shared" si="57"/>
        <v>金币</v>
      </c>
      <c r="O300" s="15">
        <f>IF(L300&gt;1,INDEX(挂机升级突破!$AI$35:$AI$55,卡牌消耗!L300),"")</f>
        <v>30000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4">
        <v>264</v>
      </c>
      <c r="J301" s="15">
        <f t="shared" si="53"/>
        <v>1102013</v>
      </c>
      <c r="K301" s="15">
        <f t="shared" si="54"/>
        <v>2</v>
      </c>
      <c r="L301" s="15">
        <f t="shared" si="55"/>
        <v>12</v>
      </c>
      <c r="M301" s="15" t="str">
        <f t="shared" si="56"/>
        <v>蓝</v>
      </c>
      <c r="N301" s="15" t="str">
        <f t="shared" si="57"/>
        <v>金币</v>
      </c>
      <c r="O301" s="15">
        <f>IF(L301&gt;1,INDEX(挂机升级突破!$AI$35:$AI$55,卡牌消耗!L301),"")</f>
        <v>32000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4">
        <v>265</v>
      </c>
      <c r="J302" s="15">
        <f t="shared" si="53"/>
        <v>1102013</v>
      </c>
      <c r="K302" s="15">
        <f t="shared" si="54"/>
        <v>2</v>
      </c>
      <c r="L302" s="15">
        <f t="shared" si="55"/>
        <v>13</v>
      </c>
      <c r="M302" s="15" t="str">
        <f t="shared" si="56"/>
        <v>蓝</v>
      </c>
      <c r="N302" s="15" t="str">
        <f t="shared" si="57"/>
        <v>金币</v>
      </c>
      <c r="O302" s="15">
        <f>IF(L302&gt;1,INDEX(挂机升级突破!$AI$35:$AI$55,卡牌消耗!L302),"")</f>
        <v>40500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4">
        <v>266</v>
      </c>
      <c r="J303" s="15">
        <f t="shared" si="53"/>
        <v>1102013</v>
      </c>
      <c r="K303" s="15">
        <f t="shared" si="54"/>
        <v>2</v>
      </c>
      <c r="L303" s="15">
        <f t="shared" si="55"/>
        <v>14</v>
      </c>
      <c r="M303" s="15" t="str">
        <f t="shared" si="56"/>
        <v>蓝</v>
      </c>
      <c r="N303" s="15" t="str">
        <f t="shared" si="57"/>
        <v>金币</v>
      </c>
      <c r="O303" s="15">
        <f>IF(L303&gt;1,INDEX(挂机升级突破!$AI$35:$AI$55,卡牌消耗!L303),"")</f>
        <v>54000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4">
        <v>267</v>
      </c>
      <c r="J304" s="15">
        <f t="shared" si="53"/>
        <v>1102013</v>
      </c>
      <c r="K304" s="15">
        <f t="shared" si="54"/>
        <v>2</v>
      </c>
      <c r="L304" s="15">
        <f t="shared" si="55"/>
        <v>15</v>
      </c>
      <c r="M304" s="15" t="str">
        <f t="shared" si="56"/>
        <v>蓝</v>
      </c>
      <c r="N304" s="15" t="str">
        <f t="shared" si="57"/>
        <v>金币</v>
      </c>
      <c r="O304" s="15">
        <f>IF(L304&gt;1,INDEX(挂机升级突破!$AI$35:$AI$55,卡牌消耗!L304),"")</f>
        <v>63000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4">
        <v>268</v>
      </c>
      <c r="J305" s="15">
        <f t="shared" si="53"/>
        <v>1102013</v>
      </c>
      <c r="K305" s="15">
        <f t="shared" si="54"/>
        <v>2</v>
      </c>
      <c r="L305" s="15">
        <f t="shared" si="55"/>
        <v>16</v>
      </c>
      <c r="M305" s="15" t="str">
        <f t="shared" si="56"/>
        <v>蓝</v>
      </c>
      <c r="N305" s="15" t="str">
        <f t="shared" si="57"/>
        <v>金币</v>
      </c>
      <c r="O305" s="15">
        <f>IF(L305&gt;1,INDEX(挂机升级突破!$AI$35:$AI$55,卡牌消耗!L305),"")</f>
        <v>73000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4">
        <v>269</v>
      </c>
      <c r="J306" s="15">
        <f t="shared" si="53"/>
        <v>1102013</v>
      </c>
      <c r="K306" s="15">
        <f t="shared" si="54"/>
        <v>2</v>
      </c>
      <c r="L306" s="15">
        <f t="shared" si="55"/>
        <v>17</v>
      </c>
      <c r="M306" s="15" t="str">
        <f t="shared" si="56"/>
        <v>蓝</v>
      </c>
      <c r="N306" s="15" t="str">
        <f t="shared" si="57"/>
        <v>金币</v>
      </c>
      <c r="O306" s="15">
        <f>IF(L306&gt;1,INDEX(挂机升级突破!$AI$35:$AI$55,卡牌消耗!L306),"")</f>
        <v>76000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4">
        <v>270</v>
      </c>
      <c r="J307" s="15">
        <f t="shared" si="53"/>
        <v>1102013</v>
      </c>
      <c r="K307" s="15">
        <f t="shared" si="54"/>
        <v>2</v>
      </c>
      <c r="L307" s="15">
        <f t="shared" si="55"/>
        <v>18</v>
      </c>
      <c r="M307" s="15" t="str">
        <f t="shared" si="56"/>
        <v>蓝</v>
      </c>
      <c r="N307" s="15" t="str">
        <f t="shared" si="57"/>
        <v>金币</v>
      </c>
      <c r="O307" s="15">
        <f>IF(L307&gt;1,INDEX(挂机升级突破!$AI$35:$AI$55,卡牌消耗!L307),"")</f>
        <v>106500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4">
        <v>271</v>
      </c>
      <c r="J308" s="15">
        <f t="shared" si="53"/>
        <v>1102013</v>
      </c>
      <c r="K308" s="15">
        <f t="shared" si="54"/>
        <v>2</v>
      </c>
      <c r="L308" s="15">
        <f t="shared" si="55"/>
        <v>19</v>
      </c>
      <c r="M308" s="15" t="str">
        <f t="shared" si="56"/>
        <v>蓝</v>
      </c>
      <c r="N308" s="15" t="str">
        <f t="shared" si="57"/>
        <v>金币</v>
      </c>
      <c r="O308" s="15">
        <f>IF(L308&gt;1,INDEX(挂机升级突破!$AI$35:$AI$55,卡牌消耗!L308),"")</f>
        <v>142000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4">
        <v>272</v>
      </c>
      <c r="J309" s="15">
        <f t="shared" si="53"/>
        <v>1102013</v>
      </c>
      <c r="K309" s="15">
        <f t="shared" si="54"/>
        <v>2</v>
      </c>
      <c r="L309" s="15">
        <f t="shared" si="55"/>
        <v>20</v>
      </c>
      <c r="M309" s="15" t="str">
        <f t="shared" si="56"/>
        <v>蓝</v>
      </c>
      <c r="N309" s="15" t="str">
        <f t="shared" si="57"/>
        <v>金币</v>
      </c>
      <c r="O309" s="15">
        <f>IF(L309&gt;1,INDEX(挂机升级突破!$AI$35:$AI$55,卡牌消耗!L309),"")</f>
        <v>177500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4">
        <v>273</v>
      </c>
      <c r="J310" s="15">
        <f t="shared" si="53"/>
        <v>1102013</v>
      </c>
      <c r="K310" s="15">
        <f t="shared" si="54"/>
        <v>2</v>
      </c>
      <c r="L310" s="15">
        <f t="shared" si="55"/>
        <v>21</v>
      </c>
      <c r="M310" s="15" t="str">
        <f t="shared" si="56"/>
        <v>蓝</v>
      </c>
      <c r="N310" s="15" t="str">
        <f t="shared" si="57"/>
        <v>金币</v>
      </c>
      <c r="O310" s="15">
        <f>IF(L310&gt;1,INDEX(挂机升级突破!$AI$35:$AI$55,卡牌消耗!L310),"")</f>
        <v>213000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4">
        <v>274</v>
      </c>
      <c r="J311" s="15">
        <f t="shared" si="53"/>
        <v>1102014</v>
      </c>
      <c r="K311" s="15">
        <f t="shared" si="54"/>
        <v>3</v>
      </c>
      <c r="L311" s="15">
        <f t="shared" si="55"/>
        <v>1</v>
      </c>
      <c r="M311" s="15" t="str">
        <f t="shared" si="56"/>
        <v>红</v>
      </c>
      <c r="N311" s="15" t="str">
        <f t="shared" si="57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4">
        <v>275</v>
      </c>
      <c r="J312" s="15">
        <f t="shared" si="53"/>
        <v>1102014</v>
      </c>
      <c r="K312" s="15">
        <f t="shared" si="54"/>
        <v>3</v>
      </c>
      <c r="L312" s="15">
        <f t="shared" si="55"/>
        <v>2</v>
      </c>
      <c r="M312" s="15" t="str">
        <f t="shared" si="56"/>
        <v>红</v>
      </c>
      <c r="N312" s="15" t="str">
        <f t="shared" si="57"/>
        <v>金币</v>
      </c>
      <c r="O312" s="15">
        <f>IF(L312&gt;1,INDEX(挂机升级突破!$AI$35:$AI$55,卡牌消耗!L312),"")</f>
        <v>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4">
        <v>276</v>
      </c>
      <c r="J313" s="15">
        <f t="shared" si="53"/>
        <v>1102014</v>
      </c>
      <c r="K313" s="15">
        <f t="shared" si="54"/>
        <v>3</v>
      </c>
      <c r="L313" s="15">
        <f t="shared" si="55"/>
        <v>3</v>
      </c>
      <c r="M313" s="15" t="str">
        <f t="shared" si="56"/>
        <v>红</v>
      </c>
      <c r="N313" s="15" t="str">
        <f t="shared" si="57"/>
        <v>金币</v>
      </c>
      <c r="O313" s="15">
        <f>IF(L313&gt;1,INDEX(挂机升级突破!$AI$35:$AI$55,卡牌消耗!L313),"")</f>
        <v>2500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4">
        <v>277</v>
      </c>
      <c r="J314" s="15">
        <f t="shared" si="53"/>
        <v>1102014</v>
      </c>
      <c r="K314" s="15">
        <f t="shared" si="54"/>
        <v>3</v>
      </c>
      <c r="L314" s="15">
        <f t="shared" si="55"/>
        <v>4</v>
      </c>
      <c r="M314" s="15" t="str">
        <f t="shared" si="56"/>
        <v>红</v>
      </c>
      <c r="N314" s="15" t="str">
        <f t="shared" si="57"/>
        <v>金币</v>
      </c>
      <c r="O314" s="15">
        <f>IF(L314&gt;1,INDEX(挂机升级突破!$AI$35:$AI$55,卡牌消耗!L314),"")</f>
        <v>5500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4">
        <v>278</v>
      </c>
      <c r="J315" s="15">
        <f t="shared" si="53"/>
        <v>1102014</v>
      </c>
      <c r="K315" s="15">
        <f t="shared" si="54"/>
        <v>3</v>
      </c>
      <c r="L315" s="15">
        <f t="shared" si="55"/>
        <v>5</v>
      </c>
      <c r="M315" s="15" t="str">
        <f t="shared" si="56"/>
        <v>红</v>
      </c>
      <c r="N315" s="15" t="str">
        <f t="shared" si="57"/>
        <v>金币</v>
      </c>
      <c r="O315" s="15">
        <f>IF(L315&gt;1,INDEX(挂机升级突破!$AI$35:$AI$55,卡牌消耗!L315),"")</f>
        <v>7500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4">
        <v>279</v>
      </c>
      <c r="J316" s="15">
        <f t="shared" si="53"/>
        <v>1102014</v>
      </c>
      <c r="K316" s="15">
        <f t="shared" si="54"/>
        <v>3</v>
      </c>
      <c r="L316" s="15">
        <f t="shared" si="55"/>
        <v>6</v>
      </c>
      <c r="M316" s="15" t="str">
        <f t="shared" si="56"/>
        <v>红</v>
      </c>
      <c r="N316" s="15" t="str">
        <f t="shared" si="57"/>
        <v>金币</v>
      </c>
      <c r="O316" s="15">
        <f>IF(L316&gt;1,INDEX(挂机升级突破!$AI$35:$AI$55,卡牌消耗!L316),"")</f>
        <v>17500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4">
        <v>280</v>
      </c>
      <c r="J317" s="15">
        <f t="shared" si="53"/>
        <v>1102014</v>
      </c>
      <c r="K317" s="15">
        <f t="shared" si="54"/>
        <v>3</v>
      </c>
      <c r="L317" s="15">
        <f t="shared" si="55"/>
        <v>7</v>
      </c>
      <c r="M317" s="15" t="str">
        <f t="shared" si="56"/>
        <v>红</v>
      </c>
      <c r="N317" s="15" t="str">
        <f t="shared" si="57"/>
        <v>金币</v>
      </c>
      <c r="O317" s="15">
        <f>IF(L317&gt;1,INDEX(挂机升级突破!$AI$35:$AI$55,卡牌消耗!L317),"")</f>
        <v>19500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4">
        <v>281</v>
      </c>
      <c r="J318" s="15">
        <f t="shared" si="53"/>
        <v>1102014</v>
      </c>
      <c r="K318" s="15">
        <f t="shared" si="54"/>
        <v>3</v>
      </c>
      <c r="L318" s="15">
        <f t="shared" si="55"/>
        <v>8</v>
      </c>
      <c r="M318" s="15" t="str">
        <f t="shared" si="56"/>
        <v>红</v>
      </c>
      <c r="N318" s="15" t="str">
        <f t="shared" si="57"/>
        <v>金币</v>
      </c>
      <c r="O318" s="15">
        <f>IF(L318&gt;1,INDEX(挂机升级突破!$AI$35:$AI$55,卡牌消耗!L318),"")</f>
        <v>22000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4">
        <v>282</v>
      </c>
      <c r="J319" s="15">
        <f t="shared" si="53"/>
        <v>1102014</v>
      </c>
      <c r="K319" s="15">
        <f t="shared" si="54"/>
        <v>3</v>
      </c>
      <c r="L319" s="15">
        <f t="shared" si="55"/>
        <v>9</v>
      </c>
      <c r="M319" s="15" t="str">
        <f t="shared" si="56"/>
        <v>红</v>
      </c>
      <c r="N319" s="15" t="str">
        <f t="shared" si="57"/>
        <v>金币</v>
      </c>
      <c r="O319" s="15">
        <f>IF(L319&gt;1,INDEX(挂机升级突破!$AI$35:$AI$55,卡牌消耗!L319),"")</f>
        <v>25000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4">
        <v>283</v>
      </c>
      <c r="J320" s="15">
        <f t="shared" si="53"/>
        <v>1102014</v>
      </c>
      <c r="K320" s="15">
        <f t="shared" si="54"/>
        <v>3</v>
      </c>
      <c r="L320" s="15">
        <f t="shared" si="55"/>
        <v>10</v>
      </c>
      <c r="M320" s="15" t="str">
        <f t="shared" si="56"/>
        <v>红</v>
      </c>
      <c r="N320" s="15" t="str">
        <f t="shared" si="57"/>
        <v>金币</v>
      </c>
      <c r="O320" s="15">
        <f>IF(L320&gt;1,INDEX(挂机升级突破!$AI$35:$AI$55,卡牌消耗!L320),"")</f>
        <v>27500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4">
        <v>284</v>
      </c>
      <c r="J321" s="15">
        <f t="shared" si="53"/>
        <v>1102014</v>
      </c>
      <c r="K321" s="15">
        <f t="shared" si="54"/>
        <v>3</v>
      </c>
      <c r="L321" s="15">
        <f t="shared" si="55"/>
        <v>11</v>
      </c>
      <c r="M321" s="15" t="str">
        <f t="shared" si="56"/>
        <v>红</v>
      </c>
      <c r="N321" s="15" t="str">
        <f t="shared" si="57"/>
        <v>金币</v>
      </c>
      <c r="O321" s="15">
        <f>IF(L321&gt;1,INDEX(挂机升级突破!$AI$35:$AI$55,卡牌消耗!L321),"")</f>
        <v>30000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4">
        <v>285</v>
      </c>
      <c r="J322" s="15">
        <f t="shared" si="53"/>
        <v>1102014</v>
      </c>
      <c r="K322" s="15">
        <f t="shared" si="54"/>
        <v>3</v>
      </c>
      <c r="L322" s="15">
        <f t="shared" si="55"/>
        <v>12</v>
      </c>
      <c r="M322" s="15" t="str">
        <f t="shared" si="56"/>
        <v>红</v>
      </c>
      <c r="N322" s="15" t="str">
        <f t="shared" si="57"/>
        <v>金币</v>
      </c>
      <c r="O322" s="15">
        <f>IF(L322&gt;1,INDEX(挂机升级突破!$AI$35:$AI$55,卡牌消耗!L322),"")</f>
        <v>32000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4">
        <v>286</v>
      </c>
      <c r="J323" s="15">
        <f t="shared" si="53"/>
        <v>1102014</v>
      </c>
      <c r="K323" s="15">
        <f t="shared" si="54"/>
        <v>3</v>
      </c>
      <c r="L323" s="15">
        <f t="shared" si="55"/>
        <v>13</v>
      </c>
      <c r="M323" s="15" t="str">
        <f t="shared" si="56"/>
        <v>红</v>
      </c>
      <c r="N323" s="15" t="str">
        <f t="shared" si="57"/>
        <v>金币</v>
      </c>
      <c r="O323" s="15">
        <f>IF(L323&gt;1,INDEX(挂机升级突破!$AI$35:$AI$55,卡牌消耗!L323),"")</f>
        <v>40500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4">
        <v>287</v>
      </c>
      <c r="J324" s="15">
        <f t="shared" si="53"/>
        <v>1102014</v>
      </c>
      <c r="K324" s="15">
        <f t="shared" si="54"/>
        <v>3</v>
      </c>
      <c r="L324" s="15">
        <f t="shared" si="55"/>
        <v>14</v>
      </c>
      <c r="M324" s="15" t="str">
        <f t="shared" si="56"/>
        <v>红</v>
      </c>
      <c r="N324" s="15" t="str">
        <f t="shared" si="57"/>
        <v>金币</v>
      </c>
      <c r="O324" s="15">
        <f>IF(L324&gt;1,INDEX(挂机升级突破!$AI$35:$AI$55,卡牌消耗!L324),"")</f>
        <v>54000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4">
        <v>288</v>
      </c>
      <c r="J325" s="15">
        <f t="shared" si="53"/>
        <v>1102014</v>
      </c>
      <c r="K325" s="15">
        <f t="shared" si="54"/>
        <v>3</v>
      </c>
      <c r="L325" s="15">
        <f t="shared" si="55"/>
        <v>15</v>
      </c>
      <c r="M325" s="15" t="str">
        <f t="shared" si="56"/>
        <v>红</v>
      </c>
      <c r="N325" s="15" t="str">
        <f t="shared" si="57"/>
        <v>金币</v>
      </c>
      <c r="O325" s="15">
        <f>IF(L325&gt;1,INDEX(挂机升级突破!$AI$35:$AI$55,卡牌消耗!L325),"")</f>
        <v>63000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4">
        <v>289</v>
      </c>
      <c r="J326" s="15">
        <f t="shared" si="53"/>
        <v>1102014</v>
      </c>
      <c r="K326" s="15">
        <f t="shared" si="54"/>
        <v>3</v>
      </c>
      <c r="L326" s="15">
        <f t="shared" si="55"/>
        <v>16</v>
      </c>
      <c r="M326" s="15" t="str">
        <f t="shared" si="56"/>
        <v>红</v>
      </c>
      <c r="N326" s="15" t="str">
        <f t="shared" si="57"/>
        <v>金币</v>
      </c>
      <c r="O326" s="15">
        <f>IF(L326&gt;1,INDEX(挂机升级突破!$AI$35:$AI$55,卡牌消耗!L326),"")</f>
        <v>73000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4">
        <v>290</v>
      </c>
      <c r="J327" s="15">
        <f t="shared" si="53"/>
        <v>1102014</v>
      </c>
      <c r="K327" s="15">
        <f t="shared" si="54"/>
        <v>3</v>
      </c>
      <c r="L327" s="15">
        <f t="shared" si="55"/>
        <v>17</v>
      </c>
      <c r="M327" s="15" t="str">
        <f t="shared" si="56"/>
        <v>红</v>
      </c>
      <c r="N327" s="15" t="str">
        <f t="shared" si="57"/>
        <v>金币</v>
      </c>
      <c r="O327" s="15">
        <f>IF(L327&gt;1,INDEX(挂机升级突破!$AI$35:$AI$55,卡牌消耗!L327),"")</f>
        <v>76000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4">
        <v>291</v>
      </c>
      <c r="J328" s="15">
        <f t="shared" si="53"/>
        <v>1102014</v>
      </c>
      <c r="K328" s="15">
        <f t="shared" si="54"/>
        <v>3</v>
      </c>
      <c r="L328" s="15">
        <f t="shared" si="55"/>
        <v>18</v>
      </c>
      <c r="M328" s="15" t="str">
        <f t="shared" si="56"/>
        <v>红</v>
      </c>
      <c r="N328" s="15" t="str">
        <f t="shared" si="57"/>
        <v>金币</v>
      </c>
      <c r="O328" s="15">
        <f>IF(L328&gt;1,INDEX(挂机升级突破!$AI$35:$AI$55,卡牌消耗!L328),"")</f>
        <v>106500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4">
        <v>292</v>
      </c>
      <c r="J329" s="15">
        <f t="shared" si="53"/>
        <v>1102014</v>
      </c>
      <c r="K329" s="15">
        <f t="shared" si="54"/>
        <v>3</v>
      </c>
      <c r="L329" s="15">
        <f t="shared" si="55"/>
        <v>19</v>
      </c>
      <c r="M329" s="15" t="str">
        <f t="shared" si="56"/>
        <v>红</v>
      </c>
      <c r="N329" s="15" t="str">
        <f t="shared" si="57"/>
        <v>金币</v>
      </c>
      <c r="O329" s="15">
        <f>IF(L329&gt;1,INDEX(挂机升级突破!$AI$35:$AI$55,卡牌消耗!L329),"")</f>
        <v>142000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4">
        <v>293</v>
      </c>
      <c r="J330" s="15">
        <f t="shared" si="53"/>
        <v>1102014</v>
      </c>
      <c r="K330" s="15">
        <f t="shared" si="54"/>
        <v>3</v>
      </c>
      <c r="L330" s="15">
        <f t="shared" si="55"/>
        <v>20</v>
      </c>
      <c r="M330" s="15" t="str">
        <f t="shared" si="56"/>
        <v>红</v>
      </c>
      <c r="N330" s="15" t="str">
        <f t="shared" si="57"/>
        <v>金币</v>
      </c>
      <c r="O330" s="15">
        <f>IF(L330&gt;1,INDEX(挂机升级突破!$AI$35:$AI$55,卡牌消耗!L330),"")</f>
        <v>177500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4">
        <v>294</v>
      </c>
      <c r="J331" s="15">
        <f t="shared" si="53"/>
        <v>1102014</v>
      </c>
      <c r="K331" s="15">
        <f t="shared" si="54"/>
        <v>3</v>
      </c>
      <c r="L331" s="15">
        <f t="shared" si="55"/>
        <v>21</v>
      </c>
      <c r="M331" s="15" t="str">
        <f t="shared" si="56"/>
        <v>红</v>
      </c>
      <c r="N331" s="15" t="str">
        <f t="shared" si="57"/>
        <v>金币</v>
      </c>
      <c r="O331" s="15">
        <f>IF(L331&gt;1,INDEX(挂机升级突破!$AI$35:$AI$55,卡牌消耗!L331),"")</f>
        <v>213000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4">
        <v>295</v>
      </c>
      <c r="J332" s="15">
        <f t="shared" si="53"/>
        <v>1102015</v>
      </c>
      <c r="K332" s="15">
        <f t="shared" si="54"/>
        <v>2</v>
      </c>
      <c r="L332" s="15">
        <f t="shared" si="55"/>
        <v>1</v>
      </c>
      <c r="M332" s="15" t="str">
        <f t="shared" si="56"/>
        <v>黄</v>
      </c>
      <c r="N332" s="15" t="str">
        <f t="shared" si="57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4">
        <v>296</v>
      </c>
      <c r="J333" s="15">
        <f t="shared" si="53"/>
        <v>1102015</v>
      </c>
      <c r="K333" s="15">
        <f t="shared" si="54"/>
        <v>2</v>
      </c>
      <c r="L333" s="15">
        <f t="shared" si="55"/>
        <v>2</v>
      </c>
      <c r="M333" s="15" t="str">
        <f t="shared" si="56"/>
        <v>黄</v>
      </c>
      <c r="N333" s="15" t="str">
        <f t="shared" si="57"/>
        <v>金币</v>
      </c>
      <c r="O333" s="15">
        <f>IF(L333&gt;1,INDEX(挂机升级突破!$AI$35:$AI$55,卡牌消耗!L333),"")</f>
        <v>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4">
        <v>297</v>
      </c>
      <c r="J334" s="15">
        <f t="shared" si="53"/>
        <v>1102015</v>
      </c>
      <c r="K334" s="15">
        <f t="shared" si="54"/>
        <v>2</v>
      </c>
      <c r="L334" s="15">
        <f t="shared" si="55"/>
        <v>3</v>
      </c>
      <c r="M334" s="15" t="str">
        <f t="shared" si="56"/>
        <v>黄</v>
      </c>
      <c r="N334" s="15" t="str">
        <f t="shared" si="57"/>
        <v>金币</v>
      </c>
      <c r="O334" s="15">
        <f>IF(L334&gt;1,INDEX(挂机升级突破!$AI$35:$AI$55,卡牌消耗!L334),"")</f>
        <v>2500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4">
        <v>298</v>
      </c>
      <c r="J335" s="15">
        <f t="shared" si="53"/>
        <v>1102015</v>
      </c>
      <c r="K335" s="15">
        <f t="shared" si="54"/>
        <v>2</v>
      </c>
      <c r="L335" s="15">
        <f t="shared" si="55"/>
        <v>4</v>
      </c>
      <c r="M335" s="15" t="str">
        <f t="shared" si="56"/>
        <v>黄</v>
      </c>
      <c r="N335" s="15" t="str">
        <f t="shared" si="57"/>
        <v>金币</v>
      </c>
      <c r="O335" s="15">
        <f>IF(L335&gt;1,INDEX(挂机升级突破!$AI$35:$AI$55,卡牌消耗!L335),"")</f>
        <v>5500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4">
        <v>299</v>
      </c>
      <c r="J336" s="15">
        <f t="shared" si="53"/>
        <v>1102015</v>
      </c>
      <c r="K336" s="15">
        <f t="shared" si="54"/>
        <v>2</v>
      </c>
      <c r="L336" s="15">
        <f t="shared" si="55"/>
        <v>5</v>
      </c>
      <c r="M336" s="15" t="str">
        <f t="shared" si="56"/>
        <v>黄</v>
      </c>
      <c r="N336" s="15" t="str">
        <f t="shared" si="57"/>
        <v>金币</v>
      </c>
      <c r="O336" s="15">
        <f>IF(L336&gt;1,INDEX(挂机升级突破!$AI$35:$AI$55,卡牌消耗!L336),"")</f>
        <v>7500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4">
        <v>300</v>
      </c>
      <c r="J337" s="15">
        <f t="shared" si="53"/>
        <v>1102015</v>
      </c>
      <c r="K337" s="15">
        <f t="shared" si="54"/>
        <v>2</v>
      </c>
      <c r="L337" s="15">
        <f t="shared" si="55"/>
        <v>6</v>
      </c>
      <c r="M337" s="15" t="str">
        <f t="shared" si="56"/>
        <v>黄</v>
      </c>
      <c r="N337" s="15" t="str">
        <f t="shared" si="57"/>
        <v>金币</v>
      </c>
      <c r="O337" s="15">
        <f>IF(L337&gt;1,INDEX(挂机升级突破!$AI$35:$AI$55,卡牌消耗!L337),"")</f>
        <v>17500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4">
        <v>301</v>
      </c>
      <c r="J338" s="15">
        <f t="shared" si="53"/>
        <v>1102015</v>
      </c>
      <c r="K338" s="15">
        <f t="shared" si="54"/>
        <v>2</v>
      </c>
      <c r="L338" s="15">
        <f t="shared" si="55"/>
        <v>7</v>
      </c>
      <c r="M338" s="15" t="str">
        <f t="shared" si="56"/>
        <v>黄</v>
      </c>
      <c r="N338" s="15" t="str">
        <f t="shared" si="57"/>
        <v>金币</v>
      </c>
      <c r="O338" s="15">
        <f>IF(L338&gt;1,INDEX(挂机升级突破!$AI$35:$AI$55,卡牌消耗!L338),"")</f>
        <v>19500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4">
        <v>302</v>
      </c>
      <c r="J339" s="15">
        <f t="shared" si="53"/>
        <v>1102015</v>
      </c>
      <c r="K339" s="15">
        <f t="shared" si="54"/>
        <v>2</v>
      </c>
      <c r="L339" s="15">
        <f t="shared" si="55"/>
        <v>8</v>
      </c>
      <c r="M339" s="15" t="str">
        <f t="shared" si="56"/>
        <v>黄</v>
      </c>
      <c r="N339" s="15" t="str">
        <f t="shared" si="57"/>
        <v>金币</v>
      </c>
      <c r="O339" s="15">
        <f>IF(L339&gt;1,INDEX(挂机升级突破!$AI$35:$AI$55,卡牌消耗!L339),"")</f>
        <v>22000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4">
        <v>303</v>
      </c>
      <c r="J340" s="15">
        <f t="shared" si="53"/>
        <v>1102015</v>
      </c>
      <c r="K340" s="15">
        <f t="shared" si="54"/>
        <v>2</v>
      </c>
      <c r="L340" s="15">
        <f t="shared" si="55"/>
        <v>9</v>
      </c>
      <c r="M340" s="15" t="str">
        <f t="shared" si="56"/>
        <v>黄</v>
      </c>
      <c r="N340" s="15" t="str">
        <f t="shared" si="57"/>
        <v>金币</v>
      </c>
      <c r="O340" s="15">
        <f>IF(L340&gt;1,INDEX(挂机升级突破!$AI$35:$AI$55,卡牌消耗!L340),"")</f>
        <v>25000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4">
        <v>304</v>
      </c>
      <c r="J341" s="15">
        <f t="shared" si="53"/>
        <v>1102015</v>
      </c>
      <c r="K341" s="15">
        <f t="shared" si="54"/>
        <v>2</v>
      </c>
      <c r="L341" s="15">
        <f t="shared" si="55"/>
        <v>10</v>
      </c>
      <c r="M341" s="15" t="str">
        <f t="shared" si="56"/>
        <v>黄</v>
      </c>
      <c r="N341" s="15" t="str">
        <f t="shared" si="57"/>
        <v>金币</v>
      </c>
      <c r="O341" s="15">
        <f>IF(L341&gt;1,INDEX(挂机升级突破!$AI$35:$AI$55,卡牌消耗!L341),"")</f>
        <v>27500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4">
        <v>305</v>
      </c>
      <c r="J342" s="15">
        <f t="shared" si="53"/>
        <v>1102015</v>
      </c>
      <c r="K342" s="15">
        <f t="shared" si="54"/>
        <v>2</v>
      </c>
      <c r="L342" s="15">
        <f t="shared" si="55"/>
        <v>11</v>
      </c>
      <c r="M342" s="15" t="str">
        <f t="shared" si="56"/>
        <v>黄</v>
      </c>
      <c r="N342" s="15" t="str">
        <f t="shared" si="57"/>
        <v>金币</v>
      </c>
      <c r="O342" s="15">
        <f>IF(L342&gt;1,INDEX(挂机升级突破!$AI$35:$AI$55,卡牌消耗!L342),"")</f>
        <v>30000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4">
        <v>306</v>
      </c>
      <c r="J343" s="15">
        <f t="shared" si="53"/>
        <v>1102015</v>
      </c>
      <c r="K343" s="15">
        <f t="shared" si="54"/>
        <v>2</v>
      </c>
      <c r="L343" s="15">
        <f t="shared" si="55"/>
        <v>12</v>
      </c>
      <c r="M343" s="15" t="str">
        <f t="shared" si="56"/>
        <v>黄</v>
      </c>
      <c r="N343" s="15" t="str">
        <f t="shared" si="57"/>
        <v>金币</v>
      </c>
      <c r="O343" s="15">
        <f>IF(L343&gt;1,INDEX(挂机升级突破!$AI$35:$AI$55,卡牌消耗!L343),"")</f>
        <v>32000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4">
        <v>307</v>
      </c>
      <c r="J344" s="15">
        <f t="shared" si="53"/>
        <v>1102015</v>
      </c>
      <c r="K344" s="15">
        <f t="shared" si="54"/>
        <v>2</v>
      </c>
      <c r="L344" s="15">
        <f t="shared" si="55"/>
        <v>13</v>
      </c>
      <c r="M344" s="15" t="str">
        <f t="shared" si="56"/>
        <v>黄</v>
      </c>
      <c r="N344" s="15" t="str">
        <f t="shared" si="57"/>
        <v>金币</v>
      </c>
      <c r="O344" s="15">
        <f>IF(L344&gt;1,INDEX(挂机升级突破!$AI$35:$AI$55,卡牌消耗!L344),"")</f>
        <v>40500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4">
        <v>308</v>
      </c>
      <c r="J345" s="15">
        <f t="shared" si="53"/>
        <v>1102015</v>
      </c>
      <c r="K345" s="15">
        <f t="shared" si="54"/>
        <v>2</v>
      </c>
      <c r="L345" s="15">
        <f t="shared" si="55"/>
        <v>14</v>
      </c>
      <c r="M345" s="15" t="str">
        <f t="shared" si="56"/>
        <v>黄</v>
      </c>
      <c r="N345" s="15" t="str">
        <f t="shared" si="57"/>
        <v>金币</v>
      </c>
      <c r="O345" s="15">
        <f>IF(L345&gt;1,INDEX(挂机升级突破!$AI$35:$AI$55,卡牌消耗!L345),"")</f>
        <v>54000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4">
        <v>309</v>
      </c>
      <c r="J346" s="15">
        <f t="shared" si="53"/>
        <v>1102015</v>
      </c>
      <c r="K346" s="15">
        <f t="shared" si="54"/>
        <v>2</v>
      </c>
      <c r="L346" s="15">
        <f t="shared" si="55"/>
        <v>15</v>
      </c>
      <c r="M346" s="15" t="str">
        <f t="shared" si="56"/>
        <v>黄</v>
      </c>
      <c r="N346" s="15" t="str">
        <f t="shared" si="57"/>
        <v>金币</v>
      </c>
      <c r="O346" s="15">
        <f>IF(L346&gt;1,INDEX(挂机升级突破!$AI$35:$AI$55,卡牌消耗!L346),"")</f>
        <v>63000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4">
        <v>310</v>
      </c>
      <c r="J347" s="15">
        <f t="shared" si="53"/>
        <v>1102015</v>
      </c>
      <c r="K347" s="15">
        <f t="shared" si="54"/>
        <v>2</v>
      </c>
      <c r="L347" s="15">
        <f t="shared" si="55"/>
        <v>16</v>
      </c>
      <c r="M347" s="15" t="str">
        <f t="shared" si="56"/>
        <v>黄</v>
      </c>
      <c r="N347" s="15" t="str">
        <f t="shared" si="57"/>
        <v>金币</v>
      </c>
      <c r="O347" s="15">
        <f>IF(L347&gt;1,INDEX(挂机升级突破!$AI$35:$AI$55,卡牌消耗!L347),"")</f>
        <v>73000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4">
        <v>311</v>
      </c>
      <c r="J348" s="15">
        <f t="shared" si="53"/>
        <v>1102015</v>
      </c>
      <c r="K348" s="15">
        <f t="shared" si="54"/>
        <v>2</v>
      </c>
      <c r="L348" s="15">
        <f t="shared" si="55"/>
        <v>17</v>
      </c>
      <c r="M348" s="15" t="str">
        <f t="shared" si="56"/>
        <v>黄</v>
      </c>
      <c r="N348" s="15" t="str">
        <f t="shared" si="57"/>
        <v>金币</v>
      </c>
      <c r="O348" s="15">
        <f>IF(L348&gt;1,INDEX(挂机升级突破!$AI$35:$AI$55,卡牌消耗!L348),"")</f>
        <v>76000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4">
        <v>312</v>
      </c>
      <c r="J349" s="15">
        <f t="shared" si="53"/>
        <v>1102015</v>
      </c>
      <c r="K349" s="15">
        <f t="shared" si="54"/>
        <v>2</v>
      </c>
      <c r="L349" s="15">
        <f t="shared" si="55"/>
        <v>18</v>
      </c>
      <c r="M349" s="15" t="str">
        <f t="shared" si="56"/>
        <v>黄</v>
      </c>
      <c r="N349" s="15" t="str">
        <f t="shared" si="57"/>
        <v>金币</v>
      </c>
      <c r="O349" s="15">
        <f>IF(L349&gt;1,INDEX(挂机升级突破!$AI$35:$AI$55,卡牌消耗!L349),"")</f>
        <v>106500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4">
        <v>313</v>
      </c>
      <c r="J350" s="15">
        <f t="shared" si="53"/>
        <v>1102015</v>
      </c>
      <c r="K350" s="15">
        <f t="shared" si="54"/>
        <v>2</v>
      </c>
      <c r="L350" s="15">
        <f t="shared" si="55"/>
        <v>19</v>
      </c>
      <c r="M350" s="15" t="str">
        <f t="shared" si="56"/>
        <v>黄</v>
      </c>
      <c r="N350" s="15" t="str">
        <f t="shared" si="57"/>
        <v>金币</v>
      </c>
      <c r="O350" s="15">
        <f>IF(L350&gt;1,INDEX(挂机升级突破!$AI$35:$AI$55,卡牌消耗!L350),"")</f>
        <v>142000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4">
        <v>314</v>
      </c>
      <c r="J351" s="15">
        <f t="shared" si="53"/>
        <v>1102015</v>
      </c>
      <c r="K351" s="15">
        <f t="shared" si="54"/>
        <v>2</v>
      </c>
      <c r="L351" s="15">
        <f t="shared" si="55"/>
        <v>20</v>
      </c>
      <c r="M351" s="15" t="str">
        <f t="shared" si="56"/>
        <v>黄</v>
      </c>
      <c r="N351" s="15" t="str">
        <f t="shared" si="57"/>
        <v>金币</v>
      </c>
      <c r="O351" s="15">
        <f>IF(L351&gt;1,INDEX(挂机升级突破!$AI$35:$AI$55,卡牌消耗!L351),"")</f>
        <v>177500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4">
        <v>315</v>
      </c>
      <c r="J352" s="15">
        <f t="shared" si="53"/>
        <v>1102015</v>
      </c>
      <c r="K352" s="15">
        <f t="shared" si="54"/>
        <v>2</v>
      </c>
      <c r="L352" s="15">
        <f t="shared" si="55"/>
        <v>21</v>
      </c>
      <c r="M352" s="15" t="str">
        <f t="shared" si="56"/>
        <v>黄</v>
      </c>
      <c r="N352" s="15" t="str">
        <f t="shared" si="57"/>
        <v>金币</v>
      </c>
      <c r="O352" s="15">
        <f>IF(L352&gt;1,INDEX(挂机升级突破!$AI$35:$AI$55,卡牌消耗!L352),"")</f>
        <v>213000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4">
        <v>316</v>
      </c>
      <c r="J353" s="15">
        <f t="shared" si="53"/>
        <v>1102016</v>
      </c>
      <c r="K353" s="15">
        <f t="shared" si="54"/>
        <v>5</v>
      </c>
      <c r="L353" s="15">
        <f t="shared" si="55"/>
        <v>1</v>
      </c>
      <c r="M353" s="15" t="str">
        <f t="shared" si="56"/>
        <v>黄</v>
      </c>
      <c r="N353" s="15" t="str">
        <f t="shared" si="57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4">
        <v>317</v>
      </c>
      <c r="J354" s="15">
        <f t="shared" si="53"/>
        <v>1102016</v>
      </c>
      <c r="K354" s="15">
        <f t="shared" si="54"/>
        <v>5</v>
      </c>
      <c r="L354" s="15">
        <f t="shared" si="55"/>
        <v>2</v>
      </c>
      <c r="M354" s="15" t="str">
        <f t="shared" si="56"/>
        <v>黄</v>
      </c>
      <c r="N354" s="15" t="str">
        <f t="shared" si="57"/>
        <v>金币</v>
      </c>
      <c r="O354" s="15">
        <f>IF(L354&gt;1,INDEX(挂机升级突破!$AI$35:$AI$55,卡牌消耗!L354),"")</f>
        <v>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4">
        <v>318</v>
      </c>
      <c r="J355" s="15">
        <f t="shared" si="53"/>
        <v>1102016</v>
      </c>
      <c r="K355" s="15">
        <f t="shared" si="54"/>
        <v>5</v>
      </c>
      <c r="L355" s="15">
        <f t="shared" si="55"/>
        <v>3</v>
      </c>
      <c r="M355" s="15" t="str">
        <f t="shared" si="56"/>
        <v>黄</v>
      </c>
      <c r="N355" s="15" t="str">
        <f t="shared" si="57"/>
        <v>金币</v>
      </c>
      <c r="O355" s="15">
        <f>IF(L355&gt;1,INDEX(挂机升级突破!$AI$35:$AI$55,卡牌消耗!L355),"")</f>
        <v>2500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4">
        <v>319</v>
      </c>
      <c r="J356" s="15">
        <f t="shared" si="53"/>
        <v>1102016</v>
      </c>
      <c r="K356" s="15">
        <f t="shared" si="54"/>
        <v>5</v>
      </c>
      <c r="L356" s="15">
        <f t="shared" si="55"/>
        <v>4</v>
      </c>
      <c r="M356" s="15" t="str">
        <f t="shared" si="56"/>
        <v>黄</v>
      </c>
      <c r="N356" s="15" t="str">
        <f t="shared" si="57"/>
        <v>金币</v>
      </c>
      <c r="O356" s="15">
        <f>IF(L356&gt;1,INDEX(挂机升级突破!$AI$35:$AI$55,卡牌消耗!L356),"")</f>
        <v>5500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4">
        <v>320</v>
      </c>
      <c r="J357" s="15">
        <f t="shared" si="53"/>
        <v>1102016</v>
      </c>
      <c r="K357" s="15">
        <f t="shared" si="54"/>
        <v>5</v>
      </c>
      <c r="L357" s="15">
        <f t="shared" si="55"/>
        <v>5</v>
      </c>
      <c r="M357" s="15" t="str">
        <f t="shared" si="56"/>
        <v>黄</v>
      </c>
      <c r="N357" s="15" t="str">
        <f t="shared" si="57"/>
        <v>金币</v>
      </c>
      <c r="O357" s="15">
        <f>IF(L357&gt;1,INDEX(挂机升级突破!$AI$35:$AI$55,卡牌消耗!L357),"")</f>
        <v>7500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4">
        <v>321</v>
      </c>
      <c r="J358" s="15">
        <f t="shared" si="53"/>
        <v>1102016</v>
      </c>
      <c r="K358" s="15">
        <f t="shared" si="54"/>
        <v>5</v>
      </c>
      <c r="L358" s="15">
        <f t="shared" si="55"/>
        <v>6</v>
      </c>
      <c r="M358" s="15" t="str">
        <f t="shared" si="56"/>
        <v>黄</v>
      </c>
      <c r="N358" s="15" t="str">
        <f t="shared" si="57"/>
        <v>金币</v>
      </c>
      <c r="O358" s="15">
        <f>IF(L358&gt;1,INDEX(挂机升级突破!$AI$35:$AI$55,卡牌消耗!L358),"")</f>
        <v>17500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4">
        <v>322</v>
      </c>
      <c r="J359" s="15">
        <f t="shared" ref="J359:J422" si="58">INDEX($A$13:$A$34,INT((I359-1)/21)+1)</f>
        <v>1102016</v>
      </c>
      <c r="K359" s="15">
        <f t="shared" ref="K359:K422" si="59">VLOOKUP(J359,$A$13:$D$34,3)</f>
        <v>5</v>
      </c>
      <c r="L359" s="15">
        <f t="shared" ref="L359:L422" si="60">MOD((I359-1),21)+1</f>
        <v>7</v>
      </c>
      <c r="M359" s="15" t="str">
        <f t="shared" ref="M359:M422" si="61">INDEX($J$2:$L$2,INDEX($E$13:$E$34,INT((I359-1)/21)+1))</f>
        <v>黄</v>
      </c>
      <c r="N359" s="15" t="str">
        <f t="shared" ref="N359:N422" si="62">IF(L359&gt;1,"金币","")</f>
        <v>金币</v>
      </c>
      <c r="O359" s="15">
        <f>IF(L359&gt;1,INDEX(挂机升级突破!$AI$35:$AI$55,卡牌消耗!L359),"")</f>
        <v>19500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4">
        <v>323</v>
      </c>
      <c r="J360" s="15">
        <f t="shared" si="58"/>
        <v>1102016</v>
      </c>
      <c r="K360" s="15">
        <f t="shared" si="59"/>
        <v>5</v>
      </c>
      <c r="L360" s="15">
        <f t="shared" si="60"/>
        <v>8</v>
      </c>
      <c r="M360" s="15" t="str">
        <f t="shared" si="61"/>
        <v>黄</v>
      </c>
      <c r="N360" s="15" t="str">
        <f t="shared" si="62"/>
        <v>金币</v>
      </c>
      <c r="O360" s="15">
        <f>IF(L360&gt;1,INDEX(挂机升级突破!$AI$35:$AI$55,卡牌消耗!L360),"")</f>
        <v>22000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4">
        <v>324</v>
      </c>
      <c r="J361" s="15">
        <f t="shared" si="58"/>
        <v>1102016</v>
      </c>
      <c r="K361" s="15">
        <f t="shared" si="59"/>
        <v>5</v>
      </c>
      <c r="L361" s="15">
        <f t="shared" si="60"/>
        <v>9</v>
      </c>
      <c r="M361" s="15" t="str">
        <f t="shared" si="61"/>
        <v>黄</v>
      </c>
      <c r="N361" s="15" t="str">
        <f t="shared" si="62"/>
        <v>金币</v>
      </c>
      <c r="O361" s="15">
        <f>IF(L361&gt;1,INDEX(挂机升级突破!$AI$35:$AI$55,卡牌消耗!L361),"")</f>
        <v>25000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4">
        <v>325</v>
      </c>
      <c r="J362" s="15">
        <f t="shared" si="58"/>
        <v>1102016</v>
      </c>
      <c r="K362" s="15">
        <f t="shared" si="59"/>
        <v>5</v>
      </c>
      <c r="L362" s="15">
        <f t="shared" si="60"/>
        <v>10</v>
      </c>
      <c r="M362" s="15" t="str">
        <f t="shared" si="61"/>
        <v>黄</v>
      </c>
      <c r="N362" s="15" t="str">
        <f t="shared" si="62"/>
        <v>金币</v>
      </c>
      <c r="O362" s="15">
        <f>IF(L362&gt;1,INDEX(挂机升级突破!$AI$35:$AI$55,卡牌消耗!L362),"")</f>
        <v>27500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4">
        <v>326</v>
      </c>
      <c r="J363" s="15">
        <f t="shared" si="58"/>
        <v>1102016</v>
      </c>
      <c r="K363" s="15">
        <f t="shared" si="59"/>
        <v>5</v>
      </c>
      <c r="L363" s="15">
        <f t="shared" si="60"/>
        <v>11</v>
      </c>
      <c r="M363" s="15" t="str">
        <f t="shared" si="61"/>
        <v>黄</v>
      </c>
      <c r="N363" s="15" t="str">
        <f t="shared" si="62"/>
        <v>金币</v>
      </c>
      <c r="O363" s="15">
        <f>IF(L363&gt;1,INDEX(挂机升级突破!$AI$35:$AI$55,卡牌消耗!L363),"")</f>
        <v>30000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4">
        <v>327</v>
      </c>
      <c r="J364" s="15">
        <f t="shared" si="58"/>
        <v>1102016</v>
      </c>
      <c r="K364" s="15">
        <f t="shared" si="59"/>
        <v>5</v>
      </c>
      <c r="L364" s="15">
        <f t="shared" si="60"/>
        <v>12</v>
      </c>
      <c r="M364" s="15" t="str">
        <f t="shared" si="61"/>
        <v>黄</v>
      </c>
      <c r="N364" s="15" t="str">
        <f t="shared" si="62"/>
        <v>金币</v>
      </c>
      <c r="O364" s="15">
        <f>IF(L364&gt;1,INDEX(挂机升级突破!$AI$35:$AI$55,卡牌消耗!L364),"")</f>
        <v>32000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4">
        <v>328</v>
      </c>
      <c r="J365" s="15">
        <f t="shared" si="58"/>
        <v>1102016</v>
      </c>
      <c r="K365" s="15">
        <f t="shared" si="59"/>
        <v>5</v>
      </c>
      <c r="L365" s="15">
        <f t="shared" si="60"/>
        <v>13</v>
      </c>
      <c r="M365" s="15" t="str">
        <f t="shared" si="61"/>
        <v>黄</v>
      </c>
      <c r="N365" s="15" t="str">
        <f t="shared" si="62"/>
        <v>金币</v>
      </c>
      <c r="O365" s="15">
        <f>IF(L365&gt;1,INDEX(挂机升级突破!$AI$35:$AI$55,卡牌消耗!L365),"")</f>
        <v>40500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4">
        <v>329</v>
      </c>
      <c r="J366" s="15">
        <f t="shared" si="58"/>
        <v>1102016</v>
      </c>
      <c r="K366" s="15">
        <f t="shared" si="59"/>
        <v>5</v>
      </c>
      <c r="L366" s="15">
        <f t="shared" si="60"/>
        <v>14</v>
      </c>
      <c r="M366" s="15" t="str">
        <f t="shared" si="61"/>
        <v>黄</v>
      </c>
      <c r="N366" s="15" t="str">
        <f t="shared" si="62"/>
        <v>金币</v>
      </c>
      <c r="O366" s="15">
        <f>IF(L366&gt;1,INDEX(挂机升级突破!$AI$35:$AI$55,卡牌消耗!L366),"")</f>
        <v>54000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4">
        <v>330</v>
      </c>
      <c r="J367" s="15">
        <f t="shared" si="58"/>
        <v>1102016</v>
      </c>
      <c r="K367" s="15">
        <f t="shared" si="59"/>
        <v>5</v>
      </c>
      <c r="L367" s="15">
        <f t="shared" si="60"/>
        <v>15</v>
      </c>
      <c r="M367" s="15" t="str">
        <f t="shared" si="61"/>
        <v>黄</v>
      </c>
      <c r="N367" s="15" t="str">
        <f t="shared" si="62"/>
        <v>金币</v>
      </c>
      <c r="O367" s="15">
        <f>IF(L367&gt;1,INDEX(挂机升级突破!$AI$35:$AI$55,卡牌消耗!L367),"")</f>
        <v>63000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4">
        <v>331</v>
      </c>
      <c r="J368" s="15">
        <f t="shared" si="58"/>
        <v>1102016</v>
      </c>
      <c r="K368" s="15">
        <f t="shared" si="59"/>
        <v>5</v>
      </c>
      <c r="L368" s="15">
        <f t="shared" si="60"/>
        <v>16</v>
      </c>
      <c r="M368" s="15" t="str">
        <f t="shared" si="61"/>
        <v>黄</v>
      </c>
      <c r="N368" s="15" t="str">
        <f t="shared" si="62"/>
        <v>金币</v>
      </c>
      <c r="O368" s="15">
        <f>IF(L368&gt;1,INDEX(挂机升级突破!$AI$35:$AI$55,卡牌消耗!L368),"")</f>
        <v>73000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4">
        <v>332</v>
      </c>
      <c r="J369" s="15">
        <f t="shared" si="58"/>
        <v>1102016</v>
      </c>
      <c r="K369" s="15">
        <f t="shared" si="59"/>
        <v>5</v>
      </c>
      <c r="L369" s="15">
        <f t="shared" si="60"/>
        <v>17</v>
      </c>
      <c r="M369" s="15" t="str">
        <f t="shared" si="61"/>
        <v>黄</v>
      </c>
      <c r="N369" s="15" t="str">
        <f t="shared" si="62"/>
        <v>金币</v>
      </c>
      <c r="O369" s="15">
        <f>IF(L369&gt;1,INDEX(挂机升级突破!$AI$35:$AI$55,卡牌消耗!L369),"")</f>
        <v>76000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4">
        <v>333</v>
      </c>
      <c r="J370" s="15">
        <f t="shared" si="58"/>
        <v>1102016</v>
      </c>
      <c r="K370" s="15">
        <f t="shared" si="59"/>
        <v>5</v>
      </c>
      <c r="L370" s="15">
        <f t="shared" si="60"/>
        <v>18</v>
      </c>
      <c r="M370" s="15" t="str">
        <f t="shared" si="61"/>
        <v>黄</v>
      </c>
      <c r="N370" s="15" t="str">
        <f t="shared" si="62"/>
        <v>金币</v>
      </c>
      <c r="O370" s="15">
        <f>IF(L370&gt;1,INDEX(挂机升级突破!$AI$35:$AI$55,卡牌消耗!L370),"")</f>
        <v>106500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4">
        <v>334</v>
      </c>
      <c r="J371" s="15">
        <f t="shared" si="58"/>
        <v>1102016</v>
      </c>
      <c r="K371" s="15">
        <f t="shared" si="59"/>
        <v>5</v>
      </c>
      <c r="L371" s="15">
        <f t="shared" si="60"/>
        <v>19</v>
      </c>
      <c r="M371" s="15" t="str">
        <f t="shared" si="61"/>
        <v>黄</v>
      </c>
      <c r="N371" s="15" t="str">
        <f t="shared" si="62"/>
        <v>金币</v>
      </c>
      <c r="O371" s="15">
        <f>IF(L371&gt;1,INDEX(挂机升级突破!$AI$35:$AI$55,卡牌消耗!L371),"")</f>
        <v>142000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4">
        <v>335</v>
      </c>
      <c r="J372" s="15">
        <f t="shared" si="58"/>
        <v>1102016</v>
      </c>
      <c r="K372" s="15">
        <f t="shared" si="59"/>
        <v>5</v>
      </c>
      <c r="L372" s="15">
        <f t="shared" si="60"/>
        <v>20</v>
      </c>
      <c r="M372" s="15" t="str">
        <f t="shared" si="61"/>
        <v>黄</v>
      </c>
      <c r="N372" s="15" t="str">
        <f t="shared" si="62"/>
        <v>金币</v>
      </c>
      <c r="O372" s="15">
        <f>IF(L372&gt;1,INDEX(挂机升级突破!$AI$35:$AI$55,卡牌消耗!L372),"")</f>
        <v>177500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4">
        <v>336</v>
      </c>
      <c r="J373" s="15">
        <f t="shared" si="58"/>
        <v>1102016</v>
      </c>
      <c r="K373" s="15">
        <f t="shared" si="59"/>
        <v>5</v>
      </c>
      <c r="L373" s="15">
        <f t="shared" si="60"/>
        <v>21</v>
      </c>
      <c r="M373" s="15" t="str">
        <f t="shared" si="61"/>
        <v>黄</v>
      </c>
      <c r="N373" s="15" t="str">
        <f t="shared" si="62"/>
        <v>金币</v>
      </c>
      <c r="O373" s="15">
        <f>IF(L373&gt;1,INDEX(挂机升级突破!$AI$35:$AI$55,卡牌消耗!L373),"")</f>
        <v>213000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4">
        <v>337</v>
      </c>
      <c r="J374" s="15">
        <f t="shared" si="58"/>
        <v>1102017</v>
      </c>
      <c r="K374" s="15">
        <f t="shared" si="59"/>
        <v>4</v>
      </c>
      <c r="L374" s="15">
        <f t="shared" si="60"/>
        <v>1</v>
      </c>
      <c r="M374" s="15" t="str">
        <f t="shared" si="61"/>
        <v>蓝</v>
      </c>
      <c r="N374" s="15" t="str">
        <f t="shared" si="62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4">
        <v>338</v>
      </c>
      <c r="J375" s="15">
        <f t="shared" si="58"/>
        <v>1102017</v>
      </c>
      <c r="K375" s="15">
        <f t="shared" si="59"/>
        <v>4</v>
      </c>
      <c r="L375" s="15">
        <f t="shared" si="60"/>
        <v>2</v>
      </c>
      <c r="M375" s="15" t="str">
        <f t="shared" si="61"/>
        <v>蓝</v>
      </c>
      <c r="N375" s="15" t="str">
        <f t="shared" si="62"/>
        <v>金币</v>
      </c>
      <c r="O375" s="15">
        <f>IF(L375&gt;1,INDEX(挂机升级突破!$AI$35:$AI$55,卡牌消耗!L375),"")</f>
        <v>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4">
        <v>339</v>
      </c>
      <c r="J376" s="15">
        <f t="shared" si="58"/>
        <v>1102017</v>
      </c>
      <c r="K376" s="15">
        <f t="shared" si="59"/>
        <v>4</v>
      </c>
      <c r="L376" s="15">
        <f t="shared" si="60"/>
        <v>3</v>
      </c>
      <c r="M376" s="15" t="str">
        <f t="shared" si="61"/>
        <v>蓝</v>
      </c>
      <c r="N376" s="15" t="str">
        <f t="shared" si="62"/>
        <v>金币</v>
      </c>
      <c r="O376" s="15">
        <f>IF(L376&gt;1,INDEX(挂机升级突破!$AI$35:$AI$55,卡牌消耗!L376),"")</f>
        <v>2500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4">
        <v>340</v>
      </c>
      <c r="J377" s="15">
        <f t="shared" si="58"/>
        <v>1102017</v>
      </c>
      <c r="K377" s="15">
        <f t="shared" si="59"/>
        <v>4</v>
      </c>
      <c r="L377" s="15">
        <f t="shared" si="60"/>
        <v>4</v>
      </c>
      <c r="M377" s="15" t="str">
        <f t="shared" si="61"/>
        <v>蓝</v>
      </c>
      <c r="N377" s="15" t="str">
        <f t="shared" si="62"/>
        <v>金币</v>
      </c>
      <c r="O377" s="15">
        <f>IF(L377&gt;1,INDEX(挂机升级突破!$AI$35:$AI$55,卡牌消耗!L377),"")</f>
        <v>5500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4">
        <v>341</v>
      </c>
      <c r="J378" s="15">
        <f t="shared" si="58"/>
        <v>1102017</v>
      </c>
      <c r="K378" s="15">
        <f t="shared" si="59"/>
        <v>4</v>
      </c>
      <c r="L378" s="15">
        <f t="shared" si="60"/>
        <v>5</v>
      </c>
      <c r="M378" s="15" t="str">
        <f t="shared" si="61"/>
        <v>蓝</v>
      </c>
      <c r="N378" s="15" t="str">
        <f t="shared" si="62"/>
        <v>金币</v>
      </c>
      <c r="O378" s="15">
        <f>IF(L378&gt;1,INDEX(挂机升级突破!$AI$35:$AI$55,卡牌消耗!L378),"")</f>
        <v>7500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4">
        <v>342</v>
      </c>
      <c r="J379" s="15">
        <f t="shared" si="58"/>
        <v>1102017</v>
      </c>
      <c r="K379" s="15">
        <f t="shared" si="59"/>
        <v>4</v>
      </c>
      <c r="L379" s="15">
        <f t="shared" si="60"/>
        <v>6</v>
      </c>
      <c r="M379" s="15" t="str">
        <f t="shared" si="61"/>
        <v>蓝</v>
      </c>
      <c r="N379" s="15" t="str">
        <f t="shared" si="62"/>
        <v>金币</v>
      </c>
      <c r="O379" s="15">
        <f>IF(L379&gt;1,INDEX(挂机升级突破!$AI$35:$AI$55,卡牌消耗!L379),"")</f>
        <v>17500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4">
        <v>343</v>
      </c>
      <c r="J380" s="15">
        <f t="shared" si="58"/>
        <v>1102017</v>
      </c>
      <c r="K380" s="15">
        <f t="shared" si="59"/>
        <v>4</v>
      </c>
      <c r="L380" s="15">
        <f t="shared" si="60"/>
        <v>7</v>
      </c>
      <c r="M380" s="15" t="str">
        <f t="shared" si="61"/>
        <v>蓝</v>
      </c>
      <c r="N380" s="15" t="str">
        <f t="shared" si="62"/>
        <v>金币</v>
      </c>
      <c r="O380" s="15">
        <f>IF(L380&gt;1,INDEX(挂机升级突破!$AI$35:$AI$55,卡牌消耗!L380),"")</f>
        <v>19500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4">
        <v>344</v>
      </c>
      <c r="J381" s="15">
        <f t="shared" si="58"/>
        <v>1102017</v>
      </c>
      <c r="K381" s="15">
        <f t="shared" si="59"/>
        <v>4</v>
      </c>
      <c r="L381" s="15">
        <f t="shared" si="60"/>
        <v>8</v>
      </c>
      <c r="M381" s="15" t="str">
        <f t="shared" si="61"/>
        <v>蓝</v>
      </c>
      <c r="N381" s="15" t="str">
        <f t="shared" si="62"/>
        <v>金币</v>
      </c>
      <c r="O381" s="15">
        <f>IF(L381&gt;1,INDEX(挂机升级突破!$AI$35:$AI$55,卡牌消耗!L381),"")</f>
        <v>22000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4">
        <v>345</v>
      </c>
      <c r="J382" s="15">
        <f t="shared" si="58"/>
        <v>1102017</v>
      </c>
      <c r="K382" s="15">
        <f t="shared" si="59"/>
        <v>4</v>
      </c>
      <c r="L382" s="15">
        <f t="shared" si="60"/>
        <v>9</v>
      </c>
      <c r="M382" s="15" t="str">
        <f t="shared" si="61"/>
        <v>蓝</v>
      </c>
      <c r="N382" s="15" t="str">
        <f t="shared" si="62"/>
        <v>金币</v>
      </c>
      <c r="O382" s="15">
        <f>IF(L382&gt;1,INDEX(挂机升级突破!$AI$35:$AI$55,卡牌消耗!L382),"")</f>
        <v>25000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4">
        <v>346</v>
      </c>
      <c r="J383" s="15">
        <f t="shared" si="58"/>
        <v>1102017</v>
      </c>
      <c r="K383" s="15">
        <f t="shared" si="59"/>
        <v>4</v>
      </c>
      <c r="L383" s="15">
        <f t="shared" si="60"/>
        <v>10</v>
      </c>
      <c r="M383" s="15" t="str">
        <f t="shared" si="61"/>
        <v>蓝</v>
      </c>
      <c r="N383" s="15" t="str">
        <f t="shared" si="62"/>
        <v>金币</v>
      </c>
      <c r="O383" s="15">
        <f>IF(L383&gt;1,INDEX(挂机升级突破!$AI$35:$AI$55,卡牌消耗!L383),"")</f>
        <v>27500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4">
        <v>347</v>
      </c>
      <c r="J384" s="15">
        <f t="shared" si="58"/>
        <v>1102017</v>
      </c>
      <c r="K384" s="15">
        <f t="shared" si="59"/>
        <v>4</v>
      </c>
      <c r="L384" s="15">
        <f t="shared" si="60"/>
        <v>11</v>
      </c>
      <c r="M384" s="15" t="str">
        <f t="shared" si="61"/>
        <v>蓝</v>
      </c>
      <c r="N384" s="15" t="str">
        <f t="shared" si="62"/>
        <v>金币</v>
      </c>
      <c r="O384" s="15">
        <f>IF(L384&gt;1,INDEX(挂机升级突破!$AI$35:$AI$55,卡牌消耗!L384),"")</f>
        <v>30000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4">
        <v>348</v>
      </c>
      <c r="J385" s="15">
        <f t="shared" si="58"/>
        <v>1102017</v>
      </c>
      <c r="K385" s="15">
        <f t="shared" si="59"/>
        <v>4</v>
      </c>
      <c r="L385" s="15">
        <f t="shared" si="60"/>
        <v>12</v>
      </c>
      <c r="M385" s="15" t="str">
        <f t="shared" si="61"/>
        <v>蓝</v>
      </c>
      <c r="N385" s="15" t="str">
        <f t="shared" si="62"/>
        <v>金币</v>
      </c>
      <c r="O385" s="15">
        <f>IF(L385&gt;1,INDEX(挂机升级突破!$AI$35:$AI$55,卡牌消耗!L385),"")</f>
        <v>32000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4">
        <v>349</v>
      </c>
      <c r="J386" s="15">
        <f t="shared" si="58"/>
        <v>1102017</v>
      </c>
      <c r="K386" s="15">
        <f t="shared" si="59"/>
        <v>4</v>
      </c>
      <c r="L386" s="15">
        <f t="shared" si="60"/>
        <v>13</v>
      </c>
      <c r="M386" s="15" t="str">
        <f t="shared" si="61"/>
        <v>蓝</v>
      </c>
      <c r="N386" s="15" t="str">
        <f t="shared" si="62"/>
        <v>金币</v>
      </c>
      <c r="O386" s="15">
        <f>IF(L386&gt;1,INDEX(挂机升级突破!$AI$35:$AI$55,卡牌消耗!L386),"")</f>
        <v>40500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4">
        <v>350</v>
      </c>
      <c r="J387" s="15">
        <f t="shared" si="58"/>
        <v>1102017</v>
      </c>
      <c r="K387" s="15">
        <f t="shared" si="59"/>
        <v>4</v>
      </c>
      <c r="L387" s="15">
        <f t="shared" si="60"/>
        <v>14</v>
      </c>
      <c r="M387" s="15" t="str">
        <f t="shared" si="61"/>
        <v>蓝</v>
      </c>
      <c r="N387" s="15" t="str">
        <f t="shared" si="62"/>
        <v>金币</v>
      </c>
      <c r="O387" s="15">
        <f>IF(L387&gt;1,INDEX(挂机升级突破!$AI$35:$AI$55,卡牌消耗!L387),"")</f>
        <v>54000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4">
        <v>351</v>
      </c>
      <c r="J388" s="15">
        <f t="shared" si="58"/>
        <v>1102017</v>
      </c>
      <c r="K388" s="15">
        <f t="shared" si="59"/>
        <v>4</v>
      </c>
      <c r="L388" s="15">
        <f t="shared" si="60"/>
        <v>15</v>
      </c>
      <c r="M388" s="15" t="str">
        <f t="shared" si="61"/>
        <v>蓝</v>
      </c>
      <c r="N388" s="15" t="str">
        <f t="shared" si="62"/>
        <v>金币</v>
      </c>
      <c r="O388" s="15">
        <f>IF(L388&gt;1,INDEX(挂机升级突破!$AI$35:$AI$55,卡牌消耗!L388),"")</f>
        <v>63000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4">
        <v>352</v>
      </c>
      <c r="J389" s="15">
        <f t="shared" si="58"/>
        <v>1102017</v>
      </c>
      <c r="K389" s="15">
        <f t="shared" si="59"/>
        <v>4</v>
      </c>
      <c r="L389" s="15">
        <f t="shared" si="60"/>
        <v>16</v>
      </c>
      <c r="M389" s="15" t="str">
        <f t="shared" si="61"/>
        <v>蓝</v>
      </c>
      <c r="N389" s="15" t="str">
        <f t="shared" si="62"/>
        <v>金币</v>
      </c>
      <c r="O389" s="15">
        <f>IF(L389&gt;1,INDEX(挂机升级突破!$AI$35:$AI$55,卡牌消耗!L389),"")</f>
        <v>73000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4">
        <v>353</v>
      </c>
      <c r="J390" s="15">
        <f t="shared" si="58"/>
        <v>1102017</v>
      </c>
      <c r="K390" s="15">
        <f t="shared" si="59"/>
        <v>4</v>
      </c>
      <c r="L390" s="15">
        <f t="shared" si="60"/>
        <v>17</v>
      </c>
      <c r="M390" s="15" t="str">
        <f t="shared" si="61"/>
        <v>蓝</v>
      </c>
      <c r="N390" s="15" t="str">
        <f t="shared" si="62"/>
        <v>金币</v>
      </c>
      <c r="O390" s="15">
        <f>IF(L390&gt;1,INDEX(挂机升级突破!$AI$35:$AI$55,卡牌消耗!L390),"")</f>
        <v>76000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4">
        <v>354</v>
      </c>
      <c r="J391" s="15">
        <f t="shared" si="58"/>
        <v>1102017</v>
      </c>
      <c r="K391" s="15">
        <f t="shared" si="59"/>
        <v>4</v>
      </c>
      <c r="L391" s="15">
        <f t="shared" si="60"/>
        <v>18</v>
      </c>
      <c r="M391" s="15" t="str">
        <f t="shared" si="61"/>
        <v>蓝</v>
      </c>
      <c r="N391" s="15" t="str">
        <f t="shared" si="62"/>
        <v>金币</v>
      </c>
      <c r="O391" s="15">
        <f>IF(L391&gt;1,INDEX(挂机升级突破!$AI$35:$AI$55,卡牌消耗!L391),"")</f>
        <v>106500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4">
        <v>355</v>
      </c>
      <c r="J392" s="15">
        <f t="shared" si="58"/>
        <v>1102017</v>
      </c>
      <c r="K392" s="15">
        <f t="shared" si="59"/>
        <v>4</v>
      </c>
      <c r="L392" s="15">
        <f t="shared" si="60"/>
        <v>19</v>
      </c>
      <c r="M392" s="15" t="str">
        <f t="shared" si="61"/>
        <v>蓝</v>
      </c>
      <c r="N392" s="15" t="str">
        <f t="shared" si="62"/>
        <v>金币</v>
      </c>
      <c r="O392" s="15">
        <f>IF(L392&gt;1,INDEX(挂机升级突破!$AI$35:$AI$55,卡牌消耗!L392),"")</f>
        <v>142000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4">
        <v>356</v>
      </c>
      <c r="J393" s="15">
        <f t="shared" si="58"/>
        <v>1102017</v>
      </c>
      <c r="K393" s="15">
        <f t="shared" si="59"/>
        <v>4</v>
      </c>
      <c r="L393" s="15">
        <f t="shared" si="60"/>
        <v>20</v>
      </c>
      <c r="M393" s="15" t="str">
        <f t="shared" si="61"/>
        <v>蓝</v>
      </c>
      <c r="N393" s="15" t="str">
        <f t="shared" si="62"/>
        <v>金币</v>
      </c>
      <c r="O393" s="15">
        <f>IF(L393&gt;1,INDEX(挂机升级突破!$AI$35:$AI$55,卡牌消耗!L393),"")</f>
        <v>177500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4">
        <v>357</v>
      </c>
      <c r="J394" s="15">
        <f t="shared" si="58"/>
        <v>1102017</v>
      </c>
      <c r="K394" s="15">
        <f t="shared" si="59"/>
        <v>4</v>
      </c>
      <c r="L394" s="15">
        <f t="shared" si="60"/>
        <v>21</v>
      </c>
      <c r="M394" s="15" t="str">
        <f t="shared" si="61"/>
        <v>蓝</v>
      </c>
      <c r="N394" s="15" t="str">
        <f t="shared" si="62"/>
        <v>金币</v>
      </c>
      <c r="O394" s="15">
        <f>IF(L394&gt;1,INDEX(挂机升级突破!$AI$35:$AI$55,卡牌消耗!L394),"")</f>
        <v>213000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4">
        <v>358</v>
      </c>
      <c r="J395" s="15">
        <f t="shared" si="58"/>
        <v>1102018</v>
      </c>
      <c r="K395" s="15">
        <f t="shared" si="59"/>
        <v>3</v>
      </c>
      <c r="L395" s="15">
        <f t="shared" si="60"/>
        <v>1</v>
      </c>
      <c r="M395" s="15" t="str">
        <f t="shared" si="61"/>
        <v>黄</v>
      </c>
      <c r="N395" s="15" t="str">
        <f t="shared" si="62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4">
        <v>359</v>
      </c>
      <c r="J396" s="15">
        <f t="shared" si="58"/>
        <v>1102018</v>
      </c>
      <c r="K396" s="15">
        <f t="shared" si="59"/>
        <v>3</v>
      </c>
      <c r="L396" s="15">
        <f t="shared" si="60"/>
        <v>2</v>
      </c>
      <c r="M396" s="15" t="str">
        <f t="shared" si="61"/>
        <v>黄</v>
      </c>
      <c r="N396" s="15" t="str">
        <f t="shared" si="62"/>
        <v>金币</v>
      </c>
      <c r="O396" s="15">
        <f>IF(L396&gt;1,INDEX(挂机升级突破!$AI$35:$AI$55,卡牌消耗!L396),"")</f>
        <v>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4">
        <v>360</v>
      </c>
      <c r="J397" s="15">
        <f t="shared" si="58"/>
        <v>1102018</v>
      </c>
      <c r="K397" s="15">
        <f t="shared" si="59"/>
        <v>3</v>
      </c>
      <c r="L397" s="15">
        <f t="shared" si="60"/>
        <v>3</v>
      </c>
      <c r="M397" s="15" t="str">
        <f t="shared" si="61"/>
        <v>黄</v>
      </c>
      <c r="N397" s="15" t="str">
        <f t="shared" si="62"/>
        <v>金币</v>
      </c>
      <c r="O397" s="15">
        <f>IF(L397&gt;1,INDEX(挂机升级突破!$AI$35:$AI$55,卡牌消耗!L397),"")</f>
        <v>2500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4">
        <v>361</v>
      </c>
      <c r="J398" s="15">
        <f t="shared" si="58"/>
        <v>1102018</v>
      </c>
      <c r="K398" s="15">
        <f t="shared" si="59"/>
        <v>3</v>
      </c>
      <c r="L398" s="15">
        <f t="shared" si="60"/>
        <v>4</v>
      </c>
      <c r="M398" s="15" t="str">
        <f t="shared" si="61"/>
        <v>黄</v>
      </c>
      <c r="N398" s="15" t="str">
        <f t="shared" si="62"/>
        <v>金币</v>
      </c>
      <c r="O398" s="15">
        <f>IF(L398&gt;1,INDEX(挂机升级突破!$AI$35:$AI$55,卡牌消耗!L398),"")</f>
        <v>5500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4">
        <v>362</v>
      </c>
      <c r="J399" s="15">
        <f t="shared" si="58"/>
        <v>1102018</v>
      </c>
      <c r="K399" s="15">
        <f t="shared" si="59"/>
        <v>3</v>
      </c>
      <c r="L399" s="15">
        <f t="shared" si="60"/>
        <v>5</v>
      </c>
      <c r="M399" s="15" t="str">
        <f t="shared" si="61"/>
        <v>黄</v>
      </c>
      <c r="N399" s="15" t="str">
        <f t="shared" si="62"/>
        <v>金币</v>
      </c>
      <c r="O399" s="15">
        <f>IF(L399&gt;1,INDEX(挂机升级突破!$AI$35:$AI$55,卡牌消耗!L399),"")</f>
        <v>7500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4">
        <v>363</v>
      </c>
      <c r="J400" s="15">
        <f t="shared" si="58"/>
        <v>1102018</v>
      </c>
      <c r="K400" s="15">
        <f t="shared" si="59"/>
        <v>3</v>
      </c>
      <c r="L400" s="15">
        <f t="shared" si="60"/>
        <v>6</v>
      </c>
      <c r="M400" s="15" t="str">
        <f t="shared" si="61"/>
        <v>黄</v>
      </c>
      <c r="N400" s="15" t="str">
        <f t="shared" si="62"/>
        <v>金币</v>
      </c>
      <c r="O400" s="15">
        <f>IF(L400&gt;1,INDEX(挂机升级突破!$AI$35:$AI$55,卡牌消耗!L400),"")</f>
        <v>17500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4">
        <v>364</v>
      </c>
      <c r="J401" s="15">
        <f t="shared" si="58"/>
        <v>1102018</v>
      </c>
      <c r="K401" s="15">
        <f t="shared" si="59"/>
        <v>3</v>
      </c>
      <c r="L401" s="15">
        <f t="shared" si="60"/>
        <v>7</v>
      </c>
      <c r="M401" s="15" t="str">
        <f t="shared" si="61"/>
        <v>黄</v>
      </c>
      <c r="N401" s="15" t="str">
        <f t="shared" si="62"/>
        <v>金币</v>
      </c>
      <c r="O401" s="15">
        <f>IF(L401&gt;1,INDEX(挂机升级突破!$AI$35:$AI$55,卡牌消耗!L401),"")</f>
        <v>19500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4">
        <v>365</v>
      </c>
      <c r="J402" s="15">
        <f t="shared" si="58"/>
        <v>1102018</v>
      </c>
      <c r="K402" s="15">
        <f t="shared" si="59"/>
        <v>3</v>
      </c>
      <c r="L402" s="15">
        <f t="shared" si="60"/>
        <v>8</v>
      </c>
      <c r="M402" s="15" t="str">
        <f t="shared" si="61"/>
        <v>黄</v>
      </c>
      <c r="N402" s="15" t="str">
        <f t="shared" si="62"/>
        <v>金币</v>
      </c>
      <c r="O402" s="15">
        <f>IF(L402&gt;1,INDEX(挂机升级突破!$AI$35:$AI$55,卡牌消耗!L402),"")</f>
        <v>22000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4">
        <v>366</v>
      </c>
      <c r="J403" s="15">
        <f t="shared" si="58"/>
        <v>1102018</v>
      </c>
      <c r="K403" s="15">
        <f t="shared" si="59"/>
        <v>3</v>
      </c>
      <c r="L403" s="15">
        <f t="shared" si="60"/>
        <v>9</v>
      </c>
      <c r="M403" s="15" t="str">
        <f t="shared" si="61"/>
        <v>黄</v>
      </c>
      <c r="N403" s="15" t="str">
        <f t="shared" si="62"/>
        <v>金币</v>
      </c>
      <c r="O403" s="15">
        <f>IF(L403&gt;1,INDEX(挂机升级突破!$AI$35:$AI$55,卡牌消耗!L403),"")</f>
        <v>25000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4">
        <v>367</v>
      </c>
      <c r="J404" s="15">
        <f t="shared" si="58"/>
        <v>1102018</v>
      </c>
      <c r="K404" s="15">
        <f t="shared" si="59"/>
        <v>3</v>
      </c>
      <c r="L404" s="15">
        <f t="shared" si="60"/>
        <v>10</v>
      </c>
      <c r="M404" s="15" t="str">
        <f t="shared" si="61"/>
        <v>黄</v>
      </c>
      <c r="N404" s="15" t="str">
        <f t="shared" si="62"/>
        <v>金币</v>
      </c>
      <c r="O404" s="15">
        <f>IF(L404&gt;1,INDEX(挂机升级突破!$AI$35:$AI$55,卡牌消耗!L404),"")</f>
        <v>27500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4">
        <v>368</v>
      </c>
      <c r="J405" s="15">
        <f t="shared" si="58"/>
        <v>1102018</v>
      </c>
      <c r="K405" s="15">
        <f t="shared" si="59"/>
        <v>3</v>
      </c>
      <c r="L405" s="15">
        <f t="shared" si="60"/>
        <v>11</v>
      </c>
      <c r="M405" s="15" t="str">
        <f t="shared" si="61"/>
        <v>黄</v>
      </c>
      <c r="N405" s="15" t="str">
        <f t="shared" si="62"/>
        <v>金币</v>
      </c>
      <c r="O405" s="15">
        <f>IF(L405&gt;1,INDEX(挂机升级突破!$AI$35:$AI$55,卡牌消耗!L405),"")</f>
        <v>30000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4">
        <v>369</v>
      </c>
      <c r="J406" s="15">
        <f t="shared" si="58"/>
        <v>1102018</v>
      </c>
      <c r="K406" s="15">
        <f t="shared" si="59"/>
        <v>3</v>
      </c>
      <c r="L406" s="15">
        <f t="shared" si="60"/>
        <v>12</v>
      </c>
      <c r="M406" s="15" t="str">
        <f t="shared" si="61"/>
        <v>黄</v>
      </c>
      <c r="N406" s="15" t="str">
        <f t="shared" si="62"/>
        <v>金币</v>
      </c>
      <c r="O406" s="15">
        <f>IF(L406&gt;1,INDEX(挂机升级突破!$AI$35:$AI$55,卡牌消耗!L406),"")</f>
        <v>32000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4">
        <v>370</v>
      </c>
      <c r="J407" s="15">
        <f t="shared" si="58"/>
        <v>1102018</v>
      </c>
      <c r="K407" s="15">
        <f t="shared" si="59"/>
        <v>3</v>
      </c>
      <c r="L407" s="15">
        <f t="shared" si="60"/>
        <v>13</v>
      </c>
      <c r="M407" s="15" t="str">
        <f t="shared" si="61"/>
        <v>黄</v>
      </c>
      <c r="N407" s="15" t="str">
        <f t="shared" si="62"/>
        <v>金币</v>
      </c>
      <c r="O407" s="15">
        <f>IF(L407&gt;1,INDEX(挂机升级突破!$AI$35:$AI$55,卡牌消耗!L407),"")</f>
        <v>40500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4">
        <v>371</v>
      </c>
      <c r="J408" s="15">
        <f t="shared" si="58"/>
        <v>1102018</v>
      </c>
      <c r="K408" s="15">
        <f t="shared" si="59"/>
        <v>3</v>
      </c>
      <c r="L408" s="15">
        <f t="shared" si="60"/>
        <v>14</v>
      </c>
      <c r="M408" s="15" t="str">
        <f t="shared" si="61"/>
        <v>黄</v>
      </c>
      <c r="N408" s="15" t="str">
        <f t="shared" si="62"/>
        <v>金币</v>
      </c>
      <c r="O408" s="15">
        <f>IF(L408&gt;1,INDEX(挂机升级突破!$AI$35:$AI$55,卡牌消耗!L408),"")</f>
        <v>54000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4">
        <v>372</v>
      </c>
      <c r="J409" s="15">
        <f t="shared" si="58"/>
        <v>1102018</v>
      </c>
      <c r="K409" s="15">
        <f t="shared" si="59"/>
        <v>3</v>
      </c>
      <c r="L409" s="15">
        <f t="shared" si="60"/>
        <v>15</v>
      </c>
      <c r="M409" s="15" t="str">
        <f t="shared" si="61"/>
        <v>黄</v>
      </c>
      <c r="N409" s="15" t="str">
        <f t="shared" si="62"/>
        <v>金币</v>
      </c>
      <c r="O409" s="15">
        <f>IF(L409&gt;1,INDEX(挂机升级突破!$AI$35:$AI$55,卡牌消耗!L409),"")</f>
        <v>63000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4">
        <v>373</v>
      </c>
      <c r="J410" s="15">
        <f t="shared" si="58"/>
        <v>1102018</v>
      </c>
      <c r="K410" s="15">
        <f t="shared" si="59"/>
        <v>3</v>
      </c>
      <c r="L410" s="15">
        <f t="shared" si="60"/>
        <v>16</v>
      </c>
      <c r="M410" s="15" t="str">
        <f t="shared" si="61"/>
        <v>黄</v>
      </c>
      <c r="N410" s="15" t="str">
        <f t="shared" si="62"/>
        <v>金币</v>
      </c>
      <c r="O410" s="15">
        <f>IF(L410&gt;1,INDEX(挂机升级突破!$AI$35:$AI$55,卡牌消耗!L410),"")</f>
        <v>73000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4">
        <v>374</v>
      </c>
      <c r="J411" s="15">
        <f t="shared" si="58"/>
        <v>1102018</v>
      </c>
      <c r="K411" s="15">
        <f t="shared" si="59"/>
        <v>3</v>
      </c>
      <c r="L411" s="15">
        <f t="shared" si="60"/>
        <v>17</v>
      </c>
      <c r="M411" s="15" t="str">
        <f t="shared" si="61"/>
        <v>黄</v>
      </c>
      <c r="N411" s="15" t="str">
        <f t="shared" si="62"/>
        <v>金币</v>
      </c>
      <c r="O411" s="15">
        <f>IF(L411&gt;1,INDEX(挂机升级突破!$AI$35:$AI$55,卡牌消耗!L411),"")</f>
        <v>76000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4">
        <v>375</v>
      </c>
      <c r="J412" s="15">
        <f t="shared" si="58"/>
        <v>1102018</v>
      </c>
      <c r="K412" s="15">
        <f t="shared" si="59"/>
        <v>3</v>
      </c>
      <c r="L412" s="15">
        <f t="shared" si="60"/>
        <v>18</v>
      </c>
      <c r="M412" s="15" t="str">
        <f t="shared" si="61"/>
        <v>黄</v>
      </c>
      <c r="N412" s="15" t="str">
        <f t="shared" si="62"/>
        <v>金币</v>
      </c>
      <c r="O412" s="15">
        <f>IF(L412&gt;1,INDEX(挂机升级突破!$AI$35:$AI$55,卡牌消耗!L412),"")</f>
        <v>106500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4">
        <v>376</v>
      </c>
      <c r="J413" s="15">
        <f t="shared" si="58"/>
        <v>1102018</v>
      </c>
      <c r="K413" s="15">
        <f t="shared" si="59"/>
        <v>3</v>
      </c>
      <c r="L413" s="15">
        <f t="shared" si="60"/>
        <v>19</v>
      </c>
      <c r="M413" s="15" t="str">
        <f t="shared" si="61"/>
        <v>黄</v>
      </c>
      <c r="N413" s="15" t="str">
        <f t="shared" si="62"/>
        <v>金币</v>
      </c>
      <c r="O413" s="15">
        <f>IF(L413&gt;1,INDEX(挂机升级突破!$AI$35:$AI$55,卡牌消耗!L413),"")</f>
        <v>142000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4">
        <v>377</v>
      </c>
      <c r="J414" s="15">
        <f t="shared" si="58"/>
        <v>1102018</v>
      </c>
      <c r="K414" s="15">
        <f t="shared" si="59"/>
        <v>3</v>
      </c>
      <c r="L414" s="15">
        <f t="shared" si="60"/>
        <v>20</v>
      </c>
      <c r="M414" s="15" t="str">
        <f t="shared" si="61"/>
        <v>黄</v>
      </c>
      <c r="N414" s="15" t="str">
        <f t="shared" si="62"/>
        <v>金币</v>
      </c>
      <c r="O414" s="15">
        <f>IF(L414&gt;1,INDEX(挂机升级突破!$AI$35:$AI$55,卡牌消耗!L414),"")</f>
        <v>177500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4">
        <v>378</v>
      </c>
      <c r="J415" s="15">
        <f t="shared" si="58"/>
        <v>1102018</v>
      </c>
      <c r="K415" s="15">
        <f t="shared" si="59"/>
        <v>3</v>
      </c>
      <c r="L415" s="15">
        <f t="shared" si="60"/>
        <v>21</v>
      </c>
      <c r="M415" s="15" t="str">
        <f t="shared" si="61"/>
        <v>黄</v>
      </c>
      <c r="N415" s="15" t="str">
        <f t="shared" si="62"/>
        <v>金币</v>
      </c>
      <c r="O415" s="15">
        <f>IF(L415&gt;1,INDEX(挂机升级突破!$AI$35:$AI$55,卡牌消耗!L415),"")</f>
        <v>213000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4">
        <v>379</v>
      </c>
      <c r="J416" s="15">
        <f t="shared" si="58"/>
        <v>1102019</v>
      </c>
      <c r="K416" s="15">
        <f t="shared" si="59"/>
        <v>3</v>
      </c>
      <c r="L416" s="15">
        <f t="shared" si="60"/>
        <v>1</v>
      </c>
      <c r="M416" s="15" t="str">
        <f t="shared" si="61"/>
        <v>红</v>
      </c>
      <c r="N416" s="15" t="str">
        <f t="shared" si="62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4">
        <v>380</v>
      </c>
      <c r="J417" s="15">
        <f t="shared" si="58"/>
        <v>1102019</v>
      </c>
      <c r="K417" s="15">
        <f t="shared" si="59"/>
        <v>3</v>
      </c>
      <c r="L417" s="15">
        <f t="shared" si="60"/>
        <v>2</v>
      </c>
      <c r="M417" s="15" t="str">
        <f t="shared" si="61"/>
        <v>红</v>
      </c>
      <c r="N417" s="15" t="str">
        <f t="shared" si="62"/>
        <v>金币</v>
      </c>
      <c r="O417" s="15">
        <f>IF(L417&gt;1,INDEX(挂机升级突破!$AI$35:$AI$55,卡牌消耗!L417),"")</f>
        <v>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4">
        <v>381</v>
      </c>
      <c r="J418" s="15">
        <f t="shared" si="58"/>
        <v>1102019</v>
      </c>
      <c r="K418" s="15">
        <f t="shared" si="59"/>
        <v>3</v>
      </c>
      <c r="L418" s="15">
        <f t="shared" si="60"/>
        <v>3</v>
      </c>
      <c r="M418" s="15" t="str">
        <f t="shared" si="61"/>
        <v>红</v>
      </c>
      <c r="N418" s="15" t="str">
        <f t="shared" si="62"/>
        <v>金币</v>
      </c>
      <c r="O418" s="15">
        <f>IF(L418&gt;1,INDEX(挂机升级突破!$AI$35:$AI$55,卡牌消耗!L418),"")</f>
        <v>2500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4">
        <v>382</v>
      </c>
      <c r="J419" s="15">
        <f t="shared" si="58"/>
        <v>1102019</v>
      </c>
      <c r="K419" s="15">
        <f t="shared" si="59"/>
        <v>3</v>
      </c>
      <c r="L419" s="15">
        <f t="shared" si="60"/>
        <v>4</v>
      </c>
      <c r="M419" s="15" t="str">
        <f t="shared" si="61"/>
        <v>红</v>
      </c>
      <c r="N419" s="15" t="str">
        <f t="shared" si="62"/>
        <v>金币</v>
      </c>
      <c r="O419" s="15">
        <f>IF(L419&gt;1,INDEX(挂机升级突破!$AI$35:$AI$55,卡牌消耗!L419),"")</f>
        <v>5500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4">
        <v>383</v>
      </c>
      <c r="J420" s="15">
        <f t="shared" si="58"/>
        <v>1102019</v>
      </c>
      <c r="K420" s="15">
        <f t="shared" si="59"/>
        <v>3</v>
      </c>
      <c r="L420" s="15">
        <f t="shared" si="60"/>
        <v>5</v>
      </c>
      <c r="M420" s="15" t="str">
        <f t="shared" si="61"/>
        <v>红</v>
      </c>
      <c r="N420" s="15" t="str">
        <f t="shared" si="62"/>
        <v>金币</v>
      </c>
      <c r="O420" s="15">
        <f>IF(L420&gt;1,INDEX(挂机升级突破!$AI$35:$AI$55,卡牌消耗!L420),"")</f>
        <v>7500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4">
        <v>384</v>
      </c>
      <c r="J421" s="15">
        <f t="shared" si="58"/>
        <v>1102019</v>
      </c>
      <c r="K421" s="15">
        <f t="shared" si="59"/>
        <v>3</v>
      </c>
      <c r="L421" s="15">
        <f t="shared" si="60"/>
        <v>6</v>
      </c>
      <c r="M421" s="15" t="str">
        <f t="shared" si="61"/>
        <v>红</v>
      </c>
      <c r="N421" s="15" t="str">
        <f t="shared" si="62"/>
        <v>金币</v>
      </c>
      <c r="O421" s="15">
        <f>IF(L421&gt;1,INDEX(挂机升级突破!$AI$35:$AI$55,卡牌消耗!L421),"")</f>
        <v>17500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4">
        <v>385</v>
      </c>
      <c r="J422" s="15">
        <f t="shared" si="58"/>
        <v>1102019</v>
      </c>
      <c r="K422" s="15">
        <f t="shared" si="59"/>
        <v>3</v>
      </c>
      <c r="L422" s="15">
        <f t="shared" si="60"/>
        <v>7</v>
      </c>
      <c r="M422" s="15" t="str">
        <f t="shared" si="61"/>
        <v>红</v>
      </c>
      <c r="N422" s="15" t="str">
        <f t="shared" si="62"/>
        <v>金币</v>
      </c>
      <c r="O422" s="15">
        <f>IF(L422&gt;1,INDEX(挂机升级突破!$AI$35:$AI$55,卡牌消耗!L422),"")</f>
        <v>19500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4">
        <v>386</v>
      </c>
      <c r="J423" s="15">
        <f t="shared" ref="J423:J486" si="63">INDEX($A$13:$A$34,INT((I423-1)/21)+1)</f>
        <v>1102019</v>
      </c>
      <c r="K423" s="15">
        <f t="shared" ref="K423:K486" si="64">VLOOKUP(J423,$A$13:$D$34,3)</f>
        <v>3</v>
      </c>
      <c r="L423" s="15">
        <f t="shared" ref="L423:L457" si="65">MOD((I423-1),21)+1</f>
        <v>8</v>
      </c>
      <c r="M423" s="15" t="str">
        <f t="shared" ref="M423:M486" si="66">INDEX($J$2:$L$2,INDEX($E$13:$E$34,INT((I423-1)/21)+1))</f>
        <v>红</v>
      </c>
      <c r="N423" s="15" t="str">
        <f t="shared" ref="N423:N457" si="67">IF(L423&gt;1,"金币","")</f>
        <v>金币</v>
      </c>
      <c r="O423" s="15">
        <f>IF(L423&gt;1,INDEX(挂机升级突破!$AI$35:$AI$55,卡牌消耗!L423),"")</f>
        <v>22000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4">
        <v>387</v>
      </c>
      <c r="J424" s="15">
        <f t="shared" si="63"/>
        <v>1102019</v>
      </c>
      <c r="K424" s="15">
        <f t="shared" si="64"/>
        <v>3</v>
      </c>
      <c r="L424" s="15">
        <f t="shared" si="65"/>
        <v>9</v>
      </c>
      <c r="M424" s="15" t="str">
        <f t="shared" si="66"/>
        <v>红</v>
      </c>
      <c r="N424" s="15" t="str">
        <f t="shared" si="67"/>
        <v>金币</v>
      </c>
      <c r="O424" s="15">
        <f>IF(L424&gt;1,INDEX(挂机升级突破!$AI$35:$AI$55,卡牌消耗!L424),"")</f>
        <v>25000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4">
        <v>388</v>
      </c>
      <c r="J425" s="15">
        <f t="shared" si="63"/>
        <v>1102019</v>
      </c>
      <c r="K425" s="15">
        <f t="shared" si="64"/>
        <v>3</v>
      </c>
      <c r="L425" s="15">
        <f t="shared" si="65"/>
        <v>10</v>
      </c>
      <c r="M425" s="15" t="str">
        <f t="shared" si="66"/>
        <v>红</v>
      </c>
      <c r="N425" s="15" t="str">
        <f t="shared" si="67"/>
        <v>金币</v>
      </c>
      <c r="O425" s="15">
        <f>IF(L425&gt;1,INDEX(挂机升级突破!$AI$35:$AI$55,卡牌消耗!L425),"")</f>
        <v>27500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4">
        <v>389</v>
      </c>
      <c r="J426" s="15">
        <f t="shared" si="63"/>
        <v>1102019</v>
      </c>
      <c r="K426" s="15">
        <f t="shared" si="64"/>
        <v>3</v>
      </c>
      <c r="L426" s="15">
        <f t="shared" si="65"/>
        <v>11</v>
      </c>
      <c r="M426" s="15" t="str">
        <f t="shared" si="66"/>
        <v>红</v>
      </c>
      <c r="N426" s="15" t="str">
        <f t="shared" si="67"/>
        <v>金币</v>
      </c>
      <c r="O426" s="15">
        <f>IF(L426&gt;1,INDEX(挂机升级突破!$AI$35:$AI$55,卡牌消耗!L426),"")</f>
        <v>30000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4">
        <v>390</v>
      </c>
      <c r="J427" s="15">
        <f t="shared" si="63"/>
        <v>1102019</v>
      </c>
      <c r="K427" s="15">
        <f t="shared" si="64"/>
        <v>3</v>
      </c>
      <c r="L427" s="15">
        <f t="shared" si="65"/>
        <v>12</v>
      </c>
      <c r="M427" s="15" t="str">
        <f t="shared" si="66"/>
        <v>红</v>
      </c>
      <c r="N427" s="15" t="str">
        <f t="shared" si="67"/>
        <v>金币</v>
      </c>
      <c r="O427" s="15">
        <f>IF(L427&gt;1,INDEX(挂机升级突破!$AI$35:$AI$55,卡牌消耗!L427),"")</f>
        <v>32000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4">
        <v>391</v>
      </c>
      <c r="J428" s="15">
        <f t="shared" si="63"/>
        <v>1102019</v>
      </c>
      <c r="K428" s="15">
        <f t="shared" si="64"/>
        <v>3</v>
      </c>
      <c r="L428" s="15">
        <f t="shared" si="65"/>
        <v>13</v>
      </c>
      <c r="M428" s="15" t="str">
        <f t="shared" si="66"/>
        <v>红</v>
      </c>
      <c r="N428" s="15" t="str">
        <f t="shared" si="67"/>
        <v>金币</v>
      </c>
      <c r="O428" s="15">
        <f>IF(L428&gt;1,INDEX(挂机升级突破!$AI$35:$AI$55,卡牌消耗!L428),"")</f>
        <v>40500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4">
        <v>392</v>
      </c>
      <c r="J429" s="15">
        <f t="shared" si="63"/>
        <v>1102019</v>
      </c>
      <c r="K429" s="15">
        <f t="shared" si="64"/>
        <v>3</v>
      </c>
      <c r="L429" s="15">
        <f t="shared" si="65"/>
        <v>14</v>
      </c>
      <c r="M429" s="15" t="str">
        <f t="shared" si="66"/>
        <v>红</v>
      </c>
      <c r="N429" s="15" t="str">
        <f t="shared" si="67"/>
        <v>金币</v>
      </c>
      <c r="O429" s="15">
        <f>IF(L429&gt;1,INDEX(挂机升级突破!$AI$35:$AI$55,卡牌消耗!L429),"")</f>
        <v>54000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4">
        <v>393</v>
      </c>
      <c r="J430" s="15">
        <f t="shared" si="63"/>
        <v>1102019</v>
      </c>
      <c r="K430" s="15">
        <f t="shared" si="64"/>
        <v>3</v>
      </c>
      <c r="L430" s="15">
        <f t="shared" si="65"/>
        <v>15</v>
      </c>
      <c r="M430" s="15" t="str">
        <f t="shared" si="66"/>
        <v>红</v>
      </c>
      <c r="N430" s="15" t="str">
        <f t="shared" si="67"/>
        <v>金币</v>
      </c>
      <c r="O430" s="15">
        <f>IF(L430&gt;1,INDEX(挂机升级突破!$AI$35:$AI$55,卡牌消耗!L430),"")</f>
        <v>63000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4">
        <v>394</v>
      </c>
      <c r="J431" s="15">
        <f t="shared" si="63"/>
        <v>1102019</v>
      </c>
      <c r="K431" s="15">
        <f t="shared" si="64"/>
        <v>3</v>
      </c>
      <c r="L431" s="15">
        <f t="shared" si="65"/>
        <v>16</v>
      </c>
      <c r="M431" s="15" t="str">
        <f t="shared" si="66"/>
        <v>红</v>
      </c>
      <c r="N431" s="15" t="str">
        <f t="shared" si="67"/>
        <v>金币</v>
      </c>
      <c r="O431" s="15">
        <f>IF(L431&gt;1,INDEX(挂机升级突破!$AI$35:$AI$55,卡牌消耗!L431),"")</f>
        <v>73000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4">
        <v>395</v>
      </c>
      <c r="J432" s="15">
        <f t="shared" si="63"/>
        <v>1102019</v>
      </c>
      <c r="K432" s="15">
        <f t="shared" si="64"/>
        <v>3</v>
      </c>
      <c r="L432" s="15">
        <f t="shared" si="65"/>
        <v>17</v>
      </c>
      <c r="M432" s="15" t="str">
        <f t="shared" si="66"/>
        <v>红</v>
      </c>
      <c r="N432" s="15" t="str">
        <f t="shared" si="67"/>
        <v>金币</v>
      </c>
      <c r="O432" s="15">
        <f>IF(L432&gt;1,INDEX(挂机升级突破!$AI$35:$AI$55,卡牌消耗!L432),"")</f>
        <v>76000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4">
        <v>396</v>
      </c>
      <c r="J433" s="15">
        <f t="shared" si="63"/>
        <v>1102019</v>
      </c>
      <c r="K433" s="15">
        <f t="shared" si="64"/>
        <v>3</v>
      </c>
      <c r="L433" s="15">
        <f t="shared" si="65"/>
        <v>18</v>
      </c>
      <c r="M433" s="15" t="str">
        <f t="shared" si="66"/>
        <v>红</v>
      </c>
      <c r="N433" s="15" t="str">
        <f t="shared" si="67"/>
        <v>金币</v>
      </c>
      <c r="O433" s="15">
        <f>IF(L433&gt;1,INDEX(挂机升级突破!$AI$35:$AI$55,卡牌消耗!L433),"")</f>
        <v>106500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4">
        <v>397</v>
      </c>
      <c r="J434" s="15">
        <f t="shared" si="63"/>
        <v>1102019</v>
      </c>
      <c r="K434" s="15">
        <f t="shared" si="64"/>
        <v>3</v>
      </c>
      <c r="L434" s="15">
        <f t="shared" si="65"/>
        <v>19</v>
      </c>
      <c r="M434" s="15" t="str">
        <f t="shared" si="66"/>
        <v>红</v>
      </c>
      <c r="N434" s="15" t="str">
        <f t="shared" si="67"/>
        <v>金币</v>
      </c>
      <c r="O434" s="15">
        <f>IF(L434&gt;1,INDEX(挂机升级突破!$AI$35:$AI$55,卡牌消耗!L434),"")</f>
        <v>142000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4">
        <v>398</v>
      </c>
      <c r="J435" s="15">
        <f t="shared" si="63"/>
        <v>1102019</v>
      </c>
      <c r="K435" s="15">
        <f t="shared" si="64"/>
        <v>3</v>
      </c>
      <c r="L435" s="15">
        <f t="shared" si="65"/>
        <v>20</v>
      </c>
      <c r="M435" s="15" t="str">
        <f t="shared" si="66"/>
        <v>红</v>
      </c>
      <c r="N435" s="15" t="str">
        <f t="shared" si="67"/>
        <v>金币</v>
      </c>
      <c r="O435" s="15">
        <f>IF(L435&gt;1,INDEX(挂机升级突破!$AI$35:$AI$55,卡牌消耗!L435),"")</f>
        <v>177500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4">
        <v>399</v>
      </c>
      <c r="J436" s="15">
        <f t="shared" si="63"/>
        <v>1102019</v>
      </c>
      <c r="K436" s="15">
        <f t="shared" si="64"/>
        <v>3</v>
      </c>
      <c r="L436" s="15">
        <f t="shared" si="65"/>
        <v>21</v>
      </c>
      <c r="M436" s="15" t="str">
        <f t="shared" si="66"/>
        <v>红</v>
      </c>
      <c r="N436" s="15" t="str">
        <f t="shared" si="67"/>
        <v>金币</v>
      </c>
      <c r="O436" s="15">
        <f>IF(L436&gt;1,INDEX(挂机升级突破!$AI$35:$AI$55,卡牌消耗!L436),"")</f>
        <v>213000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4">
        <v>400</v>
      </c>
      <c r="J437" s="15">
        <f t="shared" si="63"/>
        <v>1102020</v>
      </c>
      <c r="K437" s="15">
        <f t="shared" si="64"/>
        <v>3</v>
      </c>
      <c r="L437" s="15">
        <f t="shared" si="65"/>
        <v>1</v>
      </c>
      <c r="M437" s="15" t="str">
        <f t="shared" si="66"/>
        <v>黄</v>
      </c>
      <c r="N437" s="15" t="str">
        <f t="shared" si="67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4">
        <v>401</v>
      </c>
      <c r="J438" s="15">
        <f t="shared" si="63"/>
        <v>1102020</v>
      </c>
      <c r="K438" s="15">
        <f t="shared" si="64"/>
        <v>3</v>
      </c>
      <c r="L438" s="15">
        <f t="shared" si="65"/>
        <v>2</v>
      </c>
      <c r="M438" s="15" t="str">
        <f t="shared" si="66"/>
        <v>黄</v>
      </c>
      <c r="N438" s="15" t="str">
        <f t="shared" si="67"/>
        <v>金币</v>
      </c>
      <c r="O438" s="15">
        <f>IF(L438&gt;1,INDEX(挂机升级突破!$AI$35:$AI$55,卡牌消耗!L438),"")</f>
        <v>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4">
        <v>402</v>
      </c>
      <c r="J439" s="15">
        <f t="shared" si="63"/>
        <v>1102020</v>
      </c>
      <c r="K439" s="15">
        <f t="shared" si="64"/>
        <v>3</v>
      </c>
      <c r="L439" s="15">
        <f t="shared" si="65"/>
        <v>3</v>
      </c>
      <c r="M439" s="15" t="str">
        <f t="shared" si="66"/>
        <v>黄</v>
      </c>
      <c r="N439" s="15" t="str">
        <f t="shared" si="67"/>
        <v>金币</v>
      </c>
      <c r="O439" s="15">
        <f>IF(L439&gt;1,INDEX(挂机升级突破!$AI$35:$AI$55,卡牌消耗!L439),"")</f>
        <v>2500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4">
        <v>403</v>
      </c>
      <c r="J440" s="15">
        <f t="shared" si="63"/>
        <v>1102020</v>
      </c>
      <c r="K440" s="15">
        <f t="shared" si="64"/>
        <v>3</v>
      </c>
      <c r="L440" s="15">
        <f t="shared" si="65"/>
        <v>4</v>
      </c>
      <c r="M440" s="15" t="str">
        <f t="shared" si="66"/>
        <v>黄</v>
      </c>
      <c r="N440" s="15" t="str">
        <f t="shared" si="67"/>
        <v>金币</v>
      </c>
      <c r="O440" s="15">
        <f>IF(L440&gt;1,INDEX(挂机升级突破!$AI$35:$AI$55,卡牌消耗!L440),"")</f>
        <v>5500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4">
        <v>404</v>
      </c>
      <c r="J441" s="15">
        <f t="shared" si="63"/>
        <v>1102020</v>
      </c>
      <c r="K441" s="15">
        <f t="shared" si="64"/>
        <v>3</v>
      </c>
      <c r="L441" s="15">
        <f t="shared" si="65"/>
        <v>5</v>
      </c>
      <c r="M441" s="15" t="str">
        <f t="shared" si="66"/>
        <v>黄</v>
      </c>
      <c r="N441" s="15" t="str">
        <f t="shared" si="67"/>
        <v>金币</v>
      </c>
      <c r="O441" s="15">
        <f>IF(L441&gt;1,INDEX(挂机升级突破!$AI$35:$AI$55,卡牌消耗!L441),"")</f>
        <v>7500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4">
        <v>405</v>
      </c>
      <c r="J442" s="15">
        <f t="shared" si="63"/>
        <v>1102020</v>
      </c>
      <c r="K442" s="15">
        <f t="shared" si="64"/>
        <v>3</v>
      </c>
      <c r="L442" s="15">
        <f t="shared" si="65"/>
        <v>6</v>
      </c>
      <c r="M442" s="15" t="str">
        <f t="shared" si="66"/>
        <v>黄</v>
      </c>
      <c r="N442" s="15" t="str">
        <f t="shared" si="67"/>
        <v>金币</v>
      </c>
      <c r="O442" s="15">
        <f>IF(L442&gt;1,INDEX(挂机升级突破!$AI$35:$AI$55,卡牌消耗!L442),"")</f>
        <v>17500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4">
        <v>406</v>
      </c>
      <c r="J443" s="15">
        <f t="shared" si="63"/>
        <v>1102020</v>
      </c>
      <c r="K443" s="15">
        <f t="shared" si="64"/>
        <v>3</v>
      </c>
      <c r="L443" s="15">
        <f t="shared" si="65"/>
        <v>7</v>
      </c>
      <c r="M443" s="15" t="str">
        <f t="shared" si="66"/>
        <v>黄</v>
      </c>
      <c r="N443" s="15" t="str">
        <f t="shared" si="67"/>
        <v>金币</v>
      </c>
      <c r="O443" s="15">
        <f>IF(L443&gt;1,INDEX(挂机升级突破!$AI$35:$AI$55,卡牌消耗!L443),"")</f>
        <v>19500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4">
        <v>407</v>
      </c>
      <c r="J444" s="15">
        <f t="shared" si="63"/>
        <v>1102020</v>
      </c>
      <c r="K444" s="15">
        <f t="shared" si="64"/>
        <v>3</v>
      </c>
      <c r="L444" s="15">
        <f t="shared" si="65"/>
        <v>8</v>
      </c>
      <c r="M444" s="15" t="str">
        <f t="shared" si="66"/>
        <v>黄</v>
      </c>
      <c r="N444" s="15" t="str">
        <f t="shared" si="67"/>
        <v>金币</v>
      </c>
      <c r="O444" s="15">
        <f>IF(L444&gt;1,INDEX(挂机升级突破!$AI$35:$AI$55,卡牌消耗!L444),"")</f>
        <v>22000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4">
        <v>408</v>
      </c>
      <c r="J445" s="15">
        <f t="shared" si="63"/>
        <v>1102020</v>
      </c>
      <c r="K445" s="15">
        <f t="shared" si="64"/>
        <v>3</v>
      </c>
      <c r="L445" s="15">
        <f t="shared" si="65"/>
        <v>9</v>
      </c>
      <c r="M445" s="15" t="str">
        <f t="shared" si="66"/>
        <v>黄</v>
      </c>
      <c r="N445" s="15" t="str">
        <f t="shared" si="67"/>
        <v>金币</v>
      </c>
      <c r="O445" s="15">
        <f>IF(L445&gt;1,INDEX(挂机升级突破!$AI$35:$AI$55,卡牌消耗!L445),"")</f>
        <v>25000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4">
        <v>409</v>
      </c>
      <c r="J446" s="15">
        <f t="shared" si="63"/>
        <v>1102020</v>
      </c>
      <c r="K446" s="15">
        <f t="shared" si="64"/>
        <v>3</v>
      </c>
      <c r="L446" s="15">
        <f t="shared" si="65"/>
        <v>10</v>
      </c>
      <c r="M446" s="15" t="str">
        <f t="shared" si="66"/>
        <v>黄</v>
      </c>
      <c r="N446" s="15" t="str">
        <f t="shared" si="67"/>
        <v>金币</v>
      </c>
      <c r="O446" s="15">
        <f>IF(L446&gt;1,INDEX(挂机升级突破!$AI$35:$AI$55,卡牌消耗!L446),"")</f>
        <v>27500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4">
        <v>410</v>
      </c>
      <c r="J447" s="15">
        <f t="shared" si="63"/>
        <v>1102020</v>
      </c>
      <c r="K447" s="15">
        <f t="shared" si="64"/>
        <v>3</v>
      </c>
      <c r="L447" s="15">
        <f t="shared" si="65"/>
        <v>11</v>
      </c>
      <c r="M447" s="15" t="str">
        <f t="shared" si="66"/>
        <v>黄</v>
      </c>
      <c r="N447" s="15" t="str">
        <f t="shared" si="67"/>
        <v>金币</v>
      </c>
      <c r="O447" s="15">
        <f>IF(L447&gt;1,INDEX(挂机升级突破!$AI$35:$AI$55,卡牌消耗!L447),"")</f>
        <v>30000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4">
        <v>411</v>
      </c>
      <c r="J448" s="15">
        <f t="shared" si="63"/>
        <v>1102020</v>
      </c>
      <c r="K448" s="15">
        <f t="shared" si="64"/>
        <v>3</v>
      </c>
      <c r="L448" s="15">
        <f t="shared" si="65"/>
        <v>12</v>
      </c>
      <c r="M448" s="15" t="str">
        <f t="shared" si="66"/>
        <v>黄</v>
      </c>
      <c r="N448" s="15" t="str">
        <f t="shared" si="67"/>
        <v>金币</v>
      </c>
      <c r="O448" s="15">
        <f>IF(L448&gt;1,INDEX(挂机升级突破!$AI$35:$AI$55,卡牌消耗!L448),"")</f>
        <v>32000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4">
        <v>412</v>
      </c>
      <c r="J449" s="15">
        <f t="shared" si="63"/>
        <v>1102020</v>
      </c>
      <c r="K449" s="15">
        <f t="shared" si="64"/>
        <v>3</v>
      </c>
      <c r="L449" s="15">
        <f t="shared" si="65"/>
        <v>13</v>
      </c>
      <c r="M449" s="15" t="str">
        <f t="shared" si="66"/>
        <v>黄</v>
      </c>
      <c r="N449" s="15" t="str">
        <f t="shared" si="67"/>
        <v>金币</v>
      </c>
      <c r="O449" s="15">
        <f>IF(L449&gt;1,INDEX(挂机升级突破!$AI$35:$AI$55,卡牌消耗!L449),"")</f>
        <v>40500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4">
        <v>413</v>
      </c>
      <c r="J450" s="15">
        <f t="shared" si="63"/>
        <v>1102020</v>
      </c>
      <c r="K450" s="15">
        <f t="shared" si="64"/>
        <v>3</v>
      </c>
      <c r="L450" s="15">
        <f t="shared" si="65"/>
        <v>14</v>
      </c>
      <c r="M450" s="15" t="str">
        <f t="shared" si="66"/>
        <v>黄</v>
      </c>
      <c r="N450" s="15" t="str">
        <f t="shared" si="67"/>
        <v>金币</v>
      </c>
      <c r="O450" s="15">
        <f>IF(L450&gt;1,INDEX(挂机升级突破!$AI$35:$AI$55,卡牌消耗!L450),"")</f>
        <v>54000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4">
        <v>414</v>
      </c>
      <c r="J451" s="15">
        <f t="shared" si="63"/>
        <v>1102020</v>
      </c>
      <c r="K451" s="15">
        <f t="shared" si="64"/>
        <v>3</v>
      </c>
      <c r="L451" s="15">
        <f t="shared" si="65"/>
        <v>15</v>
      </c>
      <c r="M451" s="15" t="str">
        <f t="shared" si="66"/>
        <v>黄</v>
      </c>
      <c r="N451" s="15" t="str">
        <f t="shared" si="67"/>
        <v>金币</v>
      </c>
      <c r="O451" s="15">
        <f>IF(L451&gt;1,INDEX(挂机升级突破!$AI$35:$AI$55,卡牌消耗!L451),"")</f>
        <v>63000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4">
        <v>415</v>
      </c>
      <c r="J452" s="15">
        <f t="shared" si="63"/>
        <v>1102020</v>
      </c>
      <c r="K452" s="15">
        <f t="shared" si="64"/>
        <v>3</v>
      </c>
      <c r="L452" s="15">
        <f t="shared" si="65"/>
        <v>16</v>
      </c>
      <c r="M452" s="15" t="str">
        <f t="shared" si="66"/>
        <v>黄</v>
      </c>
      <c r="N452" s="15" t="str">
        <f t="shared" si="67"/>
        <v>金币</v>
      </c>
      <c r="O452" s="15">
        <f>IF(L452&gt;1,INDEX(挂机升级突破!$AI$35:$AI$55,卡牌消耗!L452),"")</f>
        <v>73000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4">
        <v>416</v>
      </c>
      <c r="J453" s="15">
        <f t="shared" si="63"/>
        <v>1102020</v>
      </c>
      <c r="K453" s="15">
        <f t="shared" si="64"/>
        <v>3</v>
      </c>
      <c r="L453" s="15">
        <f t="shared" si="65"/>
        <v>17</v>
      </c>
      <c r="M453" s="15" t="str">
        <f t="shared" si="66"/>
        <v>黄</v>
      </c>
      <c r="N453" s="15" t="str">
        <f t="shared" si="67"/>
        <v>金币</v>
      </c>
      <c r="O453" s="15">
        <f>IF(L453&gt;1,INDEX(挂机升级突破!$AI$35:$AI$55,卡牌消耗!L453),"")</f>
        <v>76000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4">
        <v>417</v>
      </c>
      <c r="J454" s="15">
        <f t="shared" si="63"/>
        <v>1102020</v>
      </c>
      <c r="K454" s="15">
        <f t="shared" si="64"/>
        <v>3</v>
      </c>
      <c r="L454" s="15">
        <f t="shared" si="65"/>
        <v>18</v>
      </c>
      <c r="M454" s="15" t="str">
        <f t="shared" si="66"/>
        <v>黄</v>
      </c>
      <c r="N454" s="15" t="str">
        <f t="shared" si="67"/>
        <v>金币</v>
      </c>
      <c r="O454" s="15">
        <f>IF(L454&gt;1,INDEX(挂机升级突破!$AI$35:$AI$55,卡牌消耗!L454),"")</f>
        <v>106500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4">
        <v>418</v>
      </c>
      <c r="J455" s="15">
        <f t="shared" si="63"/>
        <v>1102020</v>
      </c>
      <c r="K455" s="15">
        <f t="shared" si="64"/>
        <v>3</v>
      </c>
      <c r="L455" s="15">
        <f t="shared" si="65"/>
        <v>19</v>
      </c>
      <c r="M455" s="15" t="str">
        <f t="shared" si="66"/>
        <v>黄</v>
      </c>
      <c r="N455" s="15" t="str">
        <f t="shared" si="67"/>
        <v>金币</v>
      </c>
      <c r="O455" s="15">
        <f>IF(L455&gt;1,INDEX(挂机升级突破!$AI$35:$AI$55,卡牌消耗!L455),"")</f>
        <v>142000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4">
        <v>419</v>
      </c>
      <c r="J456" s="15">
        <f t="shared" si="63"/>
        <v>1102020</v>
      </c>
      <c r="K456" s="15">
        <f t="shared" si="64"/>
        <v>3</v>
      </c>
      <c r="L456" s="15">
        <f t="shared" si="65"/>
        <v>20</v>
      </c>
      <c r="M456" s="15" t="str">
        <f t="shared" si="66"/>
        <v>黄</v>
      </c>
      <c r="N456" s="15" t="str">
        <f t="shared" si="67"/>
        <v>金币</v>
      </c>
      <c r="O456" s="15">
        <f>IF(L456&gt;1,INDEX(挂机升级突破!$AI$35:$AI$55,卡牌消耗!L456),"")</f>
        <v>177500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4">
        <v>420</v>
      </c>
      <c r="J457" s="15">
        <f t="shared" si="63"/>
        <v>1102020</v>
      </c>
      <c r="K457" s="15">
        <f t="shared" si="64"/>
        <v>3</v>
      </c>
      <c r="L457" s="15">
        <f t="shared" si="65"/>
        <v>21</v>
      </c>
      <c r="M457" s="15" t="str">
        <f t="shared" si="66"/>
        <v>黄</v>
      </c>
      <c r="N457" s="15" t="str">
        <f t="shared" si="67"/>
        <v>金币</v>
      </c>
      <c r="O457" s="15">
        <f>IF(L457&gt;1,INDEX(挂机升级突破!$AI$35:$AI$55,卡牌消耗!L457),"")</f>
        <v>213000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91">
        <v>421</v>
      </c>
      <c r="J458" s="15">
        <f t="shared" si="63"/>
        <v>1102021</v>
      </c>
      <c r="K458" s="15">
        <f t="shared" si="64"/>
        <v>2</v>
      </c>
      <c r="L458" s="15">
        <f t="shared" ref="L458:L470" si="68">MOD((I458-1),21)+1</f>
        <v>1</v>
      </c>
      <c r="M458" s="15" t="str">
        <f t="shared" si="66"/>
        <v>红</v>
      </c>
      <c r="N458" s="15" t="str">
        <f t="shared" ref="N458:N499" si="69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91">
        <v>422</v>
      </c>
      <c r="J459" s="15">
        <f t="shared" si="63"/>
        <v>1102021</v>
      </c>
      <c r="K459" s="15">
        <f t="shared" si="64"/>
        <v>2</v>
      </c>
      <c r="L459" s="15">
        <f t="shared" si="68"/>
        <v>2</v>
      </c>
      <c r="M459" s="15" t="str">
        <f t="shared" si="66"/>
        <v>红</v>
      </c>
      <c r="N459" s="15" t="str">
        <f t="shared" si="69"/>
        <v>金币</v>
      </c>
      <c r="O459" s="15">
        <f>IF(L459&gt;1,INDEX(挂机升级突破!$AI$35:$AI$55,卡牌消耗!L459),"")</f>
        <v>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91">
        <v>423</v>
      </c>
      <c r="J460" s="15">
        <f t="shared" si="63"/>
        <v>1102021</v>
      </c>
      <c r="K460" s="15">
        <f t="shared" si="64"/>
        <v>2</v>
      </c>
      <c r="L460" s="15">
        <f t="shared" si="68"/>
        <v>3</v>
      </c>
      <c r="M460" s="15" t="str">
        <f t="shared" si="66"/>
        <v>红</v>
      </c>
      <c r="N460" s="15" t="str">
        <f t="shared" si="69"/>
        <v>金币</v>
      </c>
      <c r="O460" s="15">
        <f>IF(L460&gt;1,INDEX(挂机升级突破!$AI$35:$AI$55,卡牌消耗!L460),"")</f>
        <v>2500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91">
        <v>424</v>
      </c>
      <c r="J461" s="15">
        <f t="shared" si="63"/>
        <v>1102021</v>
      </c>
      <c r="K461" s="15">
        <f t="shared" si="64"/>
        <v>2</v>
      </c>
      <c r="L461" s="15">
        <f t="shared" si="68"/>
        <v>4</v>
      </c>
      <c r="M461" s="15" t="str">
        <f t="shared" si="66"/>
        <v>红</v>
      </c>
      <c r="N461" s="15" t="str">
        <f t="shared" si="69"/>
        <v>金币</v>
      </c>
      <c r="O461" s="15">
        <f>IF(L461&gt;1,INDEX(挂机升级突破!$AI$35:$AI$55,卡牌消耗!L461),"")</f>
        <v>5500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91">
        <v>425</v>
      </c>
      <c r="J462" s="15">
        <f t="shared" si="63"/>
        <v>1102021</v>
      </c>
      <c r="K462" s="15">
        <f t="shared" si="64"/>
        <v>2</v>
      </c>
      <c r="L462" s="15">
        <f t="shared" si="68"/>
        <v>5</v>
      </c>
      <c r="M462" s="15" t="str">
        <f t="shared" si="66"/>
        <v>红</v>
      </c>
      <c r="N462" s="15" t="str">
        <f t="shared" si="69"/>
        <v>金币</v>
      </c>
      <c r="O462" s="15">
        <f>IF(L462&gt;1,INDEX(挂机升级突破!$AI$35:$AI$55,卡牌消耗!L462),"")</f>
        <v>7500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91">
        <v>426</v>
      </c>
      <c r="J463" s="15">
        <f t="shared" si="63"/>
        <v>1102021</v>
      </c>
      <c r="K463" s="15">
        <f t="shared" si="64"/>
        <v>2</v>
      </c>
      <c r="L463" s="15">
        <f t="shared" si="68"/>
        <v>6</v>
      </c>
      <c r="M463" s="15" t="str">
        <f t="shared" si="66"/>
        <v>红</v>
      </c>
      <c r="N463" s="15" t="str">
        <f t="shared" si="69"/>
        <v>金币</v>
      </c>
      <c r="O463" s="15">
        <f>IF(L463&gt;1,INDEX(挂机升级突破!$AI$35:$AI$55,卡牌消耗!L463),"")</f>
        <v>17500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91">
        <v>427</v>
      </c>
      <c r="J464" s="15">
        <f t="shared" si="63"/>
        <v>1102021</v>
      </c>
      <c r="K464" s="15">
        <f t="shared" si="64"/>
        <v>2</v>
      </c>
      <c r="L464" s="15">
        <f t="shared" si="68"/>
        <v>7</v>
      </c>
      <c r="M464" s="15" t="str">
        <f t="shared" si="66"/>
        <v>红</v>
      </c>
      <c r="N464" s="15" t="str">
        <f t="shared" si="69"/>
        <v>金币</v>
      </c>
      <c r="O464" s="15">
        <f>IF(L464&gt;1,INDEX(挂机升级突破!$AI$35:$AI$55,卡牌消耗!L464),"")</f>
        <v>19500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91">
        <v>428</v>
      </c>
      <c r="J465" s="15">
        <f t="shared" si="63"/>
        <v>1102021</v>
      </c>
      <c r="K465" s="15">
        <f t="shared" si="64"/>
        <v>2</v>
      </c>
      <c r="L465" s="15">
        <f t="shared" si="68"/>
        <v>8</v>
      </c>
      <c r="M465" s="15" t="str">
        <f t="shared" si="66"/>
        <v>红</v>
      </c>
      <c r="N465" s="15" t="str">
        <f t="shared" si="69"/>
        <v>金币</v>
      </c>
      <c r="O465" s="15">
        <f>IF(L465&gt;1,INDEX(挂机升级突破!$AI$35:$AI$55,卡牌消耗!L465),"")</f>
        <v>22000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91">
        <v>429</v>
      </c>
      <c r="J466" s="15">
        <f t="shared" si="63"/>
        <v>1102021</v>
      </c>
      <c r="K466" s="15">
        <f t="shared" si="64"/>
        <v>2</v>
      </c>
      <c r="L466" s="15">
        <f t="shared" si="68"/>
        <v>9</v>
      </c>
      <c r="M466" s="15" t="str">
        <f t="shared" si="66"/>
        <v>红</v>
      </c>
      <c r="N466" s="15" t="str">
        <f t="shared" si="69"/>
        <v>金币</v>
      </c>
      <c r="O466" s="15">
        <f>IF(L466&gt;1,INDEX(挂机升级突破!$AI$35:$AI$55,卡牌消耗!L466),"")</f>
        <v>25000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91">
        <v>430</v>
      </c>
      <c r="J467" s="15">
        <f t="shared" si="63"/>
        <v>1102021</v>
      </c>
      <c r="K467" s="15">
        <f t="shared" si="64"/>
        <v>2</v>
      </c>
      <c r="L467" s="15">
        <f t="shared" si="68"/>
        <v>10</v>
      </c>
      <c r="M467" s="15" t="str">
        <f t="shared" si="66"/>
        <v>红</v>
      </c>
      <c r="N467" s="15" t="str">
        <f t="shared" si="69"/>
        <v>金币</v>
      </c>
      <c r="O467" s="15">
        <f>IF(L467&gt;1,INDEX(挂机升级突破!$AI$35:$AI$55,卡牌消耗!L467),"")</f>
        <v>27500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91">
        <v>431</v>
      </c>
      <c r="J468" s="15">
        <f t="shared" si="63"/>
        <v>1102021</v>
      </c>
      <c r="K468" s="15">
        <f t="shared" si="64"/>
        <v>2</v>
      </c>
      <c r="L468" s="15">
        <f t="shared" si="68"/>
        <v>11</v>
      </c>
      <c r="M468" s="15" t="str">
        <f t="shared" si="66"/>
        <v>红</v>
      </c>
      <c r="N468" s="15" t="str">
        <f t="shared" si="69"/>
        <v>金币</v>
      </c>
      <c r="O468" s="15">
        <f>IF(L468&gt;1,INDEX(挂机升级突破!$AI$35:$AI$55,卡牌消耗!L468),"")</f>
        <v>30000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91">
        <v>432</v>
      </c>
      <c r="J469" s="15">
        <f t="shared" si="63"/>
        <v>1102021</v>
      </c>
      <c r="K469" s="15">
        <f t="shared" si="64"/>
        <v>2</v>
      </c>
      <c r="L469" s="15">
        <f t="shared" si="68"/>
        <v>12</v>
      </c>
      <c r="M469" s="15" t="str">
        <f t="shared" si="66"/>
        <v>红</v>
      </c>
      <c r="N469" s="15" t="str">
        <f t="shared" si="69"/>
        <v>金币</v>
      </c>
      <c r="O469" s="15">
        <f>IF(L469&gt;1,INDEX(挂机升级突破!$AI$35:$AI$55,卡牌消耗!L469),"")</f>
        <v>32000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91">
        <v>433</v>
      </c>
      <c r="J470" s="15">
        <f t="shared" si="63"/>
        <v>1102021</v>
      </c>
      <c r="K470" s="15">
        <f t="shared" si="64"/>
        <v>2</v>
      </c>
      <c r="L470" s="15">
        <f t="shared" si="68"/>
        <v>13</v>
      </c>
      <c r="M470" s="15" t="str">
        <f t="shared" si="66"/>
        <v>红</v>
      </c>
      <c r="N470" s="15" t="str">
        <f t="shared" si="69"/>
        <v>金币</v>
      </c>
      <c r="O470" s="15">
        <f>IF(L470&gt;1,INDEX(挂机升级突破!$AI$35:$AI$55,卡牌消耗!L470),"")</f>
        <v>40500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91">
        <v>434</v>
      </c>
      <c r="J471" s="15">
        <f t="shared" si="63"/>
        <v>1102021</v>
      </c>
      <c r="K471" s="15">
        <f t="shared" si="64"/>
        <v>2</v>
      </c>
      <c r="L471" s="15">
        <f t="shared" ref="L471:L487" si="70">MOD((I471-1),21)+1</f>
        <v>14</v>
      </c>
      <c r="M471" s="15" t="str">
        <f t="shared" si="66"/>
        <v>红</v>
      </c>
      <c r="N471" s="15" t="str">
        <f t="shared" si="69"/>
        <v>金币</v>
      </c>
      <c r="O471" s="15">
        <f>IF(L471&gt;1,INDEX(挂机升级突破!$AI$35:$AI$55,卡牌消耗!L471),"")</f>
        <v>54000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91">
        <v>435</v>
      </c>
      <c r="J472" s="15">
        <f t="shared" si="63"/>
        <v>1102021</v>
      </c>
      <c r="K472" s="15">
        <f t="shared" si="64"/>
        <v>2</v>
      </c>
      <c r="L472" s="15">
        <f t="shared" si="70"/>
        <v>15</v>
      </c>
      <c r="M472" s="15" t="str">
        <f t="shared" si="66"/>
        <v>红</v>
      </c>
      <c r="N472" s="15" t="str">
        <f t="shared" si="69"/>
        <v>金币</v>
      </c>
      <c r="O472" s="15">
        <f>IF(L472&gt;1,INDEX(挂机升级突破!$AI$35:$AI$55,卡牌消耗!L472),"")</f>
        <v>63000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91">
        <v>436</v>
      </c>
      <c r="J473" s="15">
        <f t="shared" si="63"/>
        <v>1102021</v>
      </c>
      <c r="K473" s="15">
        <f t="shared" si="64"/>
        <v>2</v>
      </c>
      <c r="L473" s="15">
        <f t="shared" si="70"/>
        <v>16</v>
      </c>
      <c r="M473" s="15" t="str">
        <f t="shared" si="66"/>
        <v>红</v>
      </c>
      <c r="N473" s="15" t="str">
        <f t="shared" si="69"/>
        <v>金币</v>
      </c>
      <c r="O473" s="15">
        <f>IF(L473&gt;1,INDEX(挂机升级突破!$AI$35:$AI$55,卡牌消耗!L473),"")</f>
        <v>73000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91">
        <v>437</v>
      </c>
      <c r="J474" s="15">
        <f t="shared" si="63"/>
        <v>1102021</v>
      </c>
      <c r="K474" s="15">
        <f t="shared" si="64"/>
        <v>2</v>
      </c>
      <c r="L474" s="15">
        <f t="shared" si="70"/>
        <v>17</v>
      </c>
      <c r="M474" s="15" t="str">
        <f t="shared" si="66"/>
        <v>红</v>
      </c>
      <c r="N474" s="15" t="str">
        <f t="shared" si="69"/>
        <v>金币</v>
      </c>
      <c r="O474" s="15">
        <f>IF(L474&gt;1,INDEX(挂机升级突破!$AI$35:$AI$55,卡牌消耗!L474),"")</f>
        <v>76000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91">
        <v>438</v>
      </c>
      <c r="J475" s="15">
        <f t="shared" si="63"/>
        <v>1102021</v>
      </c>
      <c r="K475" s="15">
        <f t="shared" si="64"/>
        <v>2</v>
      </c>
      <c r="L475" s="15">
        <f t="shared" si="70"/>
        <v>18</v>
      </c>
      <c r="M475" s="15" t="str">
        <f t="shared" si="66"/>
        <v>红</v>
      </c>
      <c r="N475" s="15" t="str">
        <f t="shared" si="69"/>
        <v>金币</v>
      </c>
      <c r="O475" s="15">
        <f>IF(L475&gt;1,INDEX(挂机升级突破!$AI$35:$AI$55,卡牌消耗!L475),"")</f>
        <v>106500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91">
        <v>439</v>
      </c>
      <c r="J476" s="15">
        <f t="shared" si="63"/>
        <v>1102021</v>
      </c>
      <c r="K476" s="15">
        <f t="shared" si="64"/>
        <v>2</v>
      </c>
      <c r="L476" s="15">
        <f t="shared" si="70"/>
        <v>19</v>
      </c>
      <c r="M476" s="15" t="str">
        <f t="shared" si="66"/>
        <v>红</v>
      </c>
      <c r="N476" s="15" t="str">
        <f t="shared" si="69"/>
        <v>金币</v>
      </c>
      <c r="O476" s="15">
        <f>IF(L476&gt;1,INDEX(挂机升级突破!$AI$35:$AI$55,卡牌消耗!L476),"")</f>
        <v>142000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91">
        <v>440</v>
      </c>
      <c r="J477" s="15">
        <f t="shared" si="63"/>
        <v>1102021</v>
      </c>
      <c r="K477" s="15">
        <f t="shared" si="64"/>
        <v>2</v>
      </c>
      <c r="L477" s="15">
        <f t="shared" si="70"/>
        <v>20</v>
      </c>
      <c r="M477" s="15" t="str">
        <f t="shared" si="66"/>
        <v>红</v>
      </c>
      <c r="N477" s="15" t="str">
        <f t="shared" si="69"/>
        <v>金币</v>
      </c>
      <c r="O477" s="15">
        <f>IF(L477&gt;1,INDEX(挂机升级突破!$AI$35:$AI$55,卡牌消耗!L477),"")</f>
        <v>177500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91">
        <v>441</v>
      </c>
      <c r="J478" s="15">
        <f t="shared" si="63"/>
        <v>1102021</v>
      </c>
      <c r="K478" s="15">
        <f t="shared" si="64"/>
        <v>2</v>
      </c>
      <c r="L478" s="15">
        <f t="shared" si="70"/>
        <v>21</v>
      </c>
      <c r="M478" s="15" t="str">
        <f t="shared" si="66"/>
        <v>红</v>
      </c>
      <c r="N478" s="15" t="str">
        <f t="shared" si="69"/>
        <v>金币</v>
      </c>
      <c r="O478" s="15">
        <f>IF(L478&gt;1,INDEX(挂机升级突破!$AI$35:$AI$55,卡牌消耗!L478),"")</f>
        <v>213000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91">
        <v>442</v>
      </c>
      <c r="J479" s="15">
        <f t="shared" si="63"/>
        <v>1102050</v>
      </c>
      <c r="K479" s="15">
        <f t="shared" si="64"/>
        <v>2</v>
      </c>
      <c r="L479" s="15">
        <f t="shared" si="70"/>
        <v>1</v>
      </c>
      <c r="M479" s="15" t="str">
        <f t="shared" si="66"/>
        <v>蓝</v>
      </c>
      <c r="N479" s="15" t="str">
        <f t="shared" si="69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91">
        <v>443</v>
      </c>
      <c r="J480" s="15">
        <f t="shared" si="63"/>
        <v>1102050</v>
      </c>
      <c r="K480" s="15">
        <f t="shared" si="64"/>
        <v>2</v>
      </c>
      <c r="L480" s="15">
        <f t="shared" si="70"/>
        <v>2</v>
      </c>
      <c r="M480" s="15" t="str">
        <f t="shared" si="66"/>
        <v>蓝</v>
      </c>
      <c r="N480" s="15" t="str">
        <f t="shared" si="69"/>
        <v>金币</v>
      </c>
      <c r="O480" s="15">
        <f>IF(L480&gt;1,INDEX(挂机升级突破!$AI$35:$AI$55,卡牌消耗!L480),"")</f>
        <v>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91">
        <v>444</v>
      </c>
      <c r="J481" s="15">
        <f t="shared" si="63"/>
        <v>1102050</v>
      </c>
      <c r="K481" s="15">
        <f t="shared" si="64"/>
        <v>2</v>
      </c>
      <c r="L481" s="15">
        <f t="shared" si="70"/>
        <v>3</v>
      </c>
      <c r="M481" s="15" t="str">
        <f t="shared" si="66"/>
        <v>蓝</v>
      </c>
      <c r="N481" s="15" t="str">
        <f t="shared" si="69"/>
        <v>金币</v>
      </c>
      <c r="O481" s="15">
        <f>IF(L481&gt;1,INDEX(挂机升级突破!$AI$35:$AI$55,卡牌消耗!L481),"")</f>
        <v>2500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91">
        <v>445</v>
      </c>
      <c r="J482" s="15">
        <f t="shared" si="63"/>
        <v>1102050</v>
      </c>
      <c r="K482" s="15">
        <f t="shared" si="64"/>
        <v>2</v>
      </c>
      <c r="L482" s="15">
        <f t="shared" si="70"/>
        <v>4</v>
      </c>
      <c r="M482" s="15" t="str">
        <f t="shared" si="66"/>
        <v>蓝</v>
      </c>
      <c r="N482" s="15" t="str">
        <f t="shared" si="69"/>
        <v>金币</v>
      </c>
      <c r="O482" s="15">
        <f>IF(L482&gt;1,INDEX(挂机升级突破!$AI$35:$AI$55,卡牌消耗!L482),"")</f>
        <v>5500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91">
        <v>446</v>
      </c>
      <c r="J483" s="15">
        <f t="shared" si="63"/>
        <v>1102050</v>
      </c>
      <c r="K483" s="15">
        <f t="shared" si="64"/>
        <v>2</v>
      </c>
      <c r="L483" s="15">
        <f t="shared" si="70"/>
        <v>5</v>
      </c>
      <c r="M483" s="15" t="str">
        <f t="shared" si="66"/>
        <v>蓝</v>
      </c>
      <c r="N483" s="15" t="str">
        <f t="shared" si="69"/>
        <v>金币</v>
      </c>
      <c r="O483" s="15">
        <f>IF(L483&gt;1,INDEX(挂机升级突破!$AI$35:$AI$55,卡牌消耗!L483),"")</f>
        <v>7500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91">
        <v>447</v>
      </c>
      <c r="J484" s="15">
        <f t="shared" si="63"/>
        <v>1102050</v>
      </c>
      <c r="K484" s="15">
        <f t="shared" si="64"/>
        <v>2</v>
      </c>
      <c r="L484" s="15">
        <f t="shared" si="70"/>
        <v>6</v>
      </c>
      <c r="M484" s="15" t="str">
        <f t="shared" si="66"/>
        <v>蓝</v>
      </c>
      <c r="N484" s="15" t="str">
        <f t="shared" si="69"/>
        <v>金币</v>
      </c>
      <c r="O484" s="15">
        <f>IF(L484&gt;1,INDEX(挂机升级突破!$AI$35:$AI$55,卡牌消耗!L484),"")</f>
        <v>17500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91">
        <v>448</v>
      </c>
      <c r="J485" s="15">
        <f t="shared" si="63"/>
        <v>1102050</v>
      </c>
      <c r="K485" s="15">
        <f t="shared" si="64"/>
        <v>2</v>
      </c>
      <c r="L485" s="15">
        <f t="shared" si="70"/>
        <v>7</v>
      </c>
      <c r="M485" s="15" t="str">
        <f t="shared" si="66"/>
        <v>蓝</v>
      </c>
      <c r="N485" s="15" t="str">
        <f t="shared" si="69"/>
        <v>金币</v>
      </c>
      <c r="O485" s="15">
        <f>IF(L485&gt;1,INDEX(挂机升级突破!$AI$35:$AI$55,卡牌消耗!L485),"")</f>
        <v>19500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91">
        <v>449</v>
      </c>
      <c r="J486" s="15">
        <f t="shared" si="63"/>
        <v>1102050</v>
      </c>
      <c r="K486" s="15">
        <f t="shared" si="64"/>
        <v>2</v>
      </c>
      <c r="L486" s="15">
        <f t="shared" si="70"/>
        <v>8</v>
      </c>
      <c r="M486" s="15" t="str">
        <f t="shared" si="66"/>
        <v>蓝</v>
      </c>
      <c r="N486" s="15" t="str">
        <f t="shared" si="69"/>
        <v>金币</v>
      </c>
      <c r="O486" s="15">
        <f>IF(L486&gt;1,INDEX(挂机升级突破!$AI$35:$AI$55,卡牌消耗!L486),"")</f>
        <v>22000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91">
        <v>450</v>
      </c>
      <c r="J487" s="15">
        <f t="shared" ref="J487:J499" si="71">INDEX($A$13:$A$34,INT((I487-1)/21)+1)</f>
        <v>1102050</v>
      </c>
      <c r="K487" s="15">
        <f t="shared" ref="K487:K499" si="72">VLOOKUP(J487,$A$13:$D$34,3)</f>
        <v>2</v>
      </c>
      <c r="L487" s="15">
        <f t="shared" si="70"/>
        <v>9</v>
      </c>
      <c r="M487" s="15" t="str">
        <f t="shared" ref="M487" si="73">INDEX($J$2:$L$2,INDEX($E$13:$E$34,INT((I487-1)/21)+1))</f>
        <v>蓝</v>
      </c>
      <c r="N487" s="15" t="str">
        <f t="shared" si="69"/>
        <v>金币</v>
      </c>
      <c r="O487" s="15">
        <f>IF(L487&gt;1,INDEX(挂机升级突破!$AI$35:$AI$55,卡牌消耗!L487),"")</f>
        <v>25000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91">
        <v>451</v>
      </c>
      <c r="J488" s="15">
        <f t="shared" si="71"/>
        <v>1102050</v>
      </c>
      <c r="K488" s="15">
        <f t="shared" si="72"/>
        <v>2</v>
      </c>
      <c r="L488" s="15">
        <f t="shared" ref="L488:L497" si="74">MOD((I488-1),21)+1</f>
        <v>10</v>
      </c>
      <c r="M488" s="15" t="str">
        <f t="shared" ref="M488:M497" si="75">INDEX($J$2:$L$2,INDEX($E$13:$E$34,INT((I488-1)/21)+1))</f>
        <v>蓝</v>
      </c>
      <c r="N488" s="15" t="str">
        <f t="shared" si="69"/>
        <v>金币</v>
      </c>
      <c r="O488" s="15">
        <f>IF(L488&gt;1,INDEX(挂机升级突破!$AI$35:$AI$55,卡牌消耗!L488),"")</f>
        <v>27500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91">
        <v>452</v>
      </c>
      <c r="J489" s="15">
        <f t="shared" si="71"/>
        <v>1102050</v>
      </c>
      <c r="K489" s="15">
        <f t="shared" si="72"/>
        <v>2</v>
      </c>
      <c r="L489" s="15">
        <f t="shared" si="74"/>
        <v>11</v>
      </c>
      <c r="M489" s="15" t="str">
        <f t="shared" si="75"/>
        <v>蓝</v>
      </c>
      <c r="N489" s="15" t="str">
        <f t="shared" si="69"/>
        <v>金币</v>
      </c>
      <c r="O489" s="15">
        <f>IF(L489&gt;1,INDEX(挂机升级突破!$AI$35:$AI$55,卡牌消耗!L489),"")</f>
        <v>30000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91">
        <v>453</v>
      </c>
      <c r="J490" s="15">
        <f t="shared" si="71"/>
        <v>1102050</v>
      </c>
      <c r="K490" s="15">
        <f t="shared" si="72"/>
        <v>2</v>
      </c>
      <c r="L490" s="15">
        <f t="shared" si="74"/>
        <v>12</v>
      </c>
      <c r="M490" s="15" t="str">
        <f t="shared" si="75"/>
        <v>蓝</v>
      </c>
      <c r="N490" s="15" t="str">
        <f t="shared" si="69"/>
        <v>金币</v>
      </c>
      <c r="O490" s="15">
        <f>IF(L490&gt;1,INDEX(挂机升级突破!$AI$35:$AI$55,卡牌消耗!L490),"")</f>
        <v>32000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91">
        <v>454</v>
      </c>
      <c r="J491" s="15">
        <f t="shared" si="71"/>
        <v>1102050</v>
      </c>
      <c r="K491" s="15">
        <f t="shared" si="72"/>
        <v>2</v>
      </c>
      <c r="L491" s="15">
        <f t="shared" si="74"/>
        <v>13</v>
      </c>
      <c r="M491" s="15" t="str">
        <f t="shared" si="75"/>
        <v>蓝</v>
      </c>
      <c r="N491" s="15" t="str">
        <f t="shared" si="69"/>
        <v>金币</v>
      </c>
      <c r="O491" s="15">
        <f>IF(L491&gt;1,INDEX(挂机升级突破!$AI$35:$AI$55,卡牌消耗!L491),"")</f>
        <v>40500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91">
        <v>455</v>
      </c>
      <c r="J492" s="15">
        <f t="shared" si="71"/>
        <v>1102050</v>
      </c>
      <c r="K492" s="15">
        <f t="shared" si="72"/>
        <v>2</v>
      </c>
      <c r="L492" s="15">
        <f t="shared" si="74"/>
        <v>14</v>
      </c>
      <c r="M492" s="15" t="str">
        <f t="shared" si="75"/>
        <v>蓝</v>
      </c>
      <c r="N492" s="15" t="str">
        <f t="shared" si="69"/>
        <v>金币</v>
      </c>
      <c r="O492" s="15">
        <f>IF(L492&gt;1,INDEX(挂机升级突破!$AI$35:$AI$55,卡牌消耗!L492),"")</f>
        <v>54000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91">
        <v>456</v>
      </c>
      <c r="J493" s="15">
        <f t="shared" si="71"/>
        <v>1102050</v>
      </c>
      <c r="K493" s="15">
        <f t="shared" si="72"/>
        <v>2</v>
      </c>
      <c r="L493" s="15">
        <f t="shared" si="74"/>
        <v>15</v>
      </c>
      <c r="M493" s="15" t="str">
        <f t="shared" si="75"/>
        <v>蓝</v>
      </c>
      <c r="N493" s="15" t="str">
        <f t="shared" si="69"/>
        <v>金币</v>
      </c>
      <c r="O493" s="15">
        <f>IF(L493&gt;1,INDEX(挂机升级突破!$AI$35:$AI$55,卡牌消耗!L493),"")</f>
        <v>63000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91">
        <v>457</v>
      </c>
      <c r="J494" s="15">
        <f t="shared" si="71"/>
        <v>1102050</v>
      </c>
      <c r="K494" s="15">
        <f t="shared" si="72"/>
        <v>2</v>
      </c>
      <c r="L494" s="15">
        <f t="shared" si="74"/>
        <v>16</v>
      </c>
      <c r="M494" s="15" t="str">
        <f t="shared" si="75"/>
        <v>蓝</v>
      </c>
      <c r="N494" s="15" t="str">
        <f t="shared" si="69"/>
        <v>金币</v>
      </c>
      <c r="O494" s="15">
        <f>IF(L494&gt;1,INDEX(挂机升级突破!$AI$35:$AI$55,卡牌消耗!L494),"")</f>
        <v>73000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91">
        <v>458</v>
      </c>
      <c r="J495" s="15">
        <f t="shared" si="71"/>
        <v>1102050</v>
      </c>
      <c r="K495" s="15">
        <f t="shared" si="72"/>
        <v>2</v>
      </c>
      <c r="L495" s="15">
        <f t="shared" si="74"/>
        <v>17</v>
      </c>
      <c r="M495" s="15" t="str">
        <f t="shared" si="75"/>
        <v>蓝</v>
      </c>
      <c r="N495" s="15" t="str">
        <f t="shared" si="69"/>
        <v>金币</v>
      </c>
      <c r="O495" s="15">
        <f>IF(L495&gt;1,INDEX(挂机升级突破!$AI$35:$AI$55,卡牌消耗!L495),"")</f>
        <v>76000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91">
        <v>459</v>
      </c>
      <c r="J496" s="15">
        <f t="shared" si="71"/>
        <v>1102050</v>
      </c>
      <c r="K496" s="15">
        <f t="shared" si="72"/>
        <v>2</v>
      </c>
      <c r="L496" s="15">
        <f t="shared" si="74"/>
        <v>18</v>
      </c>
      <c r="M496" s="15" t="str">
        <f t="shared" si="75"/>
        <v>蓝</v>
      </c>
      <c r="N496" s="15" t="str">
        <f t="shared" si="69"/>
        <v>金币</v>
      </c>
      <c r="O496" s="15">
        <f>IF(L496&gt;1,INDEX(挂机升级突破!$AI$35:$AI$55,卡牌消耗!L496),"")</f>
        <v>106500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91">
        <v>460</v>
      </c>
      <c r="J497" s="15">
        <f t="shared" si="71"/>
        <v>1102050</v>
      </c>
      <c r="K497" s="15">
        <f t="shared" si="72"/>
        <v>2</v>
      </c>
      <c r="L497" s="15">
        <f t="shared" si="74"/>
        <v>19</v>
      </c>
      <c r="M497" s="15" t="str">
        <f t="shared" si="75"/>
        <v>蓝</v>
      </c>
      <c r="N497" s="15" t="str">
        <f t="shared" si="69"/>
        <v>金币</v>
      </c>
      <c r="O497" s="15">
        <f>IF(L497&gt;1,INDEX(挂机升级突破!$AI$35:$AI$55,卡牌消耗!L497),"")</f>
        <v>142000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91">
        <v>461</v>
      </c>
      <c r="J498" s="15">
        <f t="shared" si="71"/>
        <v>1102050</v>
      </c>
      <c r="K498" s="15">
        <f t="shared" si="72"/>
        <v>2</v>
      </c>
      <c r="L498" s="15">
        <f t="shared" ref="L498:L499" si="76">MOD((I498-1),21)+1</f>
        <v>20</v>
      </c>
      <c r="M498" s="15" t="str">
        <f t="shared" ref="M498:M499" si="77">INDEX($J$2:$L$2,INDEX($E$13:$E$34,INT((I498-1)/21)+1))</f>
        <v>蓝</v>
      </c>
      <c r="N498" s="15" t="str">
        <f t="shared" si="69"/>
        <v>金币</v>
      </c>
      <c r="O498" s="15">
        <f>IF(L498&gt;1,INDEX(挂机升级突破!$AI$35:$AI$55,卡牌消耗!L498),"")</f>
        <v>177500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91">
        <v>462</v>
      </c>
      <c r="J499" s="15">
        <f t="shared" si="71"/>
        <v>1102050</v>
      </c>
      <c r="K499" s="15">
        <f t="shared" si="72"/>
        <v>2</v>
      </c>
      <c r="L499" s="15">
        <f t="shared" si="76"/>
        <v>21</v>
      </c>
      <c r="M499" s="15" t="str">
        <f t="shared" si="77"/>
        <v>蓝</v>
      </c>
      <c r="N499" s="15" t="str">
        <f t="shared" si="69"/>
        <v>金币</v>
      </c>
      <c r="O499" s="15">
        <f>IF(L499&gt;1,INDEX(挂机升级突破!$AI$35:$AI$55,卡牌消耗!L499),"")</f>
        <v>213000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workbookViewId="0">
      <selection activeCell="P26" sqref="P26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4.25" customWidth="1"/>
    <col min="6" max="6" width="9.875" customWidth="1"/>
    <col min="22" max="22" width="13.875" bestFit="1" customWidth="1"/>
  </cols>
  <sheetData>
    <row r="1" spans="1:22" ht="15" x14ac:dyDescent="0.2">
      <c r="A1" s="79"/>
      <c r="B1" s="79"/>
      <c r="C1" s="79"/>
      <c r="D1" s="80"/>
      <c r="E1" s="80"/>
      <c r="F1" s="80"/>
    </row>
    <row r="2" spans="1:22" ht="15" x14ac:dyDescent="0.2">
      <c r="A2" s="79"/>
      <c r="B2" s="79"/>
      <c r="C2" s="79"/>
      <c r="D2" s="80"/>
      <c r="E2" s="80"/>
      <c r="F2" s="80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744</v>
      </c>
      <c r="B3" s="12" t="s">
        <v>745</v>
      </c>
      <c r="C3" s="12" t="s">
        <v>746</v>
      </c>
      <c r="D3" s="12" t="s">
        <v>747</v>
      </c>
      <c r="G3" s="12" t="s">
        <v>753</v>
      </c>
      <c r="H3" s="12" t="s">
        <v>754</v>
      </c>
      <c r="I3" s="12" t="s">
        <v>755</v>
      </c>
      <c r="J3" s="12" t="s">
        <v>756</v>
      </c>
      <c r="K3" s="12" t="s">
        <v>757</v>
      </c>
      <c r="L3" s="12" t="s">
        <v>758</v>
      </c>
      <c r="M3" s="12" t="s">
        <v>759</v>
      </c>
      <c r="N3" s="12" t="s">
        <v>760</v>
      </c>
    </row>
    <row r="4" spans="1:22" ht="16.5" x14ac:dyDescent="0.2">
      <c r="A4" s="76" t="s">
        <v>750</v>
      </c>
      <c r="B4" s="76">
        <v>5</v>
      </c>
      <c r="C4" s="76">
        <v>10</v>
      </c>
      <c r="D4" s="76">
        <f>B4*C4</f>
        <v>50</v>
      </c>
      <c r="F4" s="81" t="s">
        <v>748</v>
      </c>
      <c r="G4" s="77">
        <v>20</v>
      </c>
      <c r="H4" s="77">
        <v>40</v>
      </c>
      <c r="I4" s="77">
        <v>80</v>
      </c>
      <c r="J4" s="77">
        <v>120</v>
      </c>
      <c r="K4" s="77">
        <v>160</v>
      </c>
      <c r="L4" s="77"/>
      <c r="M4" s="77"/>
      <c r="N4" s="77"/>
      <c r="Q4">
        <f>SUM(G4:K4)*B5</f>
        <v>4200</v>
      </c>
      <c r="R4">
        <f>SUM(G4:K4)/G4</f>
        <v>21</v>
      </c>
    </row>
    <row r="5" spans="1:22" ht="16.5" x14ac:dyDescent="0.2">
      <c r="A5" s="76" t="s">
        <v>748</v>
      </c>
      <c r="B5" s="76">
        <v>10</v>
      </c>
      <c r="C5" s="76">
        <v>20</v>
      </c>
      <c r="D5" s="76">
        <f>B5*C5</f>
        <v>200</v>
      </c>
      <c r="F5" s="81" t="s">
        <v>749</v>
      </c>
      <c r="G5" s="77"/>
      <c r="H5" s="77">
        <v>40</v>
      </c>
      <c r="I5" s="77">
        <v>80</v>
      </c>
      <c r="J5" s="77">
        <v>120</v>
      </c>
      <c r="K5" s="77">
        <v>160</v>
      </c>
      <c r="L5" s="77">
        <v>240</v>
      </c>
      <c r="M5" s="77"/>
      <c r="N5" s="77"/>
      <c r="Q5">
        <f>SUM(H5:L5)*B6</f>
        <v>9600</v>
      </c>
    </row>
    <row r="6" spans="1:22" ht="16.5" x14ac:dyDescent="0.2">
      <c r="A6" s="76" t="s">
        <v>749</v>
      </c>
      <c r="B6" s="76">
        <v>15</v>
      </c>
      <c r="C6" s="76">
        <v>40</v>
      </c>
      <c r="D6" s="76">
        <f t="shared" ref="D6:D8" si="1">B6*C6</f>
        <v>600</v>
      </c>
      <c r="F6" s="81" t="s">
        <v>751</v>
      </c>
      <c r="G6" s="77"/>
      <c r="H6" s="77"/>
      <c r="I6" s="77">
        <v>80</v>
      </c>
      <c r="J6" s="77">
        <v>80</v>
      </c>
      <c r="K6" s="77">
        <v>160</v>
      </c>
      <c r="L6" s="77">
        <v>160</v>
      </c>
      <c r="M6" s="77">
        <v>240</v>
      </c>
      <c r="N6" s="77"/>
      <c r="Q6">
        <f>SUM(I6:M6)*B7</f>
        <v>25200</v>
      </c>
    </row>
    <row r="7" spans="1:22" ht="16.5" x14ac:dyDescent="0.2">
      <c r="A7" s="76" t="s">
        <v>751</v>
      </c>
      <c r="B7" s="76">
        <v>35</v>
      </c>
      <c r="C7" s="76">
        <v>80</v>
      </c>
      <c r="D7" s="76">
        <f t="shared" si="1"/>
        <v>2800</v>
      </c>
      <c r="F7" s="81" t="s">
        <v>752</v>
      </c>
      <c r="G7" s="77"/>
      <c r="H7" s="77"/>
      <c r="I7" s="77"/>
      <c r="J7" s="77">
        <v>80</v>
      </c>
      <c r="K7" s="77">
        <v>80</v>
      </c>
      <c r="L7" s="77">
        <v>160</v>
      </c>
      <c r="M7" s="77">
        <v>160</v>
      </c>
      <c r="N7" s="77">
        <v>240</v>
      </c>
      <c r="Q7">
        <f>SUM(J7:N7)*B8</f>
        <v>72000</v>
      </c>
    </row>
    <row r="8" spans="1:22" ht="16.5" x14ac:dyDescent="0.2">
      <c r="A8" s="76" t="s">
        <v>752</v>
      </c>
      <c r="B8" s="76">
        <v>100</v>
      </c>
      <c r="C8" s="76">
        <v>80</v>
      </c>
      <c r="D8" s="76">
        <f t="shared" si="1"/>
        <v>8000</v>
      </c>
    </row>
    <row r="11" spans="1:22" ht="16.5" x14ac:dyDescent="0.2">
      <c r="E11" s="82"/>
      <c r="F11" s="82"/>
      <c r="G11" s="82"/>
      <c r="H11" s="82"/>
      <c r="I11" s="82"/>
      <c r="J11" s="82"/>
      <c r="K11" s="82"/>
      <c r="L11" s="82"/>
      <c r="M11" s="82"/>
      <c r="N11" s="82"/>
      <c r="Q11" s="77"/>
      <c r="R11" s="77">
        <v>27</v>
      </c>
      <c r="S11" s="77">
        <v>2</v>
      </c>
      <c r="T11" s="77">
        <v>1</v>
      </c>
      <c r="U11" s="78" t="s">
        <v>771</v>
      </c>
      <c r="V11" s="15">
        <f>SUMPRODUCT(U13:U17,Q13:Q17)/30</f>
        <v>279.01000000000005</v>
      </c>
    </row>
    <row r="12" spans="1:22" ht="15" customHeight="1" x14ac:dyDescent="0.2">
      <c r="A12" s="12" t="s">
        <v>737</v>
      </c>
      <c r="B12" s="12" t="s">
        <v>738</v>
      </c>
      <c r="C12" s="12" t="s">
        <v>743</v>
      </c>
      <c r="D12" s="16"/>
      <c r="E12" s="117" t="s">
        <v>776</v>
      </c>
      <c r="F12" s="117"/>
      <c r="G12" s="117"/>
      <c r="H12" s="117"/>
      <c r="I12" s="117"/>
      <c r="J12" s="117"/>
      <c r="K12" s="117"/>
      <c r="L12" s="117"/>
      <c r="M12" s="117"/>
      <c r="N12" s="117"/>
      <c r="Q12" s="12" t="s">
        <v>770</v>
      </c>
      <c r="R12" s="12" t="s">
        <v>765</v>
      </c>
      <c r="S12" s="12" t="s">
        <v>766</v>
      </c>
      <c r="T12" s="12" t="s">
        <v>767</v>
      </c>
      <c r="U12" s="12" t="s">
        <v>769</v>
      </c>
      <c r="V12" s="35" t="s">
        <v>840</v>
      </c>
    </row>
    <row r="13" spans="1:22" ht="16.5" x14ac:dyDescent="0.2">
      <c r="A13" s="89" t="s">
        <v>290</v>
      </c>
      <c r="B13" s="76" t="s">
        <v>739</v>
      </c>
      <c r="C13" s="76">
        <f>MATCH(B13,$F$4:$F$7)+1</f>
        <v>2</v>
      </c>
      <c r="D13" s="16">
        <f>MATCH(B13,$A$4:$A$8,0)</f>
        <v>2</v>
      </c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P13" s="77" t="s">
        <v>768</v>
      </c>
      <c r="Q13" s="77">
        <v>27</v>
      </c>
      <c r="R13" s="77">
        <v>0.7</v>
      </c>
      <c r="S13" s="77"/>
      <c r="T13" s="77"/>
      <c r="U13" s="77">
        <f>SUMPRODUCT(R$11:T$11,R13:T13)</f>
        <v>18.899999999999999</v>
      </c>
      <c r="V13" s="22">
        <f>U13/30</f>
        <v>0.63</v>
      </c>
    </row>
    <row r="14" spans="1:22" ht="16.5" x14ac:dyDescent="0.2">
      <c r="A14" s="89" t="s">
        <v>734</v>
      </c>
      <c r="B14" s="76" t="s">
        <v>739</v>
      </c>
      <c r="C14" s="87">
        <f t="shared" ref="C14:C33" si="2">MATCH(B14,$F$4:$F$7)+1</f>
        <v>2</v>
      </c>
      <c r="D14" s="16">
        <f t="shared" ref="D14:D32" si="3">MATCH(B14,$A$4:$A$8,0)</f>
        <v>2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P14" s="77" t="s">
        <v>761</v>
      </c>
      <c r="Q14" s="77">
        <v>200</v>
      </c>
      <c r="R14" s="77">
        <v>0.25</v>
      </c>
      <c r="S14" s="77"/>
      <c r="T14" s="77"/>
      <c r="U14" s="77">
        <f t="shared" ref="U14:U17" si="4">SUMPRODUCT(R$11:T$11,R14:T14)</f>
        <v>6.75</v>
      </c>
      <c r="V14" s="22">
        <f t="shared" ref="V14:V17" si="5">U14/30</f>
        <v>0.22500000000000001</v>
      </c>
    </row>
    <row r="15" spans="1:22" ht="16.5" x14ac:dyDescent="0.2">
      <c r="A15" s="89" t="s">
        <v>282</v>
      </c>
      <c r="B15" s="76" t="s">
        <v>740</v>
      </c>
      <c r="C15" s="87">
        <f t="shared" si="2"/>
        <v>3</v>
      </c>
      <c r="D15" s="16">
        <f t="shared" si="3"/>
        <v>3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P15" s="77" t="s">
        <v>762</v>
      </c>
      <c r="Q15" s="77">
        <v>600</v>
      </c>
      <c r="R15" s="77">
        <v>0.05</v>
      </c>
      <c r="S15" s="77">
        <v>0.85</v>
      </c>
      <c r="T15" s="77"/>
      <c r="U15" s="77">
        <f t="shared" si="4"/>
        <v>3.05</v>
      </c>
      <c r="V15" s="22">
        <f t="shared" si="5"/>
        <v>0.10166666666666666</v>
      </c>
    </row>
    <row r="16" spans="1:22" ht="16.5" x14ac:dyDescent="0.2">
      <c r="A16" s="89" t="s">
        <v>844</v>
      </c>
      <c r="B16" s="76" t="s">
        <v>848</v>
      </c>
      <c r="C16" s="87">
        <f t="shared" si="2"/>
        <v>3</v>
      </c>
      <c r="D16" s="16">
        <f t="shared" si="3"/>
        <v>3</v>
      </c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P16" s="77" t="s">
        <v>763</v>
      </c>
      <c r="Q16" s="77">
        <v>2800</v>
      </c>
      <c r="R16" s="77">
        <v>0</v>
      </c>
      <c r="S16" s="77">
        <v>0.15</v>
      </c>
      <c r="T16" s="77">
        <v>0.8</v>
      </c>
      <c r="U16" s="77">
        <f t="shared" si="4"/>
        <v>1.1000000000000001</v>
      </c>
      <c r="V16" s="22">
        <f t="shared" si="5"/>
        <v>3.6666666666666667E-2</v>
      </c>
    </row>
    <row r="17" spans="1:22" ht="16.5" x14ac:dyDescent="0.2">
      <c r="A17" s="89" t="s">
        <v>288</v>
      </c>
      <c r="B17" s="86" t="s">
        <v>772</v>
      </c>
      <c r="C17" s="87">
        <f t="shared" si="2"/>
        <v>4</v>
      </c>
      <c r="D17" s="16">
        <f>MATCH(B24,$A$4:$A$8,0)</f>
        <v>4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P17" s="77" t="s">
        <v>764</v>
      </c>
      <c r="Q17" s="77">
        <v>8000</v>
      </c>
      <c r="R17" s="77">
        <v>0</v>
      </c>
      <c r="S17" s="77"/>
      <c r="T17" s="77">
        <v>0.2</v>
      </c>
      <c r="U17" s="77">
        <f t="shared" si="4"/>
        <v>0.2</v>
      </c>
      <c r="V17" s="22">
        <f t="shared" si="5"/>
        <v>6.6666666666666671E-3</v>
      </c>
    </row>
    <row r="18" spans="1:22" ht="16.5" x14ac:dyDescent="0.2">
      <c r="A18" s="89" t="s">
        <v>278</v>
      </c>
      <c r="B18" s="76" t="s">
        <v>742</v>
      </c>
      <c r="C18" s="87">
        <f t="shared" si="2"/>
        <v>5</v>
      </c>
      <c r="D18" s="16">
        <f>MATCH(B33,$A$4:$A$8,0)</f>
        <v>5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17"/>
    </row>
    <row r="19" spans="1:22" ht="16.5" x14ac:dyDescent="0.2">
      <c r="A19" s="88" t="s">
        <v>292</v>
      </c>
      <c r="B19" s="76" t="s">
        <v>739</v>
      </c>
      <c r="C19" s="87">
        <f t="shared" si="2"/>
        <v>2</v>
      </c>
      <c r="D19" s="16">
        <f t="shared" si="3"/>
        <v>2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</row>
    <row r="20" spans="1:22" ht="16.5" x14ac:dyDescent="0.2">
      <c r="A20" s="88" t="s">
        <v>295</v>
      </c>
      <c r="B20" s="76" t="s">
        <v>739</v>
      </c>
      <c r="C20" s="87">
        <f t="shared" si="2"/>
        <v>2</v>
      </c>
      <c r="D20" s="16">
        <f t="shared" si="3"/>
        <v>2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</row>
    <row r="21" spans="1:22" ht="16.5" x14ac:dyDescent="0.2">
      <c r="A21" s="88" t="s">
        <v>297</v>
      </c>
      <c r="B21" s="76" t="s">
        <v>740</v>
      </c>
      <c r="C21" s="87">
        <f t="shared" si="2"/>
        <v>3</v>
      </c>
      <c r="D21" s="16">
        <f t="shared" si="3"/>
        <v>3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17"/>
    </row>
    <row r="22" spans="1:22" ht="16.5" x14ac:dyDescent="0.2">
      <c r="A22" s="88" t="s">
        <v>286</v>
      </c>
      <c r="B22" s="86" t="s">
        <v>254</v>
      </c>
      <c r="C22" s="87">
        <f t="shared" si="2"/>
        <v>3</v>
      </c>
      <c r="D22" s="16">
        <f t="shared" si="3"/>
        <v>3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</row>
    <row r="23" spans="1:22" ht="16.5" x14ac:dyDescent="0.2">
      <c r="A23" s="88" t="s">
        <v>841</v>
      </c>
      <c r="B23" s="77" t="s">
        <v>842</v>
      </c>
      <c r="C23" s="87">
        <f t="shared" si="2"/>
        <v>4</v>
      </c>
      <c r="D23" s="16">
        <f t="shared" si="3"/>
        <v>4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</row>
    <row r="24" spans="1:22" ht="16.5" x14ac:dyDescent="0.2">
      <c r="A24" s="88" t="s">
        <v>293</v>
      </c>
      <c r="B24" s="86" t="s">
        <v>763</v>
      </c>
      <c r="C24" s="87">
        <f t="shared" si="2"/>
        <v>4</v>
      </c>
      <c r="D24" s="16">
        <f>MATCH(B17,$A$4:$A$8,0)</f>
        <v>4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</row>
    <row r="25" spans="1:22" ht="16.5" x14ac:dyDescent="0.2">
      <c r="A25" s="88" t="s">
        <v>283</v>
      </c>
      <c r="B25" s="76" t="s">
        <v>742</v>
      </c>
      <c r="C25" s="87">
        <f t="shared" si="2"/>
        <v>5</v>
      </c>
      <c r="D25" s="16">
        <f t="shared" si="3"/>
        <v>5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</row>
    <row r="26" spans="1:22" ht="16.5" x14ac:dyDescent="0.2">
      <c r="A26" s="90" t="s">
        <v>281</v>
      </c>
      <c r="B26" s="76" t="s">
        <v>739</v>
      </c>
      <c r="C26" s="87">
        <f t="shared" si="2"/>
        <v>2</v>
      </c>
      <c r="D26" s="16">
        <f t="shared" si="3"/>
        <v>2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22" ht="16.5" x14ac:dyDescent="0.2">
      <c r="A27" s="90" t="s">
        <v>296</v>
      </c>
      <c r="B27" s="76" t="s">
        <v>739</v>
      </c>
      <c r="C27" s="87">
        <f t="shared" si="2"/>
        <v>2</v>
      </c>
      <c r="D27" s="16">
        <f t="shared" si="3"/>
        <v>2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22" ht="16.5" x14ac:dyDescent="0.2">
      <c r="A28" s="90" t="s">
        <v>298</v>
      </c>
      <c r="B28" s="76" t="s">
        <v>740</v>
      </c>
      <c r="C28" s="87">
        <f t="shared" si="2"/>
        <v>3</v>
      </c>
      <c r="D28" s="16">
        <f t="shared" si="3"/>
        <v>3</v>
      </c>
      <c r="E28" s="117"/>
      <c r="F28" s="117"/>
      <c r="G28" s="117"/>
      <c r="H28" s="117"/>
      <c r="I28" s="117"/>
      <c r="J28" s="117"/>
      <c r="K28" s="117"/>
      <c r="L28" s="117"/>
      <c r="M28" s="117"/>
      <c r="N28" s="117"/>
    </row>
    <row r="29" spans="1:22" ht="16.5" x14ac:dyDescent="0.2">
      <c r="A29" s="90" t="s">
        <v>279</v>
      </c>
      <c r="B29" s="76" t="s">
        <v>740</v>
      </c>
      <c r="C29" s="87">
        <f t="shared" si="2"/>
        <v>3</v>
      </c>
      <c r="D29" s="16">
        <f t="shared" si="3"/>
        <v>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 spans="1:22" ht="16.5" x14ac:dyDescent="0.2">
      <c r="A30" s="90" t="s">
        <v>291</v>
      </c>
      <c r="B30" s="86" t="s">
        <v>847</v>
      </c>
      <c r="C30" s="87">
        <f t="shared" si="2"/>
        <v>3</v>
      </c>
      <c r="D30" s="16">
        <f t="shared" si="3"/>
        <v>3</v>
      </c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22" ht="16.5" x14ac:dyDescent="0.2">
      <c r="A31" s="90" t="s">
        <v>736</v>
      </c>
      <c r="B31" s="76" t="s">
        <v>741</v>
      </c>
      <c r="C31" s="87">
        <f t="shared" si="2"/>
        <v>4</v>
      </c>
      <c r="D31" s="16">
        <f t="shared" si="3"/>
        <v>4</v>
      </c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 spans="1:22" ht="16.5" x14ac:dyDescent="0.2">
      <c r="A32" s="90" t="s">
        <v>287</v>
      </c>
      <c r="B32" s="86" t="s">
        <v>846</v>
      </c>
      <c r="C32" s="87">
        <f t="shared" si="2"/>
        <v>4</v>
      </c>
      <c r="D32" s="16">
        <f t="shared" si="3"/>
        <v>4</v>
      </c>
      <c r="E32" s="117"/>
      <c r="F32" s="117"/>
      <c r="G32" s="117"/>
      <c r="H32" s="117"/>
      <c r="I32" s="117"/>
      <c r="J32" s="117"/>
      <c r="K32" s="117"/>
      <c r="L32" s="117"/>
      <c r="M32" s="117"/>
      <c r="N32" s="117"/>
    </row>
    <row r="33" spans="1:14" ht="16.5" x14ac:dyDescent="0.2">
      <c r="A33" s="90" t="s">
        <v>289</v>
      </c>
      <c r="B33" s="86" t="s">
        <v>845</v>
      </c>
      <c r="C33" s="87">
        <f t="shared" si="2"/>
        <v>5</v>
      </c>
      <c r="D33" s="16">
        <f>MATCH(B18,$A$4:$A$8,0)</f>
        <v>5</v>
      </c>
      <c r="E33" s="117"/>
      <c r="F33" s="117"/>
      <c r="G33" s="117"/>
      <c r="H33" s="117"/>
      <c r="I33" s="117"/>
      <c r="J33" s="117"/>
      <c r="K33" s="117"/>
      <c r="L33" s="117"/>
      <c r="M33" s="117"/>
      <c r="N33" s="117"/>
    </row>
    <row r="36" spans="1:14" ht="16.5" x14ac:dyDescent="0.2">
      <c r="A36" s="77" t="s">
        <v>773</v>
      </c>
      <c r="B36" s="77">
        <v>650</v>
      </c>
      <c r="C36" s="77"/>
      <c r="E36" s="117" t="s">
        <v>859</v>
      </c>
      <c r="F36" s="117"/>
      <c r="G36" s="117"/>
      <c r="H36" s="117"/>
      <c r="I36" s="117"/>
      <c r="J36" s="117"/>
      <c r="K36" s="117"/>
      <c r="L36" s="117"/>
      <c r="M36" s="117"/>
      <c r="N36" s="117"/>
    </row>
    <row r="37" spans="1:14" ht="16.5" x14ac:dyDescent="0.2">
      <c r="A37" s="77" t="s">
        <v>774</v>
      </c>
      <c r="B37" s="77">
        <v>650</v>
      </c>
      <c r="C37" s="7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  <row r="38" spans="1:14" ht="16.5" x14ac:dyDescent="0.2">
      <c r="A38" s="77" t="s">
        <v>777</v>
      </c>
      <c r="B38" s="77">
        <v>650</v>
      </c>
      <c r="C38" s="77"/>
      <c r="E38" s="117"/>
      <c r="F38" s="117"/>
      <c r="G38" s="117"/>
      <c r="H38" s="117"/>
      <c r="I38" s="117"/>
      <c r="J38" s="117"/>
      <c r="K38" s="117"/>
      <c r="L38" s="117"/>
      <c r="M38" s="117"/>
      <c r="N38" s="117"/>
    </row>
    <row r="39" spans="1:14" ht="16.5" x14ac:dyDescent="0.2">
      <c r="A39" s="77" t="s">
        <v>778</v>
      </c>
      <c r="B39" s="77">
        <v>650</v>
      </c>
      <c r="C39" s="77"/>
      <c r="E39" s="117"/>
      <c r="F39" s="117"/>
      <c r="G39" s="117"/>
      <c r="H39" s="117"/>
      <c r="I39" s="117"/>
      <c r="J39" s="117"/>
      <c r="K39" s="117"/>
      <c r="L39" s="117"/>
      <c r="M39" s="117"/>
      <c r="N39" s="117"/>
    </row>
    <row r="40" spans="1:14" ht="16.5" x14ac:dyDescent="0.2">
      <c r="A40" s="77" t="s">
        <v>779</v>
      </c>
      <c r="B40" s="77">
        <v>750</v>
      </c>
      <c r="C40" s="77"/>
      <c r="E40" s="117"/>
      <c r="F40" s="117"/>
      <c r="G40" s="117"/>
      <c r="H40" s="117"/>
      <c r="I40" s="117"/>
      <c r="J40" s="117"/>
      <c r="K40" s="117"/>
      <c r="L40" s="117"/>
      <c r="M40" s="117"/>
      <c r="N40" s="117"/>
    </row>
    <row r="41" spans="1:14" ht="16.5" x14ac:dyDescent="0.2">
      <c r="A41" s="77" t="s">
        <v>780</v>
      </c>
      <c r="B41" s="77">
        <v>650</v>
      </c>
      <c r="C41" s="77"/>
      <c r="E41" s="117"/>
      <c r="F41" s="117"/>
      <c r="G41" s="117"/>
      <c r="H41" s="117"/>
      <c r="I41" s="117"/>
      <c r="J41" s="117"/>
      <c r="K41" s="117"/>
      <c r="L41" s="117"/>
      <c r="M41" s="117"/>
      <c r="N41" s="117"/>
    </row>
    <row r="42" spans="1:14" ht="16.5" x14ac:dyDescent="0.2">
      <c r="A42" s="77" t="s">
        <v>775</v>
      </c>
      <c r="B42" s="77">
        <v>285</v>
      </c>
      <c r="C42" s="77"/>
      <c r="E42" s="117"/>
      <c r="F42" s="117"/>
      <c r="G42" s="117"/>
      <c r="H42" s="117"/>
      <c r="I42" s="117"/>
      <c r="J42" s="117"/>
      <c r="K42" s="117"/>
      <c r="L42" s="117"/>
      <c r="M42" s="117"/>
      <c r="N42" s="117"/>
    </row>
    <row r="43" spans="1:14" ht="16.5" x14ac:dyDescent="0.2">
      <c r="A43" s="77" t="s">
        <v>849</v>
      </c>
      <c r="B43" s="86">
        <v>285</v>
      </c>
      <c r="C43" s="77"/>
      <c r="E43" s="117"/>
      <c r="F43" s="117"/>
      <c r="G43" s="117"/>
      <c r="H43" s="117"/>
      <c r="I43" s="117"/>
      <c r="J43" s="117"/>
      <c r="K43" s="117"/>
      <c r="L43" s="117"/>
      <c r="M43" s="117"/>
      <c r="N43" s="117"/>
    </row>
    <row r="44" spans="1:14" ht="16.5" x14ac:dyDescent="0.2">
      <c r="A44" s="86" t="s">
        <v>781</v>
      </c>
      <c r="B44" s="86">
        <v>285</v>
      </c>
      <c r="C44" s="77"/>
      <c r="E44" s="117"/>
      <c r="F44" s="117"/>
      <c r="G44" s="117"/>
      <c r="H44" s="117"/>
      <c r="I44" s="117"/>
      <c r="J44" s="117"/>
      <c r="K44" s="117"/>
      <c r="L44" s="117"/>
      <c r="M44" s="117"/>
      <c r="N44" s="117"/>
    </row>
    <row r="45" spans="1:14" ht="16.5" x14ac:dyDescent="0.2">
      <c r="A45" s="86" t="s">
        <v>784</v>
      </c>
      <c r="B45" s="86">
        <v>285</v>
      </c>
      <c r="C45" s="77"/>
      <c r="E45" s="117"/>
      <c r="F45" s="117"/>
      <c r="G45" s="117"/>
      <c r="H45" s="117"/>
      <c r="I45" s="117"/>
      <c r="J45" s="117"/>
      <c r="K45" s="117"/>
      <c r="L45" s="117"/>
      <c r="M45" s="117"/>
      <c r="N45" s="117"/>
    </row>
    <row r="46" spans="1:14" ht="16.5" x14ac:dyDescent="0.2">
      <c r="A46" s="86" t="s">
        <v>782</v>
      </c>
      <c r="B46" s="86">
        <v>285</v>
      </c>
      <c r="C46" s="77"/>
      <c r="E46" s="117"/>
      <c r="F46" s="117"/>
      <c r="G46" s="117"/>
      <c r="H46" s="117"/>
      <c r="I46" s="117"/>
      <c r="J46" s="117"/>
      <c r="K46" s="117"/>
      <c r="L46" s="117"/>
      <c r="M46" s="117"/>
      <c r="N46" s="117"/>
    </row>
    <row r="47" spans="1:14" ht="16.5" x14ac:dyDescent="0.2">
      <c r="A47" s="86" t="s">
        <v>783</v>
      </c>
      <c r="B47" s="86">
        <v>290</v>
      </c>
      <c r="C47" s="77"/>
      <c r="E47" s="117"/>
      <c r="F47" s="117"/>
      <c r="G47" s="117"/>
      <c r="H47" s="117"/>
      <c r="I47" s="117"/>
      <c r="J47" s="117"/>
      <c r="K47" s="117"/>
      <c r="L47" s="117"/>
      <c r="M47" s="117"/>
      <c r="N47" s="117"/>
    </row>
    <row r="48" spans="1:14" ht="16.5" x14ac:dyDescent="0.2">
      <c r="A48" s="86" t="s">
        <v>785</v>
      </c>
      <c r="B48" s="86">
        <v>285</v>
      </c>
      <c r="C48" s="77"/>
      <c r="E48" s="117"/>
      <c r="F48" s="117"/>
      <c r="G48" s="117"/>
      <c r="H48" s="117"/>
      <c r="I48" s="117"/>
      <c r="J48" s="117"/>
      <c r="K48" s="117"/>
      <c r="L48" s="117"/>
      <c r="M48" s="117"/>
      <c r="N48" s="117"/>
    </row>
    <row r="49" spans="1:14" ht="16.5" x14ac:dyDescent="0.2">
      <c r="A49" s="86" t="s">
        <v>851</v>
      </c>
      <c r="B49" s="86">
        <v>200</v>
      </c>
      <c r="C49" s="77"/>
      <c r="E49" s="117"/>
      <c r="F49" s="117"/>
      <c r="G49" s="117"/>
      <c r="H49" s="117"/>
      <c r="I49" s="117"/>
      <c r="J49" s="117"/>
      <c r="K49" s="117"/>
      <c r="L49" s="117"/>
      <c r="M49" s="117"/>
      <c r="N49" s="117"/>
    </row>
    <row r="50" spans="1:14" ht="16.5" x14ac:dyDescent="0.2">
      <c r="A50" s="86" t="s">
        <v>850</v>
      </c>
      <c r="B50" s="86">
        <v>200</v>
      </c>
      <c r="C50" s="77"/>
      <c r="E50" s="117"/>
      <c r="F50" s="117"/>
      <c r="G50" s="117"/>
      <c r="H50" s="117"/>
      <c r="I50" s="117"/>
      <c r="J50" s="117"/>
      <c r="K50" s="117"/>
      <c r="L50" s="117"/>
      <c r="M50" s="117"/>
      <c r="N50" s="117"/>
    </row>
    <row r="51" spans="1:14" ht="16.5" x14ac:dyDescent="0.2">
      <c r="A51" s="86" t="s">
        <v>854</v>
      </c>
      <c r="B51" s="86">
        <v>200</v>
      </c>
      <c r="C51" s="86"/>
      <c r="E51" s="117"/>
      <c r="F51" s="117"/>
      <c r="G51" s="117"/>
      <c r="H51" s="117"/>
      <c r="I51" s="117"/>
      <c r="J51" s="117"/>
      <c r="K51" s="117"/>
      <c r="L51" s="117"/>
      <c r="M51" s="117"/>
      <c r="N51" s="117"/>
    </row>
    <row r="52" spans="1:14" ht="16.5" x14ac:dyDescent="0.2">
      <c r="A52" s="86" t="s">
        <v>855</v>
      </c>
      <c r="B52" s="86">
        <v>200</v>
      </c>
      <c r="C52" s="86"/>
      <c r="E52" s="117"/>
      <c r="F52" s="117"/>
      <c r="G52" s="117"/>
      <c r="H52" s="117"/>
      <c r="I52" s="117"/>
      <c r="J52" s="117"/>
      <c r="K52" s="117"/>
      <c r="L52" s="117"/>
      <c r="M52" s="117"/>
      <c r="N52" s="117"/>
    </row>
    <row r="53" spans="1:14" ht="16.5" x14ac:dyDescent="0.2">
      <c r="A53" s="86" t="s">
        <v>856</v>
      </c>
      <c r="B53" s="86">
        <v>200</v>
      </c>
      <c r="C53" s="86"/>
      <c r="E53" s="117"/>
      <c r="F53" s="117"/>
      <c r="G53" s="117"/>
      <c r="H53" s="117"/>
      <c r="I53" s="117"/>
      <c r="J53" s="117"/>
      <c r="K53" s="117"/>
      <c r="L53" s="117"/>
      <c r="M53" s="117"/>
      <c r="N53" s="117"/>
    </row>
    <row r="54" spans="1:14" ht="16.5" x14ac:dyDescent="0.2">
      <c r="A54" s="86"/>
      <c r="B54" s="86"/>
      <c r="C54" s="86"/>
    </row>
    <row r="55" spans="1:14" ht="16.5" x14ac:dyDescent="0.2">
      <c r="A55" s="77" t="s">
        <v>290</v>
      </c>
      <c r="B55" s="77">
        <v>417</v>
      </c>
      <c r="C55" s="77"/>
      <c r="E55" s="92" t="s">
        <v>773</v>
      </c>
      <c r="F55" s="92">
        <v>650</v>
      </c>
    </row>
    <row r="56" spans="1:14" ht="16.5" x14ac:dyDescent="0.2">
      <c r="A56" s="77" t="s">
        <v>734</v>
      </c>
      <c r="B56" s="77">
        <v>417</v>
      </c>
      <c r="C56" s="77"/>
      <c r="E56" s="92" t="s">
        <v>868</v>
      </c>
      <c r="F56" s="92">
        <v>650</v>
      </c>
    </row>
    <row r="57" spans="1:14" ht="16.5" x14ac:dyDescent="0.2">
      <c r="A57" s="77" t="s">
        <v>292</v>
      </c>
      <c r="B57" s="77">
        <v>415</v>
      </c>
      <c r="C57" s="77"/>
      <c r="E57" s="92" t="s">
        <v>777</v>
      </c>
      <c r="F57" s="92">
        <v>650</v>
      </c>
    </row>
    <row r="58" spans="1:14" ht="16.5" x14ac:dyDescent="0.2">
      <c r="A58" s="77" t="s">
        <v>295</v>
      </c>
      <c r="B58" s="77">
        <v>417</v>
      </c>
      <c r="C58" s="77"/>
      <c r="E58" s="92" t="s">
        <v>778</v>
      </c>
      <c r="F58" s="92">
        <v>650</v>
      </c>
    </row>
    <row r="59" spans="1:14" ht="16.5" x14ac:dyDescent="0.2">
      <c r="A59" s="77" t="s">
        <v>281</v>
      </c>
      <c r="B59" s="77">
        <v>417</v>
      </c>
      <c r="C59" s="77"/>
      <c r="E59" s="92" t="s">
        <v>779</v>
      </c>
      <c r="F59" s="92">
        <v>750</v>
      </c>
    </row>
    <row r="60" spans="1:14" ht="16.5" x14ac:dyDescent="0.2">
      <c r="A60" s="77" t="s">
        <v>296</v>
      </c>
      <c r="B60" s="77">
        <v>417</v>
      </c>
      <c r="C60" s="77"/>
      <c r="E60" s="92" t="s">
        <v>780</v>
      </c>
      <c r="F60" s="92">
        <v>650</v>
      </c>
    </row>
    <row r="61" spans="1:14" ht="16.5" x14ac:dyDescent="0.2">
      <c r="A61" s="77" t="s">
        <v>282</v>
      </c>
      <c r="B61" s="77">
        <v>80</v>
      </c>
      <c r="C61" s="77"/>
      <c r="E61" s="92" t="s">
        <v>775</v>
      </c>
      <c r="F61" s="92">
        <v>285</v>
      </c>
    </row>
    <row r="62" spans="1:14" ht="16.5" x14ac:dyDescent="0.2">
      <c r="A62" s="77" t="s">
        <v>852</v>
      </c>
      <c r="B62" s="86">
        <v>80</v>
      </c>
      <c r="C62" s="77"/>
      <c r="E62" s="92" t="s">
        <v>860</v>
      </c>
      <c r="F62" s="92">
        <v>285</v>
      </c>
    </row>
    <row r="63" spans="1:14" ht="16.5" x14ac:dyDescent="0.2">
      <c r="A63" s="86" t="s">
        <v>297</v>
      </c>
      <c r="B63" s="86">
        <v>80</v>
      </c>
      <c r="C63" s="86"/>
      <c r="E63" s="92" t="s">
        <v>781</v>
      </c>
      <c r="F63" s="92">
        <v>285</v>
      </c>
    </row>
    <row r="64" spans="1:14" ht="16.5" x14ac:dyDescent="0.2">
      <c r="A64" s="86" t="s">
        <v>853</v>
      </c>
      <c r="B64" s="86">
        <v>80</v>
      </c>
      <c r="C64" s="86"/>
      <c r="E64" s="92" t="s">
        <v>784</v>
      </c>
      <c r="F64" s="92">
        <v>285</v>
      </c>
    </row>
    <row r="65" spans="1:6" ht="16.5" x14ac:dyDescent="0.2">
      <c r="A65" s="86" t="s">
        <v>298</v>
      </c>
      <c r="B65" s="86">
        <v>100</v>
      </c>
      <c r="C65" s="86"/>
      <c r="E65" s="92" t="s">
        <v>782</v>
      </c>
      <c r="F65" s="92">
        <v>285</v>
      </c>
    </row>
    <row r="66" spans="1:6" ht="16.5" x14ac:dyDescent="0.2">
      <c r="A66" s="86" t="s">
        <v>279</v>
      </c>
      <c r="B66" s="86">
        <v>80</v>
      </c>
      <c r="C66" s="86"/>
      <c r="E66" s="92" t="s">
        <v>783</v>
      </c>
      <c r="F66" s="92">
        <v>290</v>
      </c>
    </row>
    <row r="67" spans="1:6" ht="16.5" x14ac:dyDescent="0.2">
      <c r="E67" s="92" t="s">
        <v>785</v>
      </c>
      <c r="F67" s="92">
        <v>285</v>
      </c>
    </row>
    <row r="68" spans="1:6" ht="16.5" x14ac:dyDescent="0.2">
      <c r="A68" s="77" t="s">
        <v>282</v>
      </c>
      <c r="B68" s="77">
        <v>1212</v>
      </c>
      <c r="C68" s="77"/>
      <c r="E68" s="92" t="s">
        <v>861</v>
      </c>
      <c r="F68" s="92">
        <v>200</v>
      </c>
    </row>
    <row r="69" spans="1:6" ht="16.5" x14ac:dyDescent="0.2">
      <c r="A69" s="77" t="s">
        <v>843</v>
      </c>
      <c r="B69" s="86">
        <v>1212</v>
      </c>
      <c r="C69" s="77"/>
      <c r="E69" s="92" t="s">
        <v>862</v>
      </c>
      <c r="F69" s="92">
        <v>200</v>
      </c>
    </row>
    <row r="70" spans="1:6" ht="16.5" x14ac:dyDescent="0.2">
      <c r="A70" s="77" t="s">
        <v>297</v>
      </c>
      <c r="B70" s="86">
        <v>1212</v>
      </c>
      <c r="C70" s="77"/>
      <c r="E70" s="92" t="s">
        <v>863</v>
      </c>
      <c r="F70" s="92">
        <v>200</v>
      </c>
    </row>
    <row r="71" spans="1:6" ht="16.5" x14ac:dyDescent="0.2">
      <c r="A71" s="77" t="s">
        <v>286</v>
      </c>
      <c r="B71" s="86">
        <v>1212</v>
      </c>
      <c r="C71" s="77"/>
      <c r="E71" s="92" t="s">
        <v>864</v>
      </c>
      <c r="F71" s="92">
        <v>200</v>
      </c>
    </row>
    <row r="72" spans="1:6" ht="16.5" x14ac:dyDescent="0.2">
      <c r="A72" s="77" t="s">
        <v>279</v>
      </c>
      <c r="B72" s="86">
        <v>1212</v>
      </c>
      <c r="C72" s="77"/>
      <c r="E72" s="92" t="s">
        <v>865</v>
      </c>
      <c r="F72" s="92">
        <v>200</v>
      </c>
    </row>
    <row r="73" spans="1:6" ht="16.5" x14ac:dyDescent="0.2">
      <c r="A73" s="77" t="s">
        <v>298</v>
      </c>
      <c r="B73" s="86">
        <v>1228</v>
      </c>
      <c r="C73" s="77"/>
      <c r="E73" s="92" t="s">
        <v>290</v>
      </c>
      <c r="F73" s="92">
        <v>500</v>
      </c>
    </row>
    <row r="74" spans="1:6" ht="16.5" x14ac:dyDescent="0.2">
      <c r="A74" s="86" t="s">
        <v>291</v>
      </c>
      <c r="B74" s="86">
        <v>1212</v>
      </c>
      <c r="C74" s="77"/>
      <c r="E74" s="92" t="s">
        <v>734</v>
      </c>
      <c r="F74" s="92">
        <v>500</v>
      </c>
    </row>
    <row r="75" spans="1:6" ht="16.5" x14ac:dyDescent="0.2">
      <c r="A75" s="86" t="s">
        <v>288</v>
      </c>
      <c r="B75" s="86">
        <v>300</v>
      </c>
      <c r="C75" s="86"/>
      <c r="E75" s="92" t="s">
        <v>292</v>
      </c>
      <c r="F75" s="92">
        <v>500</v>
      </c>
    </row>
    <row r="76" spans="1:6" ht="16.5" x14ac:dyDescent="0.2">
      <c r="A76" s="86" t="s">
        <v>280</v>
      </c>
      <c r="B76" s="86">
        <v>300</v>
      </c>
      <c r="C76" s="86"/>
      <c r="E76" s="92" t="s">
        <v>295</v>
      </c>
      <c r="F76" s="92">
        <v>500</v>
      </c>
    </row>
    <row r="77" spans="1:6" ht="16.5" x14ac:dyDescent="0.2">
      <c r="A77" s="86" t="s">
        <v>293</v>
      </c>
      <c r="B77" s="86">
        <v>300</v>
      </c>
      <c r="C77" s="86"/>
      <c r="E77" s="92" t="s">
        <v>281</v>
      </c>
      <c r="F77" s="92">
        <v>500</v>
      </c>
    </row>
    <row r="78" spans="1:6" ht="16.5" x14ac:dyDescent="0.2">
      <c r="A78" s="86" t="s">
        <v>284</v>
      </c>
      <c r="B78" s="86">
        <v>300</v>
      </c>
      <c r="C78" s="86"/>
      <c r="E78" s="92" t="s">
        <v>296</v>
      </c>
      <c r="F78" s="92">
        <v>500</v>
      </c>
    </row>
    <row r="79" spans="1:6" ht="16.5" x14ac:dyDescent="0.2">
      <c r="A79" s="86" t="s">
        <v>287</v>
      </c>
      <c r="B79" s="86">
        <v>300</v>
      </c>
      <c r="C79" s="86"/>
    </row>
    <row r="81" spans="1:6" ht="16.5" x14ac:dyDescent="0.2">
      <c r="E81" s="92" t="s">
        <v>290</v>
      </c>
      <c r="F81" s="92">
        <v>1350</v>
      </c>
    </row>
    <row r="82" spans="1:6" ht="16.5" x14ac:dyDescent="0.2">
      <c r="A82" s="77" t="s">
        <v>288</v>
      </c>
      <c r="B82" s="77">
        <v>1700</v>
      </c>
      <c r="C82" s="77"/>
      <c r="E82" s="92" t="s">
        <v>867</v>
      </c>
      <c r="F82" s="92">
        <v>1350</v>
      </c>
    </row>
    <row r="83" spans="1:6" ht="16.5" x14ac:dyDescent="0.2">
      <c r="A83" s="77" t="s">
        <v>280</v>
      </c>
      <c r="B83" s="86">
        <v>1700</v>
      </c>
      <c r="C83" s="77"/>
      <c r="E83" s="92" t="s">
        <v>292</v>
      </c>
      <c r="F83" s="92">
        <v>1350</v>
      </c>
    </row>
    <row r="84" spans="1:6" ht="16.5" x14ac:dyDescent="0.2">
      <c r="A84" s="77" t="s">
        <v>293</v>
      </c>
      <c r="B84" s="86">
        <v>1700</v>
      </c>
      <c r="C84" s="77"/>
      <c r="E84" s="92" t="s">
        <v>295</v>
      </c>
      <c r="F84" s="92">
        <v>1350</v>
      </c>
    </row>
    <row r="85" spans="1:6" ht="16.5" x14ac:dyDescent="0.2">
      <c r="A85" s="77" t="s">
        <v>284</v>
      </c>
      <c r="B85" s="86">
        <v>1700</v>
      </c>
      <c r="C85" s="77"/>
      <c r="E85" s="92" t="s">
        <v>281</v>
      </c>
      <c r="F85" s="92">
        <v>1350</v>
      </c>
    </row>
    <row r="86" spans="1:6" ht="16.5" x14ac:dyDescent="0.2">
      <c r="A86" s="77" t="s">
        <v>287</v>
      </c>
      <c r="B86" s="86">
        <v>1700</v>
      </c>
      <c r="C86" s="77"/>
      <c r="E86" s="92" t="s">
        <v>296</v>
      </c>
      <c r="F86" s="92">
        <v>1350</v>
      </c>
    </row>
    <row r="87" spans="1:6" ht="16.5" x14ac:dyDescent="0.2">
      <c r="A87" s="77" t="s">
        <v>278</v>
      </c>
      <c r="B87" s="77">
        <v>500</v>
      </c>
      <c r="C87" s="77"/>
      <c r="E87" s="92" t="s">
        <v>852</v>
      </c>
      <c r="F87" s="92">
        <v>315</v>
      </c>
    </row>
    <row r="88" spans="1:6" ht="16.5" x14ac:dyDescent="0.2">
      <c r="A88" s="77" t="s">
        <v>283</v>
      </c>
      <c r="B88" s="86">
        <v>500</v>
      </c>
      <c r="C88" s="77"/>
      <c r="E88" s="92" t="s">
        <v>297</v>
      </c>
      <c r="F88" s="92">
        <v>315</v>
      </c>
    </row>
    <row r="89" spans="1:6" ht="16.5" x14ac:dyDescent="0.2">
      <c r="A89" s="86" t="s">
        <v>289</v>
      </c>
      <c r="B89" s="86">
        <v>500</v>
      </c>
      <c r="C89" s="86"/>
      <c r="E89" s="92" t="s">
        <v>853</v>
      </c>
      <c r="F89" s="92">
        <v>315</v>
      </c>
    </row>
    <row r="90" spans="1:6" ht="16.5" x14ac:dyDescent="0.2">
      <c r="A90" s="16"/>
      <c r="B90" s="16"/>
      <c r="C90" s="16"/>
      <c r="E90" s="92" t="s">
        <v>298</v>
      </c>
      <c r="F90" s="92">
        <v>315</v>
      </c>
    </row>
    <row r="91" spans="1:6" ht="16.5" x14ac:dyDescent="0.2">
      <c r="A91" s="16"/>
      <c r="B91" s="16"/>
      <c r="C91" s="16"/>
      <c r="E91" s="92" t="s">
        <v>279</v>
      </c>
      <c r="F91" s="92">
        <v>325</v>
      </c>
    </row>
    <row r="92" spans="1:6" ht="16.5" x14ac:dyDescent="0.2">
      <c r="E92" s="92" t="s">
        <v>866</v>
      </c>
      <c r="F92" s="92">
        <v>315</v>
      </c>
    </row>
    <row r="95" spans="1:6" x14ac:dyDescent="0.2">
      <c r="D95">
        <f>SUM(D97:D117)</f>
        <v>405.11904761904759</v>
      </c>
    </row>
    <row r="96" spans="1:6" ht="17.25" x14ac:dyDescent="0.2">
      <c r="A96" s="12" t="s">
        <v>786</v>
      </c>
      <c r="B96" s="12" t="s">
        <v>787</v>
      </c>
      <c r="C96" s="12" t="s">
        <v>788</v>
      </c>
      <c r="D96" s="12" t="s">
        <v>789</v>
      </c>
      <c r="E96" s="12" t="s">
        <v>790</v>
      </c>
      <c r="F96" s="12" t="s">
        <v>791</v>
      </c>
    </row>
    <row r="97" spans="1:6" ht="16.5" x14ac:dyDescent="0.2">
      <c r="A97" s="77" t="s">
        <v>290</v>
      </c>
      <c r="B97" s="77" t="s">
        <v>739</v>
      </c>
      <c r="C97" s="77">
        <f>INDEX($D$4:$D$8,MATCH(B97,$A$4:$A$8,0))</f>
        <v>200</v>
      </c>
      <c r="D97" s="77">
        <f>10000/C97</f>
        <v>50</v>
      </c>
      <c r="E97" s="77">
        <f>ROUND(D97/D$95*10000,0)</f>
        <v>1234</v>
      </c>
      <c r="F97" s="77">
        <v>1234</v>
      </c>
    </row>
    <row r="98" spans="1:6" ht="16.5" x14ac:dyDescent="0.2">
      <c r="A98" s="77" t="s">
        <v>734</v>
      </c>
      <c r="B98" s="77" t="s">
        <v>739</v>
      </c>
      <c r="C98" s="77">
        <f t="shared" ref="C98:C117" si="6">INDEX($D$4:$D$8,MATCH(B98,$A$4:$A$8,0))</f>
        <v>200</v>
      </c>
      <c r="D98" s="77">
        <f t="shared" ref="D98:D117" si="7">10000/C98</f>
        <v>50</v>
      </c>
      <c r="E98" s="77">
        <f t="shared" ref="E98:E117" si="8">ROUND(D98/D$95*10000,0)</f>
        <v>1234</v>
      </c>
      <c r="F98" s="77">
        <v>1234</v>
      </c>
    </row>
    <row r="99" spans="1:6" ht="16.5" x14ac:dyDescent="0.2">
      <c r="A99" s="77" t="s">
        <v>282</v>
      </c>
      <c r="B99" s="77" t="s">
        <v>740</v>
      </c>
      <c r="C99" s="77">
        <f t="shared" si="6"/>
        <v>600</v>
      </c>
      <c r="D99" s="77">
        <f t="shared" si="7"/>
        <v>16.666666666666668</v>
      </c>
      <c r="E99" s="77">
        <f t="shared" si="8"/>
        <v>411</v>
      </c>
      <c r="F99" s="77">
        <v>414</v>
      </c>
    </row>
    <row r="100" spans="1:6" ht="16.5" x14ac:dyDescent="0.2">
      <c r="A100" s="77" t="s">
        <v>735</v>
      </c>
      <c r="B100" s="77" t="s">
        <v>763</v>
      </c>
      <c r="C100" s="77">
        <f t="shared" si="6"/>
        <v>2800</v>
      </c>
      <c r="D100" s="77">
        <f t="shared" si="7"/>
        <v>3.5714285714285716</v>
      </c>
      <c r="E100" s="77">
        <f t="shared" si="8"/>
        <v>88</v>
      </c>
      <c r="F100" s="77">
        <v>88</v>
      </c>
    </row>
    <row r="101" spans="1:6" ht="16.5" x14ac:dyDescent="0.2">
      <c r="A101" s="77" t="s">
        <v>293</v>
      </c>
      <c r="B101" s="77" t="s">
        <v>742</v>
      </c>
      <c r="C101" s="77">
        <f t="shared" si="6"/>
        <v>8000</v>
      </c>
      <c r="D101" s="77">
        <f t="shared" si="7"/>
        <v>1.25</v>
      </c>
      <c r="E101" s="77">
        <f t="shared" si="8"/>
        <v>31</v>
      </c>
      <c r="F101" s="77">
        <v>31</v>
      </c>
    </row>
    <row r="102" spans="1:6" ht="16.5" x14ac:dyDescent="0.2">
      <c r="A102" s="77" t="s">
        <v>287</v>
      </c>
      <c r="B102" s="77" t="s">
        <v>742</v>
      </c>
      <c r="C102" s="77">
        <f t="shared" si="6"/>
        <v>8000</v>
      </c>
      <c r="D102" s="77">
        <f t="shared" si="7"/>
        <v>1.25</v>
      </c>
      <c r="E102" s="77">
        <f t="shared" si="8"/>
        <v>31</v>
      </c>
      <c r="F102" s="77">
        <v>31</v>
      </c>
    </row>
    <row r="103" spans="1:6" ht="16.5" x14ac:dyDescent="0.2">
      <c r="A103" s="77" t="s">
        <v>292</v>
      </c>
      <c r="B103" s="77" t="s">
        <v>739</v>
      </c>
      <c r="C103" s="77">
        <f t="shared" si="6"/>
        <v>200</v>
      </c>
      <c r="D103" s="77">
        <f t="shared" si="7"/>
        <v>50</v>
      </c>
      <c r="E103" s="77">
        <f t="shared" si="8"/>
        <v>1234</v>
      </c>
      <c r="F103" s="77">
        <v>1234</v>
      </c>
    </row>
    <row r="104" spans="1:6" ht="16.5" x14ac:dyDescent="0.2">
      <c r="A104" s="77" t="s">
        <v>295</v>
      </c>
      <c r="B104" s="77" t="s">
        <v>739</v>
      </c>
      <c r="C104" s="77">
        <f t="shared" si="6"/>
        <v>200</v>
      </c>
      <c r="D104" s="77">
        <f t="shared" si="7"/>
        <v>50</v>
      </c>
      <c r="E104" s="77">
        <f t="shared" si="8"/>
        <v>1234</v>
      </c>
      <c r="F104" s="77">
        <v>1234</v>
      </c>
    </row>
    <row r="105" spans="1:6" ht="16.5" x14ac:dyDescent="0.2">
      <c r="A105" s="77" t="s">
        <v>297</v>
      </c>
      <c r="B105" s="77" t="s">
        <v>740</v>
      </c>
      <c r="C105" s="77">
        <f t="shared" si="6"/>
        <v>600</v>
      </c>
      <c r="D105" s="77">
        <f t="shared" si="7"/>
        <v>16.666666666666668</v>
      </c>
      <c r="E105" s="77">
        <f t="shared" si="8"/>
        <v>411</v>
      </c>
      <c r="F105" s="77">
        <v>411</v>
      </c>
    </row>
    <row r="106" spans="1:6" ht="16.5" x14ac:dyDescent="0.2">
      <c r="A106" s="77" t="s">
        <v>280</v>
      </c>
      <c r="B106" s="77" t="s">
        <v>740</v>
      </c>
      <c r="C106" s="77">
        <f t="shared" si="6"/>
        <v>600</v>
      </c>
      <c r="D106" s="77">
        <f t="shared" si="7"/>
        <v>16.666666666666668</v>
      </c>
      <c r="E106" s="77">
        <f t="shared" si="8"/>
        <v>411</v>
      </c>
      <c r="F106" s="77">
        <v>411</v>
      </c>
    </row>
    <row r="107" spans="1:6" ht="16.5" x14ac:dyDescent="0.2">
      <c r="A107" s="77" t="s">
        <v>286</v>
      </c>
      <c r="B107" s="77" t="s">
        <v>772</v>
      </c>
      <c r="C107" s="77">
        <f t="shared" si="6"/>
        <v>2800</v>
      </c>
      <c r="D107" s="77">
        <f t="shared" si="7"/>
        <v>3.5714285714285716</v>
      </c>
      <c r="E107" s="77">
        <f t="shared" si="8"/>
        <v>88</v>
      </c>
      <c r="F107" s="77">
        <v>88</v>
      </c>
    </row>
    <row r="108" spans="1:6" ht="16.5" x14ac:dyDescent="0.2">
      <c r="A108" s="77" t="s">
        <v>288</v>
      </c>
      <c r="B108" s="77" t="s">
        <v>742</v>
      </c>
      <c r="C108" s="77">
        <f t="shared" si="6"/>
        <v>8000</v>
      </c>
      <c r="D108" s="77">
        <f t="shared" si="7"/>
        <v>1.25</v>
      </c>
      <c r="E108" s="77">
        <f t="shared" si="8"/>
        <v>31</v>
      </c>
      <c r="F108" s="77">
        <v>31</v>
      </c>
    </row>
    <row r="109" spans="1:6" ht="16.5" x14ac:dyDescent="0.2">
      <c r="A109" s="77" t="s">
        <v>283</v>
      </c>
      <c r="B109" s="77" t="s">
        <v>742</v>
      </c>
      <c r="C109" s="77">
        <f t="shared" si="6"/>
        <v>8000</v>
      </c>
      <c r="D109" s="77">
        <f t="shared" si="7"/>
        <v>1.25</v>
      </c>
      <c r="E109" s="77">
        <f t="shared" si="8"/>
        <v>31</v>
      </c>
      <c r="F109" s="77">
        <v>31</v>
      </c>
    </row>
    <row r="110" spans="1:6" ht="16.5" x14ac:dyDescent="0.2">
      <c r="A110" s="77" t="s">
        <v>281</v>
      </c>
      <c r="B110" s="77" t="s">
        <v>739</v>
      </c>
      <c r="C110" s="77">
        <f t="shared" si="6"/>
        <v>200</v>
      </c>
      <c r="D110" s="77">
        <f t="shared" si="7"/>
        <v>50</v>
      </c>
      <c r="E110" s="77">
        <f t="shared" si="8"/>
        <v>1234</v>
      </c>
      <c r="F110" s="77">
        <v>1234</v>
      </c>
    </row>
    <row r="111" spans="1:6" ht="16.5" x14ac:dyDescent="0.2">
      <c r="A111" s="77" t="s">
        <v>296</v>
      </c>
      <c r="B111" s="77" t="s">
        <v>739</v>
      </c>
      <c r="C111" s="77">
        <f t="shared" si="6"/>
        <v>200</v>
      </c>
      <c r="D111" s="77">
        <f t="shared" si="7"/>
        <v>50</v>
      </c>
      <c r="E111" s="77">
        <f t="shared" si="8"/>
        <v>1234</v>
      </c>
      <c r="F111" s="77">
        <v>1234</v>
      </c>
    </row>
    <row r="112" spans="1:6" ht="16.5" x14ac:dyDescent="0.2">
      <c r="A112" s="77" t="s">
        <v>298</v>
      </c>
      <c r="B112" s="77" t="s">
        <v>740</v>
      </c>
      <c r="C112" s="77">
        <f t="shared" si="6"/>
        <v>600</v>
      </c>
      <c r="D112" s="77">
        <f t="shared" si="7"/>
        <v>16.666666666666668</v>
      </c>
      <c r="E112" s="77">
        <f t="shared" si="8"/>
        <v>411</v>
      </c>
      <c r="F112" s="77">
        <v>411</v>
      </c>
    </row>
    <row r="113" spans="1:6" ht="16.5" x14ac:dyDescent="0.2">
      <c r="A113" s="77" t="s">
        <v>279</v>
      </c>
      <c r="B113" s="77" t="s">
        <v>740</v>
      </c>
      <c r="C113" s="77">
        <f t="shared" si="6"/>
        <v>600</v>
      </c>
      <c r="D113" s="77">
        <f t="shared" si="7"/>
        <v>16.666666666666668</v>
      </c>
      <c r="E113" s="77">
        <f t="shared" si="8"/>
        <v>411</v>
      </c>
      <c r="F113" s="77">
        <v>411</v>
      </c>
    </row>
    <row r="114" spans="1:6" ht="16.5" x14ac:dyDescent="0.2">
      <c r="A114" s="77" t="s">
        <v>291</v>
      </c>
      <c r="B114" s="77" t="s">
        <v>772</v>
      </c>
      <c r="C114" s="77">
        <f t="shared" si="6"/>
        <v>2800</v>
      </c>
      <c r="D114" s="77">
        <f t="shared" si="7"/>
        <v>3.5714285714285716</v>
      </c>
      <c r="E114" s="77">
        <f t="shared" si="8"/>
        <v>88</v>
      </c>
      <c r="F114" s="77">
        <v>88</v>
      </c>
    </row>
    <row r="115" spans="1:6" ht="16.5" x14ac:dyDescent="0.2">
      <c r="A115" s="77" t="s">
        <v>736</v>
      </c>
      <c r="B115" s="77" t="s">
        <v>741</v>
      </c>
      <c r="C115" s="77">
        <f t="shared" si="6"/>
        <v>2800</v>
      </c>
      <c r="D115" s="77">
        <f t="shared" si="7"/>
        <v>3.5714285714285716</v>
      </c>
      <c r="E115" s="77">
        <f t="shared" si="8"/>
        <v>88</v>
      </c>
      <c r="F115" s="77">
        <v>88</v>
      </c>
    </row>
    <row r="116" spans="1:6" ht="16.5" x14ac:dyDescent="0.2">
      <c r="A116" s="77" t="s">
        <v>289</v>
      </c>
      <c r="B116" s="77" t="s">
        <v>742</v>
      </c>
      <c r="C116" s="77">
        <f t="shared" si="6"/>
        <v>8000</v>
      </c>
      <c r="D116" s="77">
        <f t="shared" si="7"/>
        <v>1.25</v>
      </c>
      <c r="E116" s="77">
        <f t="shared" si="8"/>
        <v>31</v>
      </c>
      <c r="F116" s="77">
        <v>31</v>
      </c>
    </row>
    <row r="117" spans="1:6" ht="16.5" x14ac:dyDescent="0.2">
      <c r="A117" s="77" t="s">
        <v>278</v>
      </c>
      <c r="B117" s="77" t="s">
        <v>742</v>
      </c>
      <c r="C117" s="77">
        <f t="shared" si="6"/>
        <v>8000</v>
      </c>
      <c r="D117" s="77">
        <f t="shared" si="7"/>
        <v>1.25</v>
      </c>
      <c r="E117" s="77">
        <f t="shared" si="8"/>
        <v>31</v>
      </c>
      <c r="F117" s="77">
        <v>31</v>
      </c>
    </row>
  </sheetData>
  <mergeCells count="2">
    <mergeCell ref="E12:N33"/>
    <mergeCell ref="E36:N5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19" sqref="E19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340</v>
      </c>
      <c r="C3" s="12" t="s">
        <v>343</v>
      </c>
      <c r="D3" s="12" t="s">
        <v>335</v>
      </c>
      <c r="E3" s="12" t="s">
        <v>336</v>
      </c>
      <c r="F3" s="12" t="s">
        <v>349</v>
      </c>
      <c r="G3" s="12" t="s">
        <v>350</v>
      </c>
      <c r="H3" s="12" t="s">
        <v>342</v>
      </c>
      <c r="I3" s="12" t="s">
        <v>344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0"/>
      <c r="I4" s="40"/>
    </row>
    <row r="5" spans="1:9" ht="16.5" x14ac:dyDescent="0.2">
      <c r="A5" s="42" t="s">
        <v>337</v>
      </c>
      <c r="B5" s="40">
        <f>金币总产!Q25</f>
        <v>1131475</v>
      </c>
      <c r="C5" s="40">
        <f>SUM(节奏总表!S8:S11)</f>
        <v>7</v>
      </c>
      <c r="D5" s="15">
        <f>INT($B5*D$4)</f>
        <v>452590</v>
      </c>
      <c r="E5" s="15">
        <f>INT($B5*E$4)</f>
        <v>678885</v>
      </c>
      <c r="F5" s="41"/>
      <c r="G5" s="41"/>
      <c r="H5" s="40">
        <v>10</v>
      </c>
      <c r="I5" s="40" t="s">
        <v>345</v>
      </c>
    </row>
    <row r="6" spans="1:9" ht="16.5" x14ac:dyDescent="0.2">
      <c r="A6" s="42" t="s">
        <v>338</v>
      </c>
      <c r="B6" s="40">
        <f>金币总产!Q26</f>
        <v>2084350</v>
      </c>
      <c r="C6" s="40">
        <f>SUM(节奏总表!S12:S13)</f>
        <v>10</v>
      </c>
      <c r="D6" s="15">
        <f t="shared" ref="D6:E8" si="0">INT($B6*D$4)</f>
        <v>833740</v>
      </c>
      <c r="E6" s="15">
        <f t="shared" si="0"/>
        <v>1250610</v>
      </c>
      <c r="F6" s="41"/>
      <c r="G6" s="41"/>
      <c r="H6" s="40">
        <v>10</v>
      </c>
      <c r="I6" s="40" t="s">
        <v>346</v>
      </c>
    </row>
    <row r="7" spans="1:9" ht="16.5" x14ac:dyDescent="0.2">
      <c r="A7" s="42" t="s">
        <v>339</v>
      </c>
      <c r="B7" s="40">
        <f>金币总产!Q27</f>
        <v>5431775</v>
      </c>
      <c r="C7" s="40">
        <f>SUM(节奏总表!S14:S15)</f>
        <v>23.75</v>
      </c>
      <c r="D7" s="15">
        <f t="shared" si="0"/>
        <v>2172710</v>
      </c>
      <c r="E7" s="15">
        <f t="shared" si="0"/>
        <v>3259065</v>
      </c>
      <c r="F7" s="41"/>
      <c r="G7" s="41"/>
      <c r="H7" s="40">
        <v>15</v>
      </c>
      <c r="I7" s="40" t="s">
        <v>347</v>
      </c>
    </row>
    <row r="8" spans="1:9" ht="16.5" x14ac:dyDescent="0.2">
      <c r="A8" s="42" t="s">
        <v>341</v>
      </c>
      <c r="B8" s="40">
        <f>金币总产!Q28</f>
        <v>21305375</v>
      </c>
      <c r="C8" s="40">
        <f>SUM(节奏总表!S16:S18)</f>
        <v>80</v>
      </c>
      <c r="D8" s="15">
        <f t="shared" si="0"/>
        <v>8522150</v>
      </c>
      <c r="E8" s="15">
        <f t="shared" si="0"/>
        <v>12783225</v>
      </c>
      <c r="F8" s="41"/>
      <c r="G8" s="41"/>
      <c r="H8" s="40">
        <v>15</v>
      </c>
      <c r="I8" s="40" t="s">
        <v>348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M20" sqref="M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0" t="s">
        <v>670</v>
      </c>
      <c r="M2" s="15">
        <f>SUMPRODUCT(K4:K7,M4:M7)*SUM(Q4:Q21)</f>
        <v>843200</v>
      </c>
      <c r="O2" s="70" t="s">
        <v>691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512</v>
      </c>
      <c r="AY2" s="12" t="s">
        <v>513</v>
      </c>
      <c r="AZ2" s="12" t="s">
        <v>514</v>
      </c>
      <c r="BA2" s="12" t="s">
        <v>557</v>
      </c>
      <c r="BB2" s="12" t="s">
        <v>516</v>
      </c>
      <c r="BC2" s="12" t="s">
        <v>517</v>
      </c>
      <c r="BD2" s="12" t="s">
        <v>518</v>
      </c>
      <c r="BE2" s="16"/>
      <c r="BF2" s="24" t="s">
        <v>514</v>
      </c>
      <c r="BG2" s="24" t="s">
        <v>515</v>
      </c>
    </row>
    <row r="3" spans="1:72" ht="17.25" x14ac:dyDescent="0.2">
      <c r="A3" s="12" t="s">
        <v>477</v>
      </c>
      <c r="B3" s="12" t="s">
        <v>475</v>
      </c>
      <c r="C3" s="12" t="s">
        <v>476</v>
      </c>
      <c r="E3" s="12" t="s">
        <v>478</v>
      </c>
      <c r="F3" s="12" t="s">
        <v>476</v>
      </c>
      <c r="G3" s="12" t="s">
        <v>482</v>
      </c>
      <c r="I3" s="12" t="s">
        <v>671</v>
      </c>
      <c r="J3" s="12" t="s">
        <v>672</v>
      </c>
      <c r="K3" s="12" t="s">
        <v>673</v>
      </c>
      <c r="L3" s="12" t="s">
        <v>674</v>
      </c>
      <c r="M3" s="58" t="s">
        <v>675</v>
      </c>
      <c r="O3" s="12" t="s">
        <v>680</v>
      </c>
      <c r="P3" s="12" t="s">
        <v>681</v>
      </c>
      <c r="Q3" s="12" t="s">
        <v>682</v>
      </c>
      <c r="R3" s="12" t="s">
        <v>683</v>
      </c>
      <c r="S3" s="12" t="s">
        <v>87</v>
      </c>
      <c r="T3" s="12" t="s">
        <v>684</v>
      </c>
      <c r="U3" s="12" t="s">
        <v>685</v>
      </c>
      <c r="V3" s="12" t="s">
        <v>686</v>
      </c>
      <c r="W3" s="12" t="s">
        <v>687</v>
      </c>
      <c r="X3" s="12" t="s">
        <v>688</v>
      </c>
      <c r="Y3" s="12" t="s">
        <v>689</v>
      </c>
      <c r="Z3" s="12" t="s">
        <v>690</v>
      </c>
      <c r="AB3" s="24" t="s">
        <v>600</v>
      </c>
      <c r="AC3" s="24" t="s">
        <v>663</v>
      </c>
      <c r="AD3" s="24" t="s">
        <v>664</v>
      </c>
      <c r="AE3" s="24" t="s">
        <v>665</v>
      </c>
      <c r="AF3" s="24" t="s">
        <v>659</v>
      </c>
      <c r="AG3" s="24" t="s">
        <v>666</v>
      </c>
      <c r="AH3" s="24" t="s">
        <v>667</v>
      </c>
      <c r="AK3" s="12" t="s">
        <v>33</v>
      </c>
      <c r="AL3" s="12" t="s">
        <v>668</v>
      </c>
      <c r="AM3" s="12" t="s">
        <v>669</v>
      </c>
      <c r="AN3" s="12" t="s">
        <v>260</v>
      </c>
      <c r="AO3" s="12" t="s">
        <v>37</v>
      </c>
      <c r="AP3" s="12" t="s">
        <v>483</v>
      </c>
      <c r="AQ3" s="12" t="s">
        <v>484</v>
      </c>
      <c r="AR3" s="12" t="s">
        <v>485</v>
      </c>
      <c r="AS3" s="12" t="s">
        <v>486</v>
      </c>
      <c r="AT3" s="12" t="s">
        <v>499</v>
      </c>
      <c r="AU3" s="12" t="s">
        <v>500</v>
      </c>
      <c r="AX3" s="61">
        <v>1</v>
      </c>
      <c r="AY3" s="61">
        <v>20</v>
      </c>
      <c r="AZ3" s="61">
        <v>2</v>
      </c>
      <c r="BA3" s="63">
        <f>AY3*AZ3</f>
        <v>40</v>
      </c>
      <c r="BB3" s="61">
        <f>1/AY3</f>
        <v>0.05</v>
      </c>
      <c r="BC3" s="61">
        <f>SUMPRODUCT(BB3:BB9,AZ3:AZ9)</f>
        <v>0.4238095238095238</v>
      </c>
      <c r="BD3" s="61">
        <f>BB3/$BC$3</f>
        <v>0.11797752808988765</v>
      </c>
      <c r="BF3" s="61">
        <v>1</v>
      </c>
      <c r="BG3" s="20">
        <v>0.5</v>
      </c>
    </row>
    <row r="4" spans="1:72" ht="16.5" x14ac:dyDescent="0.2">
      <c r="A4" s="59">
        <v>1</v>
      </c>
      <c r="B4" s="59">
        <v>0</v>
      </c>
      <c r="C4" s="59">
        <v>0</v>
      </c>
      <c r="E4" s="15">
        <v>0</v>
      </c>
      <c r="F4" s="15">
        <v>0</v>
      </c>
      <c r="G4" s="15"/>
      <c r="I4" s="69" t="s">
        <v>676</v>
      </c>
      <c r="J4" s="69">
        <v>1</v>
      </c>
      <c r="K4" s="69">
        <v>7</v>
      </c>
      <c r="L4" s="69">
        <v>1</v>
      </c>
      <c r="M4" s="69">
        <v>40</v>
      </c>
      <c r="O4" s="69">
        <v>1</v>
      </c>
      <c r="P4" s="69">
        <v>0</v>
      </c>
      <c r="Q4" s="69">
        <v>1</v>
      </c>
      <c r="R4" s="69">
        <v>1</v>
      </c>
      <c r="S4" s="15">
        <v>0</v>
      </c>
      <c r="T4" s="69">
        <f>SUMIFS(芦花古楼!$BH$6:$BH$505,芦花古楼!$BB$6:$BB$505,"&lt;="&amp;神器!S4)</f>
        <v>0</v>
      </c>
      <c r="U4" s="69"/>
      <c r="V4" s="69"/>
      <c r="W4" s="69"/>
      <c r="X4" s="69"/>
      <c r="Y4" s="69"/>
      <c r="Z4" s="69"/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K4" s="69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1">
        <v>2</v>
      </c>
      <c r="AY4" s="61">
        <v>30</v>
      </c>
      <c r="AZ4" s="61">
        <v>2</v>
      </c>
      <c r="BA4" s="63">
        <f t="shared" ref="BA4:BA9" si="0">AY4*AZ4</f>
        <v>60</v>
      </c>
      <c r="BB4" s="61">
        <f t="shared" ref="BB4:BB9" si="1">1/AY4</f>
        <v>3.3333333333333333E-2</v>
      </c>
      <c r="BD4" s="61">
        <f t="shared" ref="BD4:BD9" si="2">BB4/$BC$3</f>
        <v>7.8651685393258425E-2</v>
      </c>
      <c r="BF4" s="61">
        <v>2</v>
      </c>
      <c r="BG4" s="20">
        <v>0.3</v>
      </c>
    </row>
    <row r="5" spans="1:72" ht="16.5" x14ac:dyDescent="0.2">
      <c r="A5" s="59">
        <v>40</v>
      </c>
      <c r="B5" s="15" t="str">
        <f>金币总产!A24</f>
        <v>1~40</v>
      </c>
      <c r="C5" s="15">
        <f>金币总产!P24</f>
        <v>38124</v>
      </c>
      <c r="E5" s="15">
        <v>5</v>
      </c>
      <c r="F5" s="15">
        <f>C5+C6/2</f>
        <v>320992.5</v>
      </c>
      <c r="G5" s="15">
        <f>SUMIF($A$14:$A$53,"&lt;="&amp;E5,$B$14:$B$53)</f>
        <v>10</v>
      </c>
      <c r="I5" s="69" t="s">
        <v>677</v>
      </c>
      <c r="J5" s="69">
        <v>2</v>
      </c>
      <c r="K5" s="69">
        <v>15</v>
      </c>
      <c r="L5" s="69">
        <v>3</v>
      </c>
      <c r="M5" s="69">
        <v>120</v>
      </c>
      <c r="O5" s="69">
        <v>2</v>
      </c>
      <c r="P5" s="69">
        <v>2</v>
      </c>
      <c r="Q5" s="69">
        <v>1</v>
      </c>
      <c r="R5" s="69">
        <v>1</v>
      </c>
      <c r="S5" s="15">
        <f>SUM(P$4:P5)</f>
        <v>2</v>
      </c>
      <c r="T5" s="69">
        <f>SUMIFS(芦花古楼!$BH$6:$BH$505,芦花古楼!$BB$6:$BB$505,"&lt;="&amp;神器!S5)</f>
        <v>810</v>
      </c>
      <c r="U5" s="69">
        <f>T5-T4</f>
        <v>810</v>
      </c>
      <c r="V5" s="69">
        <v>5</v>
      </c>
      <c r="W5" s="69">
        <v>5</v>
      </c>
      <c r="X5" s="69">
        <f t="shared" ref="X5:Z20" si="3">INT($U5*X$2/$V5)*$V5</f>
        <v>5</v>
      </c>
      <c r="Y5" s="69">
        <f t="shared" si="3"/>
        <v>20</v>
      </c>
      <c r="Z5" s="69">
        <f t="shared" si="3"/>
        <v>45</v>
      </c>
      <c r="AB5" s="69">
        <v>1</v>
      </c>
      <c r="AC5" s="69">
        <v>101</v>
      </c>
      <c r="AD5" s="69">
        <v>1606003</v>
      </c>
      <c r="AE5" s="69" t="s">
        <v>609</v>
      </c>
      <c r="AF5" s="69">
        <v>1</v>
      </c>
      <c r="AG5" s="69">
        <v>15</v>
      </c>
      <c r="AH5" s="69">
        <f>SUM(AG$5:AG5)</f>
        <v>15</v>
      </c>
      <c r="AK5" s="69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190</v>
      </c>
      <c r="AX5" s="61">
        <v>3</v>
      </c>
      <c r="AY5" s="61">
        <v>50</v>
      </c>
      <c r="AZ5" s="61">
        <v>4</v>
      </c>
      <c r="BA5" s="63">
        <f t="shared" si="0"/>
        <v>200</v>
      </c>
      <c r="BB5" s="61">
        <f t="shared" si="1"/>
        <v>0.02</v>
      </c>
      <c r="BD5" s="61">
        <f t="shared" si="2"/>
        <v>4.7191011235955059E-2</v>
      </c>
      <c r="BF5" s="61">
        <v>3</v>
      </c>
      <c r="BG5" s="20">
        <v>0.2</v>
      </c>
    </row>
    <row r="6" spans="1:72" ht="16.5" x14ac:dyDescent="0.2">
      <c r="A6" s="59">
        <v>80</v>
      </c>
      <c r="B6" s="15" t="str">
        <f>金币总产!A25</f>
        <v>40~80</v>
      </c>
      <c r="C6" s="15">
        <f>金币总产!P25</f>
        <v>565737</v>
      </c>
      <c r="E6" s="15">
        <v>10</v>
      </c>
      <c r="F6" s="15">
        <f>C7+C6/2</f>
        <v>1533478.5</v>
      </c>
      <c r="G6" s="15">
        <f>SUMIFS($B$14:$B$53,$A$14:$A$53,"&lt;="&amp;E6,$A$14:$A$53,"&gt;"&amp;E5)</f>
        <v>23</v>
      </c>
      <c r="I6" s="69" t="s">
        <v>678</v>
      </c>
      <c r="J6" s="69">
        <v>3</v>
      </c>
      <c r="K6" s="69">
        <v>13</v>
      </c>
      <c r="L6" s="69">
        <v>7</v>
      </c>
      <c r="M6" s="69">
        <v>280</v>
      </c>
      <c r="O6" s="69">
        <v>3</v>
      </c>
      <c r="P6" s="69">
        <v>3</v>
      </c>
      <c r="Q6" s="69">
        <v>1</v>
      </c>
      <c r="R6" s="69">
        <v>1</v>
      </c>
      <c r="S6" s="15">
        <f>SUM(P$4:P6)</f>
        <v>5</v>
      </c>
      <c r="T6" s="69">
        <f>SUMIFS(芦花古楼!$BH$6:$BH$505,芦花古楼!$BB$6:$BB$505,"&lt;="&amp;神器!S6)</f>
        <v>5130</v>
      </c>
      <c r="U6" s="69">
        <f t="shared" ref="U6:U24" si="14">T6-T5</f>
        <v>4320</v>
      </c>
      <c r="V6" s="69">
        <v>5</v>
      </c>
      <c r="W6" s="69">
        <f t="shared" ref="W6:Z24" si="15">INT($U6*W$2/$V6)*$V6</f>
        <v>15</v>
      </c>
      <c r="X6" s="69">
        <f t="shared" si="3"/>
        <v>50</v>
      </c>
      <c r="Y6" s="69">
        <f t="shared" si="3"/>
        <v>120</v>
      </c>
      <c r="Z6" s="69">
        <f t="shared" si="3"/>
        <v>255</v>
      </c>
      <c r="AB6" s="69">
        <v>2</v>
      </c>
      <c r="AC6" s="69">
        <v>101</v>
      </c>
      <c r="AD6" s="69">
        <v>1606004</v>
      </c>
      <c r="AE6" s="69" t="s">
        <v>610</v>
      </c>
      <c r="AF6" s="69">
        <v>1</v>
      </c>
      <c r="AG6" s="69">
        <v>15</v>
      </c>
      <c r="AH6" s="69">
        <f>SUM(AG$5:AG6)</f>
        <v>30</v>
      </c>
      <c r="AK6" s="69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250</v>
      </c>
      <c r="AX6" s="61">
        <v>4</v>
      </c>
      <c r="AY6" s="61">
        <v>70</v>
      </c>
      <c r="AZ6" s="61">
        <v>4</v>
      </c>
      <c r="BA6" s="63">
        <f t="shared" si="0"/>
        <v>280</v>
      </c>
      <c r="BB6" s="61">
        <f t="shared" si="1"/>
        <v>1.4285714285714285E-2</v>
      </c>
      <c r="BD6" s="61">
        <f t="shared" si="2"/>
        <v>3.3707865168539325E-2</v>
      </c>
    </row>
    <row r="7" spans="1:72" ht="16.5" x14ac:dyDescent="0.2">
      <c r="A7" s="59">
        <v>100</v>
      </c>
      <c r="B7" s="15" t="str">
        <f>金币总产!A26</f>
        <v>80~100</v>
      </c>
      <c r="C7" s="15">
        <f>金币总产!P26</f>
        <v>1250610</v>
      </c>
      <c r="E7" s="15">
        <v>15</v>
      </c>
      <c r="F7" s="15">
        <f>C8</f>
        <v>3802242</v>
      </c>
      <c r="G7" s="15">
        <f t="shared" ref="G7:G8" si="16">SUMIFS($B$14:$B$53,$A$14:$A$53,"&lt;="&amp;E7,$A$14:$A$53,"&gt;"&amp;E6)</f>
        <v>20</v>
      </c>
      <c r="I7" s="69" t="s">
        <v>679</v>
      </c>
      <c r="J7" s="69">
        <v>4</v>
      </c>
      <c r="K7" s="69">
        <v>7</v>
      </c>
      <c r="L7" s="69">
        <v>15</v>
      </c>
      <c r="M7" s="69">
        <v>600</v>
      </c>
      <c r="O7" s="69">
        <v>4</v>
      </c>
      <c r="P7" s="69">
        <v>4</v>
      </c>
      <c r="Q7" s="69">
        <v>2</v>
      </c>
      <c r="R7" s="69">
        <v>1</v>
      </c>
      <c r="S7" s="15">
        <f>SUM(P$4:P7)</f>
        <v>9</v>
      </c>
      <c r="T7" s="69">
        <f>SUMIFS(芦花古楼!$BH$6:$BH$505,芦花古楼!$BB$6:$BB$505,"&lt;="&amp;神器!S7)</f>
        <v>11820</v>
      </c>
      <c r="U7" s="69">
        <f t="shared" si="14"/>
        <v>6690</v>
      </c>
      <c r="V7" s="69">
        <v>5</v>
      </c>
      <c r="W7" s="69">
        <f t="shared" si="15"/>
        <v>25</v>
      </c>
      <c r="X7" s="69">
        <f t="shared" si="3"/>
        <v>80</v>
      </c>
      <c r="Y7" s="69">
        <f t="shared" si="3"/>
        <v>185</v>
      </c>
      <c r="Z7" s="69">
        <f t="shared" si="3"/>
        <v>400</v>
      </c>
      <c r="AB7" s="69">
        <v>3</v>
      </c>
      <c r="AC7" s="69">
        <v>101</v>
      </c>
      <c r="AD7" s="69">
        <v>1606005</v>
      </c>
      <c r="AE7" s="69" t="s">
        <v>611</v>
      </c>
      <c r="AF7" s="69">
        <v>2</v>
      </c>
      <c r="AG7" s="69">
        <v>15</v>
      </c>
      <c r="AH7" s="69">
        <f>SUM(AG$5:AG7)</f>
        <v>45</v>
      </c>
      <c r="AK7" s="69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320</v>
      </c>
      <c r="AX7" s="61">
        <v>5</v>
      </c>
      <c r="AY7" s="61">
        <v>150</v>
      </c>
      <c r="AZ7" s="61">
        <v>6</v>
      </c>
      <c r="BA7" s="63">
        <f t="shared" si="0"/>
        <v>900</v>
      </c>
      <c r="BB7" s="61">
        <f t="shared" si="1"/>
        <v>6.6666666666666671E-3</v>
      </c>
      <c r="BD7" s="61">
        <f t="shared" si="2"/>
        <v>1.5730337078651686E-2</v>
      </c>
    </row>
    <row r="8" spans="1:72" ht="16.5" x14ac:dyDescent="0.2">
      <c r="A8" s="59">
        <v>120</v>
      </c>
      <c r="B8" s="15" t="str">
        <f>金币总产!A27</f>
        <v>100~120</v>
      </c>
      <c r="C8" s="15">
        <f>金币总产!P27</f>
        <v>3802242</v>
      </c>
      <c r="E8" s="15">
        <v>21</v>
      </c>
      <c r="F8" s="15">
        <f>C9</f>
        <v>17044300</v>
      </c>
      <c r="G8" s="15">
        <f t="shared" si="16"/>
        <v>43</v>
      </c>
      <c r="O8" s="69">
        <v>5</v>
      </c>
      <c r="P8" s="69">
        <v>5</v>
      </c>
      <c r="Q8" s="69">
        <v>2</v>
      </c>
      <c r="R8" s="69">
        <v>1</v>
      </c>
      <c r="S8" s="15">
        <f>SUM(P$4:P8)</f>
        <v>14</v>
      </c>
      <c r="T8" s="69">
        <f>SUMIFS(芦花古楼!$BH$6:$BH$505,芦花古楼!$BB$6:$BB$505,"&lt;="&amp;神器!S8)</f>
        <v>18410</v>
      </c>
      <c r="U8" s="69">
        <f t="shared" si="14"/>
        <v>6590</v>
      </c>
      <c r="V8" s="69">
        <v>5</v>
      </c>
      <c r="W8" s="69">
        <f t="shared" si="15"/>
        <v>25</v>
      </c>
      <c r="X8" s="69">
        <f t="shared" si="3"/>
        <v>75</v>
      </c>
      <c r="Y8" s="69">
        <f t="shared" si="3"/>
        <v>180</v>
      </c>
      <c r="Z8" s="69">
        <f t="shared" si="3"/>
        <v>395</v>
      </c>
      <c r="AB8" s="69">
        <v>4</v>
      </c>
      <c r="AC8" s="69">
        <v>102</v>
      </c>
      <c r="AD8" s="69">
        <v>1606006</v>
      </c>
      <c r="AE8" s="69" t="s">
        <v>612</v>
      </c>
      <c r="AF8" s="69">
        <v>1</v>
      </c>
      <c r="AG8" s="69">
        <v>15</v>
      </c>
      <c r="AH8" s="69">
        <f>SUM(AG$5:AG8)</f>
        <v>60</v>
      </c>
      <c r="AK8" s="69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380</v>
      </c>
      <c r="AX8" s="61">
        <v>6</v>
      </c>
      <c r="AY8" s="61">
        <v>150</v>
      </c>
      <c r="AZ8" s="61">
        <v>6</v>
      </c>
      <c r="BA8" s="63">
        <f t="shared" si="0"/>
        <v>900</v>
      </c>
      <c r="BB8" s="61">
        <f t="shared" si="1"/>
        <v>6.6666666666666671E-3</v>
      </c>
      <c r="BD8" s="61">
        <f t="shared" si="2"/>
        <v>1.5730337078651686E-2</v>
      </c>
    </row>
    <row r="9" spans="1:72" ht="16.5" x14ac:dyDescent="0.2">
      <c r="A9" s="59">
        <v>150</v>
      </c>
      <c r="B9" s="15" t="str">
        <f>金币总产!A28</f>
        <v>120~150</v>
      </c>
      <c r="C9" s="15">
        <f>金币总产!P28</f>
        <v>17044300</v>
      </c>
      <c r="O9" s="69">
        <v>6</v>
      </c>
      <c r="P9" s="69">
        <v>6</v>
      </c>
      <c r="Q9" s="69">
        <v>2</v>
      </c>
      <c r="R9" s="69">
        <v>1</v>
      </c>
      <c r="S9" s="15">
        <f>SUM(P$4:P9)</f>
        <v>20</v>
      </c>
      <c r="T9" s="69">
        <f>SUMIFS(芦花古楼!$BH$6:$BH$505,芦花古楼!$BB$6:$BB$505,"&lt;="&amp;神器!S9)</f>
        <v>27710</v>
      </c>
      <c r="U9" s="69">
        <f t="shared" si="14"/>
        <v>9300</v>
      </c>
      <c r="V9" s="69">
        <v>5</v>
      </c>
      <c r="W9" s="69">
        <f t="shared" si="15"/>
        <v>35</v>
      </c>
      <c r="X9" s="69">
        <f t="shared" si="3"/>
        <v>110</v>
      </c>
      <c r="Y9" s="69">
        <f t="shared" si="3"/>
        <v>260</v>
      </c>
      <c r="Z9" s="69">
        <f t="shared" si="3"/>
        <v>555</v>
      </c>
      <c r="AB9" s="69">
        <v>5</v>
      </c>
      <c r="AC9" s="69">
        <v>102</v>
      </c>
      <c r="AD9" s="69">
        <v>1606007</v>
      </c>
      <c r="AE9" s="69" t="s">
        <v>613</v>
      </c>
      <c r="AF9" s="69">
        <v>1</v>
      </c>
      <c r="AG9" s="69">
        <v>15</v>
      </c>
      <c r="AH9" s="69">
        <f>SUM(AG$5:AG9)</f>
        <v>75</v>
      </c>
      <c r="AK9" s="69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920</v>
      </c>
      <c r="AX9" s="61">
        <v>7</v>
      </c>
      <c r="AY9" s="61">
        <v>150</v>
      </c>
      <c r="AZ9" s="61">
        <v>6</v>
      </c>
      <c r="BA9" s="63">
        <f t="shared" si="0"/>
        <v>900</v>
      </c>
      <c r="BB9" s="61">
        <f t="shared" si="1"/>
        <v>6.6666666666666671E-3</v>
      </c>
      <c r="BD9" s="61">
        <f t="shared" si="2"/>
        <v>1.5730337078651686E-2</v>
      </c>
    </row>
    <row r="10" spans="1:72" ht="16.5" x14ac:dyDescent="0.2">
      <c r="O10" s="69">
        <v>7</v>
      </c>
      <c r="P10" s="69">
        <v>8</v>
      </c>
      <c r="Q10" s="69">
        <v>3</v>
      </c>
      <c r="R10" s="69">
        <v>1</v>
      </c>
      <c r="S10" s="15">
        <f>SUM(P$4:P10)</f>
        <v>28</v>
      </c>
      <c r="T10" s="69">
        <f>SUMIFS(芦花古楼!$BH$6:$BH$505,芦花古楼!$BB$6:$BB$505,"&lt;="&amp;神器!S10)</f>
        <v>37880</v>
      </c>
      <c r="U10" s="69">
        <f t="shared" si="14"/>
        <v>10170</v>
      </c>
      <c r="V10" s="69">
        <v>5</v>
      </c>
      <c r="W10" s="69">
        <f t="shared" si="15"/>
        <v>40</v>
      </c>
      <c r="X10" s="69">
        <f t="shared" si="3"/>
        <v>120</v>
      </c>
      <c r="Y10" s="69">
        <f t="shared" si="3"/>
        <v>280</v>
      </c>
      <c r="Z10" s="69">
        <f t="shared" si="3"/>
        <v>610</v>
      </c>
      <c r="AB10" s="69">
        <v>6</v>
      </c>
      <c r="AC10" s="69">
        <v>102</v>
      </c>
      <c r="AD10" s="69">
        <v>1606008</v>
      </c>
      <c r="AE10" s="69" t="s">
        <v>614</v>
      </c>
      <c r="AF10" s="69">
        <v>1</v>
      </c>
      <c r="AG10" s="69">
        <v>15</v>
      </c>
      <c r="AH10" s="69">
        <f>SUM(AG$5:AG10)</f>
        <v>90</v>
      </c>
      <c r="AK10" s="69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1060</v>
      </c>
    </row>
    <row r="11" spans="1:72" ht="16.5" x14ac:dyDescent="0.2">
      <c r="O11" s="69">
        <v>8</v>
      </c>
      <c r="P11" s="69">
        <v>10</v>
      </c>
      <c r="Q11" s="69">
        <v>3</v>
      </c>
      <c r="R11" s="69">
        <v>1</v>
      </c>
      <c r="S11" s="15">
        <f>SUM(P$4:P11)</f>
        <v>38</v>
      </c>
      <c r="T11" s="69">
        <f>SUMIFS(芦花古楼!$BH$6:$BH$505,芦花古楼!$BB$6:$BB$505,"&lt;="&amp;神器!S11)</f>
        <v>49310</v>
      </c>
      <c r="U11" s="69">
        <f t="shared" si="14"/>
        <v>11430</v>
      </c>
      <c r="V11" s="69">
        <v>5</v>
      </c>
      <c r="W11" s="69">
        <f t="shared" si="15"/>
        <v>45</v>
      </c>
      <c r="X11" s="69">
        <f t="shared" si="3"/>
        <v>135</v>
      </c>
      <c r="Y11" s="69">
        <f t="shared" si="3"/>
        <v>320</v>
      </c>
      <c r="Z11" s="69">
        <f t="shared" si="3"/>
        <v>685</v>
      </c>
      <c r="AB11" s="69">
        <v>7</v>
      </c>
      <c r="AC11" s="69">
        <v>102</v>
      </c>
      <c r="AD11" s="69">
        <v>1606009</v>
      </c>
      <c r="AE11" s="69" t="s">
        <v>615</v>
      </c>
      <c r="AF11" s="69">
        <v>2</v>
      </c>
      <c r="AG11" s="69">
        <v>15</v>
      </c>
      <c r="AH11" s="69">
        <f>SUM(AG$5:AG11)</f>
        <v>105</v>
      </c>
      <c r="AK11" s="69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1200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69">
        <v>9</v>
      </c>
      <c r="P12" s="69">
        <v>12</v>
      </c>
      <c r="Q12" s="69">
        <v>3</v>
      </c>
      <c r="R12" s="69">
        <v>1</v>
      </c>
      <c r="S12" s="15">
        <f>SUM(P$4:P12)</f>
        <v>50</v>
      </c>
      <c r="T12" s="69">
        <f>SUMIFS(芦花古楼!$BH$6:$BH$505,芦花古楼!$BB$6:$BB$505,"&lt;="&amp;神器!S12)</f>
        <v>62750</v>
      </c>
      <c r="U12" s="69">
        <f t="shared" si="14"/>
        <v>13440</v>
      </c>
      <c r="V12" s="69">
        <v>5</v>
      </c>
      <c r="W12" s="69">
        <f t="shared" si="15"/>
        <v>50</v>
      </c>
      <c r="X12" s="69">
        <f t="shared" si="3"/>
        <v>160</v>
      </c>
      <c r="Y12" s="69">
        <f t="shared" si="3"/>
        <v>375</v>
      </c>
      <c r="Z12" s="69">
        <f t="shared" si="3"/>
        <v>805</v>
      </c>
      <c r="AA12" s="16"/>
      <c r="AB12" s="69">
        <v>8</v>
      </c>
      <c r="AC12" s="69">
        <v>102</v>
      </c>
      <c r="AD12" s="69">
        <v>1606010</v>
      </c>
      <c r="AE12" s="69" t="s">
        <v>616</v>
      </c>
      <c r="AF12" s="69">
        <v>3</v>
      </c>
      <c r="AG12" s="69">
        <v>15</v>
      </c>
      <c r="AH12" s="69">
        <f>SUM(AG$5:AG12)</f>
        <v>120</v>
      </c>
      <c r="AK12" s="69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1320</v>
      </c>
      <c r="BH12" s="62" t="s">
        <v>553</v>
      </c>
      <c r="BI12" s="15">
        <f>SUMPRODUCT(BF14:BF103,BG14:BG103,BI14:BI103)/10000</f>
        <v>120.066</v>
      </c>
    </row>
    <row r="13" spans="1:72" ht="17.25" x14ac:dyDescent="0.2">
      <c r="A13" s="12" t="s">
        <v>479</v>
      </c>
      <c r="B13" s="12" t="s">
        <v>480</v>
      </c>
      <c r="C13" s="12" t="s">
        <v>481</v>
      </c>
      <c r="D13" s="12" t="s">
        <v>220</v>
      </c>
      <c r="E13" s="12" t="s">
        <v>696</v>
      </c>
      <c r="F13" s="12" t="s">
        <v>687</v>
      </c>
      <c r="G13" s="12" t="s">
        <v>688</v>
      </c>
      <c r="H13" s="12" t="s">
        <v>689</v>
      </c>
      <c r="I13" s="12" t="s">
        <v>690</v>
      </c>
      <c r="J13" s="16"/>
      <c r="K13" s="16"/>
      <c r="L13" s="16"/>
      <c r="M13" s="16"/>
      <c r="N13" s="16"/>
      <c r="O13" s="69">
        <v>10</v>
      </c>
      <c r="P13" s="69">
        <v>15</v>
      </c>
      <c r="Q13" s="69">
        <v>5</v>
      </c>
      <c r="R13" s="69">
        <v>1</v>
      </c>
      <c r="S13" s="15">
        <f>SUM(P$4:P13)</f>
        <v>65</v>
      </c>
      <c r="T13" s="69">
        <f>SUMIFS(芦花古楼!$BH$6:$BH$505,芦花古楼!$BB$6:$BB$505,"&lt;="&amp;神器!S13)</f>
        <v>80170</v>
      </c>
      <c r="U13" s="69">
        <f t="shared" si="14"/>
        <v>17420</v>
      </c>
      <c r="V13" s="69">
        <v>5</v>
      </c>
      <c r="W13" s="69">
        <f t="shared" si="15"/>
        <v>65</v>
      </c>
      <c r="X13" s="69">
        <f t="shared" si="3"/>
        <v>205</v>
      </c>
      <c r="Y13" s="69">
        <f t="shared" si="3"/>
        <v>485</v>
      </c>
      <c r="Z13" s="69">
        <f t="shared" si="3"/>
        <v>1045</v>
      </c>
      <c r="AA13" s="16"/>
      <c r="AB13" s="69">
        <v>9</v>
      </c>
      <c r="AC13" s="69">
        <v>103</v>
      </c>
      <c r="AD13" s="69">
        <v>1606011</v>
      </c>
      <c r="AE13" s="69" t="s">
        <v>617</v>
      </c>
      <c r="AF13" s="69">
        <v>1</v>
      </c>
      <c r="AG13" s="69">
        <v>21</v>
      </c>
      <c r="AH13" s="69">
        <f>SUM(AG$5:AG13)</f>
        <v>141</v>
      </c>
      <c r="AK13" s="69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1600</v>
      </c>
      <c r="AX13" s="12" t="s">
        <v>508</v>
      </c>
      <c r="AY13" s="12" t="s">
        <v>511</v>
      </c>
      <c r="AZ13" s="12" t="s">
        <v>509</v>
      </c>
      <c r="BA13" s="16"/>
      <c r="BD13" s="24" t="s">
        <v>519</v>
      </c>
      <c r="BE13" s="24" t="s">
        <v>551</v>
      </c>
      <c r="BF13" s="24" t="s">
        <v>554</v>
      </c>
      <c r="BG13" s="24" t="s">
        <v>514</v>
      </c>
      <c r="BH13" s="24" t="s">
        <v>550</v>
      </c>
      <c r="BI13" s="24" t="s">
        <v>552</v>
      </c>
      <c r="BK13" s="24" t="s">
        <v>558</v>
      </c>
      <c r="BL13" s="24" t="s">
        <v>559</v>
      </c>
      <c r="BN13" s="24" t="s">
        <v>556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59">
        <v>1</v>
      </c>
      <c r="B14" s="59">
        <v>1</v>
      </c>
      <c r="C14" s="22">
        <f>B14/INDEX($G$5:$G$8,MATCH(A14-1,$E$4:$E$8,1))</f>
        <v>0.1</v>
      </c>
      <c r="D14" s="59">
        <f>INT(INDEX($F$5:$F$8,MATCH(A14-1,$E$4:$E$8,1))*C14)</f>
        <v>32099</v>
      </c>
      <c r="E14" s="69">
        <v>5</v>
      </c>
      <c r="F14" s="69">
        <f>INT($D14*F$12/$E14)*$E14</f>
        <v>125</v>
      </c>
      <c r="G14" s="69">
        <f t="shared" ref="G14:I29" si="17">INT($D14*G$12/$E14)*$E14</f>
        <v>385</v>
      </c>
      <c r="H14" s="69">
        <f t="shared" si="17"/>
        <v>895</v>
      </c>
      <c r="I14" s="69">
        <f t="shared" si="17"/>
        <v>1925</v>
      </c>
      <c r="J14" s="16"/>
      <c r="K14" s="16"/>
      <c r="L14" s="16"/>
      <c r="M14" s="16"/>
      <c r="N14" s="16"/>
      <c r="O14" s="69">
        <v>11</v>
      </c>
      <c r="P14" s="69">
        <v>18</v>
      </c>
      <c r="Q14" s="69">
        <v>5</v>
      </c>
      <c r="R14" s="69">
        <v>1</v>
      </c>
      <c r="S14" s="15">
        <f>SUM(P$4:P14)</f>
        <v>83</v>
      </c>
      <c r="T14" s="69">
        <f>SUMIFS(芦花古楼!$BH$6:$BH$505,芦花古楼!$BB$6:$BB$505,"&lt;="&amp;神器!S14)</f>
        <v>100620</v>
      </c>
      <c r="U14" s="69">
        <f t="shared" si="14"/>
        <v>20450</v>
      </c>
      <c r="V14" s="69">
        <v>5</v>
      </c>
      <c r="W14" s="69">
        <f t="shared" si="15"/>
        <v>80</v>
      </c>
      <c r="X14" s="69">
        <f t="shared" si="3"/>
        <v>245</v>
      </c>
      <c r="Y14" s="69">
        <f t="shared" si="3"/>
        <v>570</v>
      </c>
      <c r="Z14" s="69">
        <f t="shared" si="3"/>
        <v>1225</v>
      </c>
      <c r="AA14" s="16"/>
      <c r="AB14" s="69">
        <v>10</v>
      </c>
      <c r="AC14" s="69">
        <v>103</v>
      </c>
      <c r="AD14" s="69">
        <v>1606012</v>
      </c>
      <c r="AE14" s="69" t="s">
        <v>618</v>
      </c>
      <c r="AF14" s="69">
        <v>2</v>
      </c>
      <c r="AG14" s="69">
        <v>21</v>
      </c>
      <c r="AH14" s="69">
        <f>SUM(AG$5:AG14)</f>
        <v>162</v>
      </c>
      <c r="AK14" s="69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2250</v>
      </c>
      <c r="AX14" s="61">
        <v>1</v>
      </c>
      <c r="AY14" s="61">
        <f>INDEX(节奏总表!$I$4:$I$18,MATCH(AX14,节奏总表!$T$4:$T$18,1))</f>
        <v>4</v>
      </c>
      <c r="AZ14" s="15">
        <f>芦花古楼!BC6</f>
        <v>75</v>
      </c>
      <c r="BA14" s="16"/>
      <c r="BD14" s="64" t="s">
        <v>520</v>
      </c>
      <c r="BE14" s="61">
        <v>1</v>
      </c>
      <c r="BF14" s="61">
        <v>20</v>
      </c>
      <c r="BG14" s="61">
        <v>1</v>
      </c>
      <c r="BH14" s="61">
        <f t="shared" ref="BH14:BH43" si="18">ROUND(INDEX($BD$3:$BD$9,BE14)*$BG$3*10000,0)</f>
        <v>590</v>
      </c>
      <c r="BI14" s="61">
        <v>590</v>
      </c>
      <c r="BK14" s="63">
        <v>1</v>
      </c>
      <c r="BL14" s="63">
        <v>1</v>
      </c>
      <c r="BN14" s="63">
        <v>1</v>
      </c>
      <c r="BO14" s="63">
        <v>0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</row>
    <row r="15" spans="1:72" ht="16.5" x14ac:dyDescent="0.2">
      <c r="A15" s="59">
        <v>2</v>
      </c>
      <c r="B15" s="59">
        <v>1.5</v>
      </c>
      <c r="C15" s="22">
        <f t="shared" ref="C15:C34" si="19">B15/INDEX($G$5:$G$8,MATCH(A15-1,$E$4:$E$8,1))</f>
        <v>0.15</v>
      </c>
      <c r="D15" s="59">
        <f t="shared" ref="D15:D34" si="20">INT(INDEX($F$5:$F$8,MATCH(A15-1,$E$4:$E$8,1))*C15)</f>
        <v>48148</v>
      </c>
      <c r="E15" s="69">
        <v>5</v>
      </c>
      <c r="F15" s="69">
        <f t="shared" ref="F15:I34" si="21">INT($D15*F$12/$E15)*$E15</f>
        <v>190</v>
      </c>
      <c r="G15" s="69">
        <f t="shared" si="17"/>
        <v>575</v>
      </c>
      <c r="H15" s="69">
        <f t="shared" si="17"/>
        <v>1345</v>
      </c>
      <c r="I15" s="69">
        <f t="shared" si="17"/>
        <v>2885</v>
      </c>
      <c r="J15" s="16"/>
      <c r="K15" s="16"/>
      <c r="L15" s="16"/>
      <c r="M15" s="16"/>
      <c r="N15" s="16"/>
      <c r="O15" s="69">
        <v>12</v>
      </c>
      <c r="P15" s="69">
        <v>20</v>
      </c>
      <c r="Q15" s="69">
        <v>6</v>
      </c>
      <c r="R15" s="69">
        <v>1</v>
      </c>
      <c r="S15" s="15">
        <f>SUM(P$4:P15)</f>
        <v>103</v>
      </c>
      <c r="T15" s="69">
        <f>SUMIFS(芦花古楼!$BH$6:$BH$505,芦花古楼!$BB$6:$BB$505,"&lt;="&amp;神器!S15)</f>
        <v>124360</v>
      </c>
      <c r="U15" s="69">
        <f t="shared" si="14"/>
        <v>23740</v>
      </c>
      <c r="V15" s="69">
        <v>5</v>
      </c>
      <c r="W15" s="69">
        <f t="shared" si="15"/>
        <v>90</v>
      </c>
      <c r="X15" s="69">
        <f t="shared" si="3"/>
        <v>280</v>
      </c>
      <c r="Y15" s="69">
        <f t="shared" si="3"/>
        <v>660</v>
      </c>
      <c r="Z15" s="69">
        <f t="shared" si="3"/>
        <v>1420</v>
      </c>
      <c r="AA15" s="16"/>
      <c r="AB15" s="69">
        <v>11</v>
      </c>
      <c r="AC15" s="69">
        <v>103</v>
      </c>
      <c r="AD15" s="69">
        <v>1606013</v>
      </c>
      <c r="AE15" s="69" t="s">
        <v>619</v>
      </c>
      <c r="AF15" s="69">
        <v>2</v>
      </c>
      <c r="AG15" s="69">
        <v>21</v>
      </c>
      <c r="AH15" s="69">
        <f>SUM(AG$5:AG15)</f>
        <v>183</v>
      </c>
      <c r="AK15" s="69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2650</v>
      </c>
      <c r="AX15" s="61">
        <v>2</v>
      </c>
      <c r="AY15" s="61">
        <f>INDEX(节奏总表!$I$4:$I$18,MATCH(AX15,节奏总表!$T$4:$T$18,1))</f>
        <v>5</v>
      </c>
      <c r="AZ15" s="15">
        <f>芦花古楼!BC7+芦花古楼!BD6</f>
        <v>330</v>
      </c>
      <c r="BA15" s="16"/>
      <c r="BD15" s="64" t="s">
        <v>521</v>
      </c>
      <c r="BE15" s="61">
        <v>1</v>
      </c>
      <c r="BF15" s="61">
        <v>20</v>
      </c>
      <c r="BG15" s="61">
        <v>1</v>
      </c>
      <c r="BH15" s="61">
        <f t="shared" si="18"/>
        <v>590</v>
      </c>
      <c r="BI15" s="61">
        <v>590</v>
      </c>
      <c r="BK15" s="63">
        <v>2</v>
      </c>
      <c r="BL15" s="63">
        <v>1</v>
      </c>
      <c r="BN15" s="63">
        <v>1</v>
      </c>
      <c r="BO15" s="63">
        <v>1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</row>
    <row r="16" spans="1:72" ht="16.5" x14ac:dyDescent="0.2">
      <c r="A16" s="59">
        <v>3</v>
      </c>
      <c r="B16" s="59">
        <v>2</v>
      </c>
      <c r="C16" s="22">
        <f t="shared" si="19"/>
        <v>0.2</v>
      </c>
      <c r="D16" s="59">
        <f t="shared" si="20"/>
        <v>64198</v>
      </c>
      <c r="E16" s="69">
        <v>10</v>
      </c>
      <c r="F16" s="69">
        <f t="shared" si="21"/>
        <v>250</v>
      </c>
      <c r="G16" s="69">
        <f t="shared" si="17"/>
        <v>770</v>
      </c>
      <c r="H16" s="69">
        <f t="shared" si="17"/>
        <v>1790</v>
      </c>
      <c r="I16" s="69">
        <f t="shared" si="17"/>
        <v>3850</v>
      </c>
      <c r="J16" s="16"/>
      <c r="K16" s="16"/>
      <c r="L16" s="16"/>
      <c r="M16" s="16"/>
      <c r="N16" s="16"/>
      <c r="O16" s="69">
        <v>13</v>
      </c>
      <c r="P16" s="69">
        <v>22</v>
      </c>
      <c r="Q16" s="69">
        <v>7</v>
      </c>
      <c r="R16" s="69">
        <v>1</v>
      </c>
      <c r="S16" s="15">
        <f>SUM(P$4:P16)</f>
        <v>125</v>
      </c>
      <c r="T16" s="69">
        <f>SUMIFS(芦花古楼!$BH$6:$BH$505,芦花古楼!$BB$6:$BB$505,"&lt;="&amp;神器!S16)</f>
        <v>145480</v>
      </c>
      <c r="U16" s="69">
        <f t="shared" si="14"/>
        <v>21120</v>
      </c>
      <c r="V16" s="69">
        <v>5</v>
      </c>
      <c r="W16" s="69">
        <f t="shared" si="15"/>
        <v>80</v>
      </c>
      <c r="X16" s="69">
        <f t="shared" si="3"/>
        <v>250</v>
      </c>
      <c r="Y16" s="69">
        <f t="shared" si="3"/>
        <v>590</v>
      </c>
      <c r="Z16" s="69">
        <f t="shared" si="3"/>
        <v>1265</v>
      </c>
      <c r="AA16" s="16"/>
      <c r="AB16" s="69">
        <v>12</v>
      </c>
      <c r="AC16" s="69">
        <v>103</v>
      </c>
      <c r="AD16" s="69">
        <v>1606014</v>
      </c>
      <c r="AE16" s="69" t="s">
        <v>620</v>
      </c>
      <c r="AF16" s="69">
        <v>3</v>
      </c>
      <c r="AG16" s="69">
        <v>21</v>
      </c>
      <c r="AH16" s="69">
        <f>SUM(AG$5:AG16)</f>
        <v>204</v>
      </c>
      <c r="AK16" s="69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3000</v>
      </c>
      <c r="AX16" s="61">
        <v>3</v>
      </c>
      <c r="AY16" s="61">
        <f>INDEX(节奏总表!$I$4:$I$18,MATCH(AX16,节奏总表!$T$4:$T$18,1))</f>
        <v>5</v>
      </c>
      <c r="AZ16" s="15">
        <f>芦花古楼!BC8+芦花古楼!BD7</f>
        <v>540</v>
      </c>
      <c r="BA16" s="16"/>
      <c r="BD16" s="64" t="s">
        <v>522</v>
      </c>
      <c r="BE16" s="61">
        <v>2</v>
      </c>
      <c r="BF16" s="61">
        <v>30</v>
      </c>
      <c r="BG16" s="61">
        <v>1</v>
      </c>
      <c r="BH16" s="61">
        <f t="shared" si="18"/>
        <v>393</v>
      </c>
      <c r="BI16" s="61">
        <v>393</v>
      </c>
      <c r="BK16" s="63">
        <v>3</v>
      </c>
      <c r="BL16" s="63">
        <v>2</v>
      </c>
      <c r="BN16" s="63">
        <v>2</v>
      </c>
      <c r="BO16" s="63">
        <v>1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</row>
    <row r="17" spans="1:72" ht="16.5" x14ac:dyDescent="0.2">
      <c r="A17" s="59">
        <v>4</v>
      </c>
      <c r="B17" s="59">
        <v>2.5</v>
      </c>
      <c r="C17" s="22">
        <f t="shared" si="19"/>
        <v>0.25</v>
      </c>
      <c r="D17" s="59">
        <f t="shared" si="20"/>
        <v>80248</v>
      </c>
      <c r="E17" s="69">
        <v>10</v>
      </c>
      <c r="F17" s="69">
        <f t="shared" si="21"/>
        <v>320</v>
      </c>
      <c r="G17" s="69">
        <f t="shared" si="17"/>
        <v>960</v>
      </c>
      <c r="H17" s="69">
        <f t="shared" si="17"/>
        <v>2240</v>
      </c>
      <c r="I17" s="69">
        <f t="shared" si="17"/>
        <v>4810</v>
      </c>
      <c r="J17" s="16"/>
      <c r="K17" s="16"/>
      <c r="L17" s="16"/>
      <c r="M17" s="16"/>
      <c r="N17" s="16"/>
      <c r="O17" s="69">
        <v>14</v>
      </c>
      <c r="P17" s="69">
        <v>25</v>
      </c>
      <c r="Q17" s="69">
        <v>7</v>
      </c>
      <c r="R17" s="69">
        <v>1</v>
      </c>
      <c r="S17" s="15">
        <f>SUM(P$4:P17)</f>
        <v>150</v>
      </c>
      <c r="T17" s="69">
        <f>SUMIFS(芦花古楼!$BH$6:$BH$505,芦花古楼!$BB$6:$BB$505,"&lt;="&amp;神器!S17)</f>
        <v>169480</v>
      </c>
      <c r="U17" s="69">
        <f t="shared" si="14"/>
        <v>24000</v>
      </c>
      <c r="V17" s="69">
        <v>5</v>
      </c>
      <c r="W17" s="69">
        <f t="shared" si="15"/>
        <v>95</v>
      </c>
      <c r="X17" s="69">
        <f t="shared" si="3"/>
        <v>285</v>
      </c>
      <c r="Y17" s="69">
        <f t="shared" si="3"/>
        <v>670</v>
      </c>
      <c r="Z17" s="69">
        <f t="shared" si="3"/>
        <v>1440</v>
      </c>
      <c r="AA17" s="16"/>
      <c r="AB17" s="69">
        <v>13</v>
      </c>
      <c r="AC17" s="69">
        <v>103</v>
      </c>
      <c r="AD17" s="69">
        <v>1606015</v>
      </c>
      <c r="AE17" s="69" t="s">
        <v>621</v>
      </c>
      <c r="AF17" s="69">
        <v>3</v>
      </c>
      <c r="AG17" s="69">
        <v>21</v>
      </c>
      <c r="AH17" s="69">
        <f>SUM(AG$5:AG17)</f>
        <v>225</v>
      </c>
      <c r="AK17" s="69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3400</v>
      </c>
      <c r="AX17" s="61">
        <v>4</v>
      </c>
      <c r="AY17" s="61">
        <f>INDEX(节奏总表!$I$4:$I$18,MATCH(AX17,节奏总表!$T$4:$T$18,1))</f>
        <v>6</v>
      </c>
      <c r="AZ17" s="15">
        <f>芦花古楼!BC9+芦花古楼!BD8</f>
        <v>805</v>
      </c>
      <c r="BA17" s="16"/>
      <c r="BD17" s="64" t="s">
        <v>523</v>
      </c>
      <c r="BE17" s="61">
        <v>2</v>
      </c>
      <c r="BF17" s="61">
        <v>30</v>
      </c>
      <c r="BG17" s="61">
        <v>1</v>
      </c>
      <c r="BH17" s="61">
        <f t="shared" si="18"/>
        <v>393</v>
      </c>
      <c r="BI17" s="61">
        <v>393</v>
      </c>
      <c r="BK17" s="63">
        <v>4</v>
      </c>
      <c r="BL17" s="63">
        <v>3</v>
      </c>
      <c r="BN17" s="63">
        <v>2</v>
      </c>
      <c r="BO17" s="63">
        <v>2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</row>
    <row r="18" spans="1:72" ht="16.5" x14ac:dyDescent="0.2">
      <c r="A18" s="59">
        <v>5</v>
      </c>
      <c r="B18" s="59">
        <v>3</v>
      </c>
      <c r="C18" s="22">
        <f t="shared" si="19"/>
        <v>0.3</v>
      </c>
      <c r="D18" s="59">
        <f t="shared" si="20"/>
        <v>96297</v>
      </c>
      <c r="E18" s="69">
        <v>10</v>
      </c>
      <c r="F18" s="69">
        <f t="shared" si="21"/>
        <v>380</v>
      </c>
      <c r="G18" s="69">
        <f t="shared" si="17"/>
        <v>1150</v>
      </c>
      <c r="H18" s="69">
        <f t="shared" si="17"/>
        <v>2690</v>
      </c>
      <c r="I18" s="69">
        <f t="shared" si="17"/>
        <v>5770</v>
      </c>
      <c r="J18" s="16"/>
      <c r="K18" s="16"/>
      <c r="L18" s="16"/>
      <c r="M18" s="16"/>
      <c r="N18" s="16"/>
      <c r="O18" s="69">
        <v>15</v>
      </c>
      <c r="P18" s="69">
        <v>30</v>
      </c>
      <c r="Q18" s="69">
        <v>7</v>
      </c>
      <c r="R18" s="69">
        <v>1</v>
      </c>
      <c r="S18" s="15">
        <f>SUM(P$4:P18)</f>
        <v>180</v>
      </c>
      <c r="T18" s="69">
        <f>SUMIFS(芦花古楼!$BH$6:$BH$505,芦花古楼!$BB$6:$BB$505,"&lt;="&amp;神器!S18)</f>
        <v>198280</v>
      </c>
      <c r="U18" s="69">
        <f t="shared" si="14"/>
        <v>28800</v>
      </c>
      <c r="V18" s="69">
        <v>5</v>
      </c>
      <c r="W18" s="69">
        <f t="shared" si="15"/>
        <v>115</v>
      </c>
      <c r="X18" s="69">
        <f t="shared" si="3"/>
        <v>345</v>
      </c>
      <c r="Y18" s="69">
        <f t="shared" si="3"/>
        <v>805</v>
      </c>
      <c r="Z18" s="69">
        <f t="shared" si="3"/>
        <v>1725</v>
      </c>
      <c r="AA18" s="16"/>
      <c r="AB18" s="69">
        <v>14</v>
      </c>
      <c r="AC18" s="69">
        <v>103</v>
      </c>
      <c r="AD18" s="69">
        <v>1606016</v>
      </c>
      <c r="AE18" s="69" t="s">
        <v>622</v>
      </c>
      <c r="AF18" s="69">
        <v>4</v>
      </c>
      <c r="AG18" s="69">
        <v>21</v>
      </c>
      <c r="AH18" s="69">
        <f>SUM(AG$5:AG18)</f>
        <v>246</v>
      </c>
      <c r="AK18" s="69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3800</v>
      </c>
      <c r="AX18" s="61">
        <v>5</v>
      </c>
      <c r="AY18" s="61">
        <f>INDEX(节奏总表!$I$4:$I$18,MATCH(AX18,节奏总表!$T$4:$T$18,1))</f>
        <v>6</v>
      </c>
      <c r="AZ18" s="15">
        <f>芦花古楼!BC10+芦花古楼!BD9</f>
        <v>815</v>
      </c>
      <c r="BA18" s="16"/>
      <c r="BD18" s="64" t="s">
        <v>524</v>
      </c>
      <c r="BE18" s="61">
        <v>3</v>
      </c>
      <c r="BF18" s="61">
        <v>50</v>
      </c>
      <c r="BG18" s="61">
        <v>1</v>
      </c>
      <c r="BH18" s="61">
        <f t="shared" si="18"/>
        <v>236</v>
      </c>
      <c r="BI18" s="61">
        <v>236</v>
      </c>
      <c r="BK18" s="63">
        <v>5</v>
      </c>
      <c r="BL18" s="63">
        <v>3</v>
      </c>
      <c r="BN18" s="63">
        <v>3</v>
      </c>
      <c r="BO18" s="63">
        <v>2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</row>
    <row r="19" spans="1:72" ht="16.5" x14ac:dyDescent="0.2">
      <c r="A19" s="59">
        <v>6</v>
      </c>
      <c r="B19" s="59">
        <v>3.5</v>
      </c>
      <c r="C19" s="22">
        <f t="shared" si="19"/>
        <v>0.15217391304347827</v>
      </c>
      <c r="D19" s="59">
        <f t="shared" si="20"/>
        <v>233355</v>
      </c>
      <c r="E19" s="69">
        <v>20</v>
      </c>
      <c r="F19" s="69">
        <f t="shared" si="21"/>
        <v>920</v>
      </c>
      <c r="G19" s="69">
        <f t="shared" si="17"/>
        <v>2800</v>
      </c>
      <c r="H19" s="69">
        <f t="shared" si="17"/>
        <v>6520</v>
      </c>
      <c r="I19" s="69">
        <f t="shared" si="17"/>
        <v>14000</v>
      </c>
      <c r="J19" s="16"/>
      <c r="K19" s="16"/>
      <c r="L19" s="16"/>
      <c r="M19" s="16"/>
      <c r="N19" s="16"/>
      <c r="O19" s="69">
        <v>16</v>
      </c>
      <c r="P19" s="69">
        <v>35</v>
      </c>
      <c r="Q19" s="69">
        <v>10</v>
      </c>
      <c r="R19" s="69">
        <v>1</v>
      </c>
      <c r="S19" s="15">
        <f>SUM(P$4:P19)</f>
        <v>215</v>
      </c>
      <c r="T19" s="69">
        <f>SUMIFS(芦花古楼!$BH$6:$BH$505,芦花古楼!$BB$6:$BB$505,"&lt;="&amp;神器!S19)</f>
        <v>231880</v>
      </c>
      <c r="U19" s="69">
        <f t="shared" si="14"/>
        <v>33600</v>
      </c>
      <c r="V19" s="69">
        <v>5</v>
      </c>
      <c r="W19" s="69">
        <f t="shared" si="15"/>
        <v>130</v>
      </c>
      <c r="X19" s="69">
        <f t="shared" si="3"/>
        <v>400</v>
      </c>
      <c r="Y19" s="69">
        <f t="shared" si="3"/>
        <v>940</v>
      </c>
      <c r="Z19" s="69">
        <f t="shared" si="3"/>
        <v>2015</v>
      </c>
      <c r="AA19" s="16"/>
      <c r="AB19" s="69">
        <v>15</v>
      </c>
      <c r="AC19" s="69">
        <v>104</v>
      </c>
      <c r="AD19" s="69">
        <v>1606017</v>
      </c>
      <c r="AE19" s="69" t="s">
        <v>623</v>
      </c>
      <c r="AF19" s="69">
        <v>1</v>
      </c>
      <c r="AG19" s="69">
        <v>21</v>
      </c>
      <c r="AH19" s="69">
        <f>SUM(AG$5:AG19)</f>
        <v>267</v>
      </c>
      <c r="AK19" s="69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1">
        <v>6</v>
      </c>
      <c r="AY19" s="61">
        <f>INDEX(节奏总表!$I$4:$I$18,MATCH(AX19,节奏总表!$T$4:$T$18,1))</f>
        <v>7</v>
      </c>
      <c r="AZ19" s="15">
        <f>芦花古楼!BC11+芦花古楼!BD10</f>
        <v>825</v>
      </c>
      <c r="BA19" s="16"/>
      <c r="BD19" s="64" t="s">
        <v>525</v>
      </c>
      <c r="BE19" s="61">
        <v>3</v>
      </c>
      <c r="BF19" s="61">
        <v>50</v>
      </c>
      <c r="BG19" s="61">
        <v>1</v>
      </c>
      <c r="BH19" s="61">
        <f t="shared" si="18"/>
        <v>236</v>
      </c>
      <c r="BI19" s="61">
        <v>236</v>
      </c>
      <c r="BK19" s="63">
        <v>6</v>
      </c>
      <c r="BL19" s="63">
        <v>4</v>
      </c>
      <c r="BN19" s="63">
        <v>3</v>
      </c>
      <c r="BO19" s="63">
        <v>3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</row>
    <row r="20" spans="1:72" ht="16.5" x14ac:dyDescent="0.2">
      <c r="A20" s="59">
        <v>7</v>
      </c>
      <c r="B20" s="59">
        <v>4</v>
      </c>
      <c r="C20" s="22">
        <f t="shared" si="19"/>
        <v>0.17391304347826086</v>
      </c>
      <c r="D20" s="59">
        <f t="shared" si="20"/>
        <v>266691</v>
      </c>
      <c r="E20" s="69">
        <v>20</v>
      </c>
      <c r="F20" s="69">
        <f t="shared" si="21"/>
        <v>1060</v>
      </c>
      <c r="G20" s="69">
        <f t="shared" si="17"/>
        <v>3200</v>
      </c>
      <c r="H20" s="69">
        <f t="shared" si="17"/>
        <v>7460</v>
      </c>
      <c r="I20" s="69">
        <f t="shared" si="17"/>
        <v>16000</v>
      </c>
      <c r="J20" s="16"/>
      <c r="K20" s="16"/>
      <c r="L20" s="16"/>
      <c r="M20" s="16"/>
      <c r="N20" s="16"/>
      <c r="O20" s="69">
        <v>17</v>
      </c>
      <c r="P20" s="69">
        <v>40</v>
      </c>
      <c r="Q20" s="69">
        <v>10</v>
      </c>
      <c r="R20" s="69">
        <v>1</v>
      </c>
      <c r="S20" s="15">
        <f>SUM(P$4:P20)</f>
        <v>255</v>
      </c>
      <c r="T20" s="69">
        <f>SUMIFS(芦花古楼!$BH$6:$BH$505,芦花古楼!$BB$6:$BB$505,"&lt;="&amp;神器!S20)</f>
        <v>270280</v>
      </c>
      <c r="U20" s="69">
        <f t="shared" si="14"/>
        <v>38400</v>
      </c>
      <c r="V20" s="69">
        <v>5</v>
      </c>
      <c r="W20" s="69">
        <f t="shared" si="15"/>
        <v>150</v>
      </c>
      <c r="X20" s="69">
        <f t="shared" si="3"/>
        <v>460</v>
      </c>
      <c r="Y20" s="69">
        <f t="shared" si="3"/>
        <v>1075</v>
      </c>
      <c r="Z20" s="69">
        <f t="shared" si="3"/>
        <v>2300</v>
      </c>
      <c r="AA20" s="16"/>
      <c r="AB20" s="69">
        <v>16</v>
      </c>
      <c r="AC20" s="69">
        <v>104</v>
      </c>
      <c r="AD20" s="69">
        <v>1606018</v>
      </c>
      <c r="AE20" s="69" t="s">
        <v>624</v>
      </c>
      <c r="AF20" s="69">
        <v>1</v>
      </c>
      <c r="AG20" s="69">
        <v>21</v>
      </c>
      <c r="AH20" s="69">
        <f>SUM(AG$5:AG20)</f>
        <v>288</v>
      </c>
      <c r="AK20" s="69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190</v>
      </c>
      <c r="AX20" s="61">
        <v>7</v>
      </c>
      <c r="AY20" s="61">
        <f>INDEX(节奏总表!$I$4:$I$18,MATCH(AX20,节奏总表!$T$4:$T$18,1))</f>
        <v>7</v>
      </c>
      <c r="AZ20" s="15">
        <f>芦花古楼!BC12+芦花古楼!BD11</f>
        <v>845</v>
      </c>
      <c r="BA20" s="16"/>
      <c r="BD20" s="64" t="s">
        <v>526</v>
      </c>
      <c r="BE20" s="61">
        <v>3</v>
      </c>
      <c r="BF20" s="61">
        <v>50</v>
      </c>
      <c r="BG20" s="61">
        <v>1</v>
      </c>
      <c r="BH20" s="61">
        <f t="shared" si="18"/>
        <v>236</v>
      </c>
      <c r="BI20" s="61">
        <v>236</v>
      </c>
      <c r="BK20" s="63">
        <v>7</v>
      </c>
      <c r="BL20" s="63">
        <v>4</v>
      </c>
      <c r="BN20" s="63">
        <v>3</v>
      </c>
      <c r="BO20" s="63">
        <v>3</v>
      </c>
      <c r="BP20" s="63">
        <v>1</v>
      </c>
      <c r="BQ20" s="63">
        <v>0</v>
      </c>
      <c r="BR20" s="63">
        <v>0</v>
      </c>
      <c r="BS20" s="63">
        <v>0</v>
      </c>
      <c r="BT20" s="63">
        <v>0</v>
      </c>
    </row>
    <row r="21" spans="1:72" ht="16.5" x14ac:dyDescent="0.2">
      <c r="A21" s="59">
        <v>8</v>
      </c>
      <c r="B21" s="59">
        <v>4.5</v>
      </c>
      <c r="C21" s="22">
        <f t="shared" si="19"/>
        <v>0.19565217391304349</v>
      </c>
      <c r="D21" s="59">
        <f t="shared" si="20"/>
        <v>300028</v>
      </c>
      <c r="E21" s="69">
        <v>20</v>
      </c>
      <c r="F21" s="69">
        <f t="shared" si="21"/>
        <v>1200</v>
      </c>
      <c r="G21" s="69">
        <f t="shared" si="17"/>
        <v>3600</v>
      </c>
      <c r="H21" s="69">
        <f t="shared" si="17"/>
        <v>8400</v>
      </c>
      <c r="I21" s="69">
        <f t="shared" si="17"/>
        <v>18000</v>
      </c>
      <c r="J21" s="16"/>
      <c r="K21" s="16"/>
      <c r="L21" s="16"/>
      <c r="M21" s="16"/>
      <c r="N21" s="16"/>
      <c r="O21" s="69">
        <v>18</v>
      </c>
      <c r="P21" s="69">
        <v>45</v>
      </c>
      <c r="Q21" s="69">
        <v>10</v>
      </c>
      <c r="R21" s="69">
        <v>1</v>
      </c>
      <c r="S21" s="15">
        <f>SUM(P$4:P21)</f>
        <v>300</v>
      </c>
      <c r="T21" s="69">
        <f>SUMIFS(芦花古楼!$BH$6:$BH$505,芦花古楼!$BB$6:$BB$505,"&lt;="&amp;神器!S21)</f>
        <v>313480</v>
      </c>
      <c r="U21" s="69">
        <f t="shared" si="14"/>
        <v>43200</v>
      </c>
      <c r="V21" s="69">
        <v>5</v>
      </c>
      <c r="W21" s="69">
        <f t="shared" si="15"/>
        <v>170</v>
      </c>
      <c r="X21" s="69">
        <f t="shared" si="15"/>
        <v>515</v>
      </c>
      <c r="Y21" s="69">
        <f t="shared" si="15"/>
        <v>1205</v>
      </c>
      <c r="Z21" s="69">
        <f t="shared" si="15"/>
        <v>2590</v>
      </c>
      <c r="AA21" s="16"/>
      <c r="AB21" s="69">
        <v>17</v>
      </c>
      <c r="AC21" s="69">
        <v>104</v>
      </c>
      <c r="AD21" s="69">
        <v>1606019</v>
      </c>
      <c r="AE21" s="69" t="s">
        <v>625</v>
      </c>
      <c r="AF21" s="69">
        <v>2</v>
      </c>
      <c r="AG21" s="69">
        <v>21</v>
      </c>
      <c r="AH21" s="69">
        <f>SUM(AG$5:AG21)</f>
        <v>309</v>
      </c>
      <c r="AK21" s="69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250</v>
      </c>
      <c r="AX21" s="61">
        <v>8</v>
      </c>
      <c r="AY21" s="61">
        <f>INDEX(节奏总表!$I$4:$I$18,MATCH(AX21,节奏总表!$T$4:$T$18,1))</f>
        <v>8</v>
      </c>
      <c r="AZ21" s="15">
        <f>芦花古楼!BC13+芦花古楼!BD12</f>
        <v>830</v>
      </c>
      <c r="BA21" s="16"/>
      <c r="BD21" s="64" t="s">
        <v>527</v>
      </c>
      <c r="BE21" s="61">
        <v>3</v>
      </c>
      <c r="BF21" s="61">
        <v>50</v>
      </c>
      <c r="BG21" s="61">
        <v>1</v>
      </c>
      <c r="BH21" s="61">
        <f t="shared" si="18"/>
        <v>236</v>
      </c>
      <c r="BI21" s="61">
        <v>236</v>
      </c>
      <c r="BK21" s="63">
        <v>8</v>
      </c>
      <c r="BL21" s="63">
        <v>4</v>
      </c>
      <c r="BN21" s="63">
        <v>3</v>
      </c>
      <c r="BO21" s="63">
        <v>3</v>
      </c>
      <c r="BP21" s="63">
        <v>1</v>
      </c>
      <c r="BQ21" s="63">
        <v>1</v>
      </c>
      <c r="BR21" s="63">
        <v>0</v>
      </c>
      <c r="BS21" s="63">
        <v>0</v>
      </c>
      <c r="BT21" s="63">
        <v>0</v>
      </c>
    </row>
    <row r="22" spans="1:72" ht="16.5" x14ac:dyDescent="0.2">
      <c r="A22" s="59">
        <v>9</v>
      </c>
      <c r="B22" s="59">
        <v>5</v>
      </c>
      <c r="C22" s="22">
        <f t="shared" si="19"/>
        <v>0.21739130434782608</v>
      </c>
      <c r="D22" s="59">
        <f t="shared" si="20"/>
        <v>333364</v>
      </c>
      <c r="E22" s="69">
        <v>20</v>
      </c>
      <c r="F22" s="69">
        <f t="shared" si="21"/>
        <v>1320</v>
      </c>
      <c r="G22" s="69">
        <f t="shared" si="17"/>
        <v>4000</v>
      </c>
      <c r="H22" s="69">
        <f t="shared" si="17"/>
        <v>9320</v>
      </c>
      <c r="I22" s="69">
        <f t="shared" si="17"/>
        <v>20000</v>
      </c>
      <c r="J22" s="16"/>
      <c r="K22" s="16"/>
      <c r="L22" s="16"/>
      <c r="M22" s="16"/>
      <c r="N22" s="16"/>
      <c r="O22" s="69">
        <v>19</v>
      </c>
      <c r="P22" s="69">
        <v>50</v>
      </c>
      <c r="Q22" s="69">
        <v>15</v>
      </c>
      <c r="R22" s="69">
        <v>1</v>
      </c>
      <c r="S22" s="15">
        <f>SUM(P$4:P22)</f>
        <v>350</v>
      </c>
      <c r="T22" s="69">
        <f>SUMIFS(芦花古楼!$BH$6:$BH$505,芦花古楼!$BB$6:$BB$505,"&lt;="&amp;神器!S22)</f>
        <v>361480</v>
      </c>
      <c r="U22" s="69">
        <f t="shared" si="14"/>
        <v>48000</v>
      </c>
      <c r="V22" s="69">
        <v>5</v>
      </c>
      <c r="W22" s="69">
        <f t="shared" si="15"/>
        <v>190</v>
      </c>
      <c r="X22" s="69">
        <f t="shared" si="15"/>
        <v>575</v>
      </c>
      <c r="Y22" s="69">
        <f t="shared" si="15"/>
        <v>1340</v>
      </c>
      <c r="Z22" s="69">
        <f t="shared" si="15"/>
        <v>2880</v>
      </c>
      <c r="AA22" s="16"/>
      <c r="AB22" s="69">
        <v>18</v>
      </c>
      <c r="AC22" s="69">
        <v>104</v>
      </c>
      <c r="AD22" s="69">
        <v>1606020</v>
      </c>
      <c r="AE22" s="69" t="s">
        <v>626</v>
      </c>
      <c r="AF22" s="69">
        <v>2</v>
      </c>
      <c r="AG22" s="69">
        <v>21</v>
      </c>
      <c r="AH22" s="69">
        <f>SUM(AG$5:AG22)</f>
        <v>330</v>
      </c>
      <c r="AK22" s="69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320</v>
      </c>
      <c r="AX22" s="61">
        <v>9</v>
      </c>
      <c r="AY22" s="61">
        <f>INDEX(节奏总表!$I$4:$I$18,MATCH(AX22,节奏总表!$T$4:$T$18,1))</f>
        <v>8</v>
      </c>
      <c r="AZ22" s="15">
        <f>芦花古楼!BC14+芦花古楼!BD13</f>
        <v>845</v>
      </c>
      <c r="BA22" s="16"/>
      <c r="BD22" s="64" t="s">
        <v>528</v>
      </c>
      <c r="BE22" s="61">
        <v>4</v>
      </c>
      <c r="BF22" s="61">
        <v>70</v>
      </c>
      <c r="BG22" s="61">
        <v>1</v>
      </c>
      <c r="BH22" s="61">
        <f t="shared" si="18"/>
        <v>169</v>
      </c>
      <c r="BI22" s="61">
        <v>169</v>
      </c>
      <c r="BK22" s="63">
        <v>9</v>
      </c>
      <c r="BL22" s="63">
        <v>4</v>
      </c>
      <c r="BN22" s="63">
        <v>5</v>
      </c>
      <c r="BO22" s="63">
        <v>4</v>
      </c>
      <c r="BP22" s="63">
        <v>1</v>
      </c>
      <c r="BQ22" s="63">
        <v>1</v>
      </c>
      <c r="BR22" s="63">
        <v>0</v>
      </c>
      <c r="BS22" s="63">
        <v>0</v>
      </c>
      <c r="BT22" s="63">
        <v>0</v>
      </c>
    </row>
    <row r="23" spans="1:72" ht="16.5" x14ac:dyDescent="0.2">
      <c r="A23" s="59">
        <v>10</v>
      </c>
      <c r="B23" s="59">
        <v>6</v>
      </c>
      <c r="C23" s="22">
        <f t="shared" si="19"/>
        <v>0.2608695652173913</v>
      </c>
      <c r="D23" s="59">
        <f t="shared" si="20"/>
        <v>400037</v>
      </c>
      <c r="E23" s="69">
        <v>50</v>
      </c>
      <c r="F23" s="69">
        <f t="shared" si="21"/>
        <v>1600</v>
      </c>
      <c r="G23" s="69">
        <f t="shared" si="17"/>
        <v>4800</v>
      </c>
      <c r="H23" s="69">
        <f t="shared" si="17"/>
        <v>11200</v>
      </c>
      <c r="I23" s="69">
        <f t="shared" si="17"/>
        <v>24000</v>
      </c>
      <c r="J23" s="16"/>
      <c r="K23" s="16"/>
      <c r="L23" s="16"/>
      <c r="M23" s="16"/>
      <c r="N23" s="16"/>
      <c r="O23" s="69">
        <v>20</v>
      </c>
      <c r="P23" s="69">
        <v>55</v>
      </c>
      <c r="Q23" s="69">
        <v>15</v>
      </c>
      <c r="R23" s="69">
        <v>1</v>
      </c>
      <c r="S23" s="15">
        <f>SUM(P$4:P23)</f>
        <v>405</v>
      </c>
      <c r="T23" s="69">
        <f>SUMIFS(芦花古楼!$BH$6:$BH$505,芦花古楼!$BB$6:$BB$505,"&lt;="&amp;神器!S23)</f>
        <v>414280</v>
      </c>
      <c r="U23" s="69">
        <f t="shared" si="14"/>
        <v>52800</v>
      </c>
      <c r="V23" s="69">
        <v>5</v>
      </c>
      <c r="W23" s="69">
        <f t="shared" si="15"/>
        <v>210</v>
      </c>
      <c r="X23" s="69">
        <f t="shared" si="15"/>
        <v>630</v>
      </c>
      <c r="Y23" s="69">
        <f t="shared" si="15"/>
        <v>1475</v>
      </c>
      <c r="Z23" s="69">
        <f t="shared" si="15"/>
        <v>3165</v>
      </c>
      <c r="AA23" s="16"/>
      <c r="AB23" s="69">
        <v>19</v>
      </c>
      <c r="AC23" s="69">
        <v>104</v>
      </c>
      <c r="AD23" s="69">
        <v>1606021</v>
      </c>
      <c r="AE23" s="69" t="s">
        <v>627</v>
      </c>
      <c r="AF23" s="69">
        <v>2</v>
      </c>
      <c r="AG23" s="69">
        <v>21</v>
      </c>
      <c r="AH23" s="69">
        <f>SUM(AG$5:AG23)</f>
        <v>351</v>
      </c>
      <c r="AK23" s="69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380</v>
      </c>
      <c r="AX23" s="61">
        <v>10</v>
      </c>
      <c r="AY23" s="61">
        <f>INDEX(节奏总表!$I$4:$I$18,MATCH(AX23,节奏总表!$T$4:$T$18,1))</f>
        <v>8</v>
      </c>
      <c r="AZ23" s="15">
        <f>芦花古楼!BC15+芦花古楼!BD14</f>
        <v>700</v>
      </c>
      <c r="BA23" s="16"/>
      <c r="BD23" s="64" t="s">
        <v>529</v>
      </c>
      <c r="BE23" s="61">
        <v>4</v>
      </c>
      <c r="BF23" s="61">
        <v>70</v>
      </c>
      <c r="BG23" s="61">
        <v>1</v>
      </c>
      <c r="BH23" s="61">
        <f t="shared" si="18"/>
        <v>169</v>
      </c>
      <c r="BI23" s="61">
        <v>169</v>
      </c>
      <c r="BK23" s="63">
        <v>10</v>
      </c>
      <c r="BL23" s="63">
        <v>7</v>
      </c>
      <c r="BN23" s="63">
        <v>5</v>
      </c>
      <c r="BO23" s="63">
        <v>5</v>
      </c>
      <c r="BP23" s="63">
        <v>1</v>
      </c>
      <c r="BQ23" s="63">
        <v>1</v>
      </c>
      <c r="BR23" s="63">
        <v>0</v>
      </c>
      <c r="BS23" s="63">
        <v>0</v>
      </c>
      <c r="BT23" s="63">
        <v>0</v>
      </c>
    </row>
    <row r="24" spans="1:72" ht="16.5" x14ac:dyDescent="0.2">
      <c r="A24" s="59">
        <v>11</v>
      </c>
      <c r="B24" s="59">
        <v>3</v>
      </c>
      <c r="C24" s="22">
        <f t="shared" si="19"/>
        <v>0.15</v>
      </c>
      <c r="D24" s="59">
        <f t="shared" si="20"/>
        <v>570336</v>
      </c>
      <c r="E24" s="69">
        <v>50</v>
      </c>
      <c r="F24" s="69">
        <f t="shared" si="21"/>
        <v>2250</v>
      </c>
      <c r="G24" s="69">
        <f t="shared" si="17"/>
        <v>6800</v>
      </c>
      <c r="H24" s="69">
        <f t="shared" si="17"/>
        <v>15950</v>
      </c>
      <c r="I24" s="69">
        <f t="shared" si="17"/>
        <v>34200</v>
      </c>
      <c r="J24" s="16"/>
      <c r="K24" s="16"/>
      <c r="L24" s="16"/>
      <c r="M24" s="16"/>
      <c r="N24" s="16"/>
      <c r="O24" s="69">
        <v>21</v>
      </c>
      <c r="P24" s="69">
        <v>60</v>
      </c>
      <c r="Q24" s="69">
        <v>15</v>
      </c>
      <c r="R24" s="69">
        <v>1</v>
      </c>
      <c r="S24" s="15">
        <f>SUM(P$4:P24)</f>
        <v>465</v>
      </c>
      <c r="T24" s="69">
        <f>SUMIFS(芦花古楼!$BH$6:$BH$505,芦花古楼!$BB$6:$BB$505,"&lt;="&amp;神器!S24)</f>
        <v>471880</v>
      </c>
      <c r="U24" s="69">
        <f t="shared" si="14"/>
        <v>57600</v>
      </c>
      <c r="V24" s="69">
        <v>5</v>
      </c>
      <c r="W24" s="69">
        <f t="shared" si="15"/>
        <v>230</v>
      </c>
      <c r="X24" s="69">
        <f t="shared" si="15"/>
        <v>690</v>
      </c>
      <c r="Y24" s="69">
        <f t="shared" si="15"/>
        <v>1610</v>
      </c>
      <c r="Z24" s="69">
        <f t="shared" si="15"/>
        <v>3455</v>
      </c>
      <c r="AA24" s="16"/>
      <c r="AB24" s="69">
        <v>20</v>
      </c>
      <c r="AC24" s="69">
        <v>104</v>
      </c>
      <c r="AD24" s="69">
        <v>1606022</v>
      </c>
      <c r="AE24" s="69" t="s">
        <v>628</v>
      </c>
      <c r="AF24" s="69">
        <v>3</v>
      </c>
      <c r="AG24" s="69">
        <v>21</v>
      </c>
      <c r="AH24" s="69">
        <f>SUM(AG$5:AG24)</f>
        <v>372</v>
      </c>
      <c r="AK24" s="69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920</v>
      </c>
      <c r="AX24" s="61">
        <v>11</v>
      </c>
      <c r="AY24" s="61">
        <f>INDEX(节奏总表!$I$4:$I$18,MATCH(AX24,节奏总表!$T$4:$T$18,1))</f>
        <v>8</v>
      </c>
      <c r="AZ24" s="15">
        <f>芦花古楼!BC16+芦花古楼!BD15</f>
        <v>665</v>
      </c>
      <c r="BA24" s="16"/>
      <c r="BD24" s="64" t="s">
        <v>530</v>
      </c>
      <c r="BE24" s="61">
        <v>4</v>
      </c>
      <c r="BF24" s="61">
        <v>70</v>
      </c>
      <c r="BG24" s="61">
        <v>1</v>
      </c>
      <c r="BH24" s="61">
        <f t="shared" si="18"/>
        <v>169</v>
      </c>
      <c r="BI24" s="61">
        <v>169</v>
      </c>
      <c r="BK24" s="63">
        <v>11</v>
      </c>
      <c r="BL24" s="63">
        <v>7</v>
      </c>
      <c r="BN24" s="63">
        <v>5</v>
      </c>
      <c r="BO24" s="63">
        <v>5</v>
      </c>
      <c r="BP24" s="63">
        <v>2</v>
      </c>
      <c r="BQ24" s="63">
        <v>1</v>
      </c>
      <c r="BR24" s="63">
        <v>0</v>
      </c>
      <c r="BS24" s="63">
        <v>0</v>
      </c>
      <c r="BT24" s="63">
        <v>0</v>
      </c>
    </row>
    <row r="25" spans="1:72" ht="16.5" x14ac:dyDescent="0.2">
      <c r="A25" s="59">
        <v>12</v>
      </c>
      <c r="B25" s="59">
        <v>3.5</v>
      </c>
      <c r="C25" s="22">
        <f t="shared" si="19"/>
        <v>0.17499999999999999</v>
      </c>
      <c r="D25" s="59">
        <f t="shared" si="20"/>
        <v>665392</v>
      </c>
      <c r="E25" s="69">
        <v>50</v>
      </c>
      <c r="F25" s="69">
        <f t="shared" si="21"/>
        <v>2650</v>
      </c>
      <c r="G25" s="69">
        <f t="shared" si="17"/>
        <v>7950</v>
      </c>
      <c r="H25" s="69">
        <f t="shared" si="17"/>
        <v>18600</v>
      </c>
      <c r="I25" s="69">
        <f t="shared" si="17"/>
        <v>39900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69">
        <v>21</v>
      </c>
      <c r="AC25" s="69">
        <v>105</v>
      </c>
      <c r="AD25" s="69">
        <v>1606023</v>
      </c>
      <c r="AE25" s="69" t="s">
        <v>629</v>
      </c>
      <c r="AF25" s="69">
        <v>1</v>
      </c>
      <c r="AG25" s="69">
        <v>21</v>
      </c>
      <c r="AH25" s="69">
        <f>SUM(AG$5:AG25)</f>
        <v>393</v>
      </c>
      <c r="AK25" s="69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1060</v>
      </c>
      <c r="AX25" s="61">
        <v>12</v>
      </c>
      <c r="AY25" s="61">
        <f>INDEX(节奏总表!$I$4:$I$18,MATCH(AX25,节奏总表!$T$4:$T$18,1))</f>
        <v>9</v>
      </c>
      <c r="AZ25" s="15">
        <f>芦花古楼!BC17+芦花古楼!BD16</f>
        <v>630</v>
      </c>
      <c r="BA25" s="16"/>
      <c r="BD25" s="64" t="s">
        <v>531</v>
      </c>
      <c r="BE25" s="61">
        <v>4</v>
      </c>
      <c r="BF25" s="61">
        <v>70</v>
      </c>
      <c r="BG25" s="61">
        <v>1</v>
      </c>
      <c r="BH25" s="61">
        <f t="shared" si="18"/>
        <v>169</v>
      </c>
      <c r="BI25" s="61">
        <v>169</v>
      </c>
      <c r="BK25" s="63">
        <v>12</v>
      </c>
      <c r="BL25" s="63">
        <v>7</v>
      </c>
      <c r="BN25" s="63">
        <v>5</v>
      </c>
      <c r="BO25" s="63">
        <v>5</v>
      </c>
      <c r="BP25" s="63">
        <v>2</v>
      </c>
      <c r="BQ25" s="63">
        <v>2</v>
      </c>
      <c r="BR25" s="63">
        <v>0</v>
      </c>
      <c r="BS25" s="63">
        <v>0</v>
      </c>
      <c r="BT25" s="63">
        <v>0</v>
      </c>
    </row>
    <row r="26" spans="1:72" ht="16.5" x14ac:dyDescent="0.2">
      <c r="A26" s="59">
        <v>13</v>
      </c>
      <c r="B26" s="59">
        <v>4</v>
      </c>
      <c r="C26" s="22">
        <f t="shared" si="19"/>
        <v>0.2</v>
      </c>
      <c r="D26" s="59">
        <f t="shared" si="20"/>
        <v>760448</v>
      </c>
      <c r="E26" s="69">
        <v>50</v>
      </c>
      <c r="F26" s="69">
        <f t="shared" si="21"/>
        <v>3000</v>
      </c>
      <c r="G26" s="69">
        <f t="shared" si="17"/>
        <v>9100</v>
      </c>
      <c r="H26" s="69">
        <f t="shared" si="17"/>
        <v>21250</v>
      </c>
      <c r="I26" s="69">
        <f t="shared" si="17"/>
        <v>45600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69">
        <v>22</v>
      </c>
      <c r="AC26" s="69">
        <v>105</v>
      </c>
      <c r="AD26" s="69">
        <v>1606024</v>
      </c>
      <c r="AE26" s="69" t="s">
        <v>630</v>
      </c>
      <c r="AF26" s="69">
        <v>1</v>
      </c>
      <c r="AG26" s="69">
        <v>21</v>
      </c>
      <c r="AH26" s="69">
        <f>SUM(AG$5:AG26)</f>
        <v>414</v>
      </c>
      <c r="AK26" s="69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1200</v>
      </c>
      <c r="AX26" s="61">
        <v>13</v>
      </c>
      <c r="AY26" s="61">
        <f>INDEX(节奏总表!$I$4:$I$18,MATCH(AX26,节奏总表!$T$4:$T$18,1))</f>
        <v>9</v>
      </c>
      <c r="AZ26" s="15">
        <f>芦花古楼!BC18+芦花古楼!BD17</f>
        <v>575</v>
      </c>
      <c r="BA26" s="16"/>
      <c r="BD26" s="64" t="s">
        <v>532</v>
      </c>
      <c r="BE26" s="61">
        <v>5</v>
      </c>
      <c r="BF26" s="61">
        <v>100</v>
      </c>
      <c r="BG26" s="61">
        <v>1</v>
      </c>
      <c r="BH26" s="61">
        <f t="shared" si="18"/>
        <v>79</v>
      </c>
      <c r="BI26" s="61">
        <v>79</v>
      </c>
      <c r="BK26" s="63">
        <v>13</v>
      </c>
      <c r="BL26" s="63">
        <v>7</v>
      </c>
      <c r="BN26" s="63">
        <v>5</v>
      </c>
      <c r="BO26" s="63">
        <v>5</v>
      </c>
      <c r="BP26" s="63">
        <v>2</v>
      </c>
      <c r="BQ26" s="63">
        <v>2</v>
      </c>
      <c r="BR26" s="63">
        <v>1</v>
      </c>
      <c r="BS26" s="63">
        <v>0</v>
      </c>
      <c r="BT26" s="63">
        <v>0</v>
      </c>
    </row>
    <row r="27" spans="1:72" ht="16.5" x14ac:dyDescent="0.2">
      <c r="A27" s="59">
        <v>14</v>
      </c>
      <c r="B27" s="59">
        <v>4.5</v>
      </c>
      <c r="C27" s="22">
        <f t="shared" si="19"/>
        <v>0.22500000000000001</v>
      </c>
      <c r="D27" s="59">
        <f t="shared" si="20"/>
        <v>855504</v>
      </c>
      <c r="E27" s="69">
        <v>50</v>
      </c>
      <c r="F27" s="69">
        <f t="shared" si="21"/>
        <v>3400</v>
      </c>
      <c r="G27" s="69">
        <f t="shared" si="17"/>
        <v>10250</v>
      </c>
      <c r="H27" s="69">
        <f t="shared" si="17"/>
        <v>23950</v>
      </c>
      <c r="I27" s="69">
        <f t="shared" si="17"/>
        <v>51300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69">
        <v>23</v>
      </c>
      <c r="AC27" s="69">
        <v>105</v>
      </c>
      <c r="AD27" s="69">
        <v>1606025</v>
      </c>
      <c r="AE27" s="69" t="s">
        <v>631</v>
      </c>
      <c r="AF27" s="69">
        <v>2</v>
      </c>
      <c r="AG27" s="69">
        <v>21</v>
      </c>
      <c r="AH27" s="69">
        <f>SUM(AG$5:AG27)</f>
        <v>435</v>
      </c>
      <c r="AK27" s="69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1320</v>
      </c>
      <c r="AX27" s="61">
        <v>14</v>
      </c>
      <c r="AY27" s="61">
        <f>INDEX(节奏总表!$I$4:$I$18,MATCH(AX27,节奏总表!$T$4:$T$18,1))</f>
        <v>9</v>
      </c>
      <c r="AZ27" s="15">
        <f>芦花古楼!BC19+芦花古楼!BD18</f>
        <v>725</v>
      </c>
      <c r="BA27" s="16"/>
      <c r="BD27" s="64" t="s">
        <v>533</v>
      </c>
      <c r="BE27" s="61">
        <v>5</v>
      </c>
      <c r="BF27" s="61">
        <v>100</v>
      </c>
      <c r="BG27" s="61">
        <v>1</v>
      </c>
      <c r="BH27" s="61">
        <f t="shared" si="18"/>
        <v>79</v>
      </c>
      <c r="BI27" s="61">
        <v>79</v>
      </c>
      <c r="BK27" s="63">
        <v>14</v>
      </c>
      <c r="BL27" s="63">
        <v>7</v>
      </c>
      <c r="BN27" s="63">
        <v>5</v>
      </c>
      <c r="BO27" s="63">
        <v>5</v>
      </c>
      <c r="BP27" s="63">
        <v>2</v>
      </c>
      <c r="BQ27" s="63">
        <v>2</v>
      </c>
      <c r="BR27" s="63">
        <v>1</v>
      </c>
      <c r="BS27" s="63">
        <v>1</v>
      </c>
      <c r="BT27" s="63">
        <v>0</v>
      </c>
    </row>
    <row r="28" spans="1:72" ht="16.5" x14ac:dyDescent="0.2">
      <c r="A28" s="59">
        <v>15</v>
      </c>
      <c r="B28" s="59">
        <v>5</v>
      </c>
      <c r="C28" s="22">
        <f t="shared" si="19"/>
        <v>0.25</v>
      </c>
      <c r="D28" s="59">
        <f t="shared" si="20"/>
        <v>950560</v>
      </c>
      <c r="E28" s="69">
        <v>100</v>
      </c>
      <c r="F28" s="69">
        <f t="shared" si="21"/>
        <v>3800</v>
      </c>
      <c r="G28" s="69">
        <f t="shared" si="17"/>
        <v>11400</v>
      </c>
      <c r="H28" s="69">
        <f t="shared" si="17"/>
        <v>26600</v>
      </c>
      <c r="I28" s="69">
        <f t="shared" si="17"/>
        <v>57000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69">
        <v>24</v>
      </c>
      <c r="AC28" s="69">
        <v>105</v>
      </c>
      <c r="AD28" s="69">
        <v>1606026</v>
      </c>
      <c r="AE28" s="69" t="s">
        <v>632</v>
      </c>
      <c r="AF28" s="69">
        <v>2</v>
      </c>
      <c r="AG28" s="69">
        <v>21</v>
      </c>
      <c r="AH28" s="69">
        <f>SUM(AG$5:AG28)</f>
        <v>456</v>
      </c>
      <c r="AK28" s="69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1600</v>
      </c>
      <c r="AX28" s="61">
        <v>15</v>
      </c>
      <c r="AY28" s="61">
        <f>INDEX(节奏总表!$I$4:$I$18,MATCH(AX28,节奏总表!$T$4:$T$18,1))</f>
        <v>9</v>
      </c>
      <c r="AZ28" s="15">
        <f>芦花古楼!BC20+芦花古楼!BD19</f>
        <v>750</v>
      </c>
      <c r="BA28" s="16"/>
      <c r="BD28" s="64" t="s">
        <v>534</v>
      </c>
      <c r="BE28" s="61">
        <v>5</v>
      </c>
      <c r="BF28" s="61">
        <v>100</v>
      </c>
      <c r="BG28" s="61">
        <v>1</v>
      </c>
      <c r="BH28" s="61">
        <f t="shared" si="18"/>
        <v>79</v>
      </c>
      <c r="BI28" s="61">
        <v>79</v>
      </c>
      <c r="BK28" s="63">
        <v>15</v>
      </c>
      <c r="BL28" s="63">
        <v>10</v>
      </c>
      <c r="BN28" s="63">
        <v>5</v>
      </c>
      <c r="BO28" s="63">
        <v>5</v>
      </c>
      <c r="BP28" s="63">
        <v>2</v>
      </c>
      <c r="BQ28" s="63">
        <v>2</v>
      </c>
      <c r="BR28" s="63">
        <v>1</v>
      </c>
      <c r="BS28" s="63">
        <v>1</v>
      </c>
      <c r="BT28" s="63">
        <v>1</v>
      </c>
    </row>
    <row r="29" spans="1:72" ht="16.5" x14ac:dyDescent="0.2">
      <c r="A29" s="59">
        <v>16</v>
      </c>
      <c r="B29" s="59">
        <v>5.5</v>
      </c>
      <c r="C29" s="22">
        <f t="shared" si="19"/>
        <v>0.12790697674418605</v>
      </c>
      <c r="D29" s="59">
        <f t="shared" si="20"/>
        <v>2180084</v>
      </c>
      <c r="E29" s="69">
        <v>100</v>
      </c>
      <c r="F29" s="69">
        <f t="shared" si="21"/>
        <v>8700</v>
      </c>
      <c r="G29" s="69">
        <f t="shared" si="17"/>
        <v>26100</v>
      </c>
      <c r="H29" s="69">
        <f t="shared" si="17"/>
        <v>61000</v>
      </c>
      <c r="I29" s="69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69">
        <v>25</v>
      </c>
      <c r="AC29" s="69">
        <v>105</v>
      </c>
      <c r="AD29" s="69">
        <v>1606027</v>
      </c>
      <c r="AE29" s="69" t="s">
        <v>633</v>
      </c>
      <c r="AF29" s="69">
        <v>2</v>
      </c>
      <c r="AG29" s="69">
        <v>21</v>
      </c>
      <c r="AH29" s="69">
        <f>SUM(AG$5:AG29)</f>
        <v>477</v>
      </c>
      <c r="AK29" s="69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2250</v>
      </c>
      <c r="AX29" s="61">
        <v>16</v>
      </c>
      <c r="AY29" s="61">
        <f>INDEX(节奏总表!$I$4:$I$18,MATCH(AX29,节奏总表!$T$4:$T$18,1))</f>
        <v>9</v>
      </c>
      <c r="AZ29" s="15">
        <f>芦花古楼!BC21+芦花古楼!BD20</f>
        <v>770</v>
      </c>
      <c r="BA29" s="16"/>
      <c r="BD29" s="64" t="s">
        <v>535</v>
      </c>
      <c r="BE29" s="61">
        <v>5</v>
      </c>
      <c r="BF29" s="61">
        <v>100</v>
      </c>
      <c r="BG29" s="61">
        <v>1</v>
      </c>
      <c r="BH29" s="61">
        <f t="shared" si="18"/>
        <v>79</v>
      </c>
      <c r="BI29" s="61">
        <v>79</v>
      </c>
      <c r="BK29" s="63">
        <v>16</v>
      </c>
      <c r="BL29" s="63">
        <v>10</v>
      </c>
      <c r="BN29" s="63">
        <v>5</v>
      </c>
      <c r="BO29" s="63">
        <v>5</v>
      </c>
      <c r="BP29" s="63">
        <v>2</v>
      </c>
      <c r="BQ29" s="63">
        <v>2</v>
      </c>
      <c r="BR29" s="63">
        <v>1</v>
      </c>
      <c r="BS29" s="63">
        <v>1</v>
      </c>
      <c r="BT29" s="63">
        <v>1</v>
      </c>
    </row>
    <row r="30" spans="1:72" ht="16.5" x14ac:dyDescent="0.2">
      <c r="A30" s="59">
        <v>17</v>
      </c>
      <c r="B30" s="59">
        <v>6</v>
      </c>
      <c r="C30" s="22">
        <f t="shared" si="19"/>
        <v>0.13953488372093023</v>
      </c>
      <c r="D30" s="59">
        <f t="shared" si="20"/>
        <v>2378274</v>
      </c>
      <c r="E30" s="69">
        <v>100</v>
      </c>
      <c r="F30" s="69">
        <f t="shared" si="21"/>
        <v>9500</v>
      </c>
      <c r="G30" s="69">
        <f t="shared" si="21"/>
        <v>28500</v>
      </c>
      <c r="H30" s="69">
        <f t="shared" si="21"/>
        <v>66500</v>
      </c>
      <c r="I30" s="69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69">
        <v>26</v>
      </c>
      <c r="AC30" s="69">
        <v>105</v>
      </c>
      <c r="AD30" s="69">
        <v>1606028</v>
      </c>
      <c r="AE30" s="69" t="s">
        <v>634</v>
      </c>
      <c r="AF30" s="69">
        <v>3</v>
      </c>
      <c r="AG30" s="69">
        <v>21</v>
      </c>
      <c r="AH30" s="69">
        <f>SUM(AG$5:AG30)</f>
        <v>498</v>
      </c>
      <c r="AK30" s="69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2650</v>
      </c>
      <c r="AX30" s="61">
        <v>17</v>
      </c>
      <c r="AY30" s="61">
        <f>INDEX(节奏总表!$I$4:$I$18,MATCH(AX30,节奏总表!$T$4:$T$18,1))</f>
        <v>9</v>
      </c>
      <c r="AZ30" s="15">
        <f>芦花古楼!BC22+芦花古楼!BD21</f>
        <v>800</v>
      </c>
      <c r="BA30" s="16"/>
      <c r="BD30" s="64" t="s">
        <v>536</v>
      </c>
      <c r="BE30" s="61">
        <v>5</v>
      </c>
      <c r="BF30" s="61">
        <v>250</v>
      </c>
      <c r="BG30" s="61">
        <v>1</v>
      </c>
      <c r="BH30" s="61">
        <f t="shared" si="18"/>
        <v>79</v>
      </c>
      <c r="BI30" s="61">
        <v>80</v>
      </c>
      <c r="BK30" s="63">
        <v>17</v>
      </c>
      <c r="BL30" s="63">
        <v>10</v>
      </c>
      <c r="BN30" s="63"/>
      <c r="BO30" s="63"/>
      <c r="BP30" s="63"/>
      <c r="BQ30" s="63"/>
      <c r="BR30" s="63"/>
      <c r="BS30" s="63"/>
      <c r="BT30" s="63"/>
    </row>
    <row r="31" spans="1:72" ht="16.5" x14ac:dyDescent="0.2">
      <c r="A31" s="59">
        <v>18</v>
      </c>
      <c r="B31" s="59">
        <v>6.5</v>
      </c>
      <c r="C31" s="22">
        <f t="shared" si="19"/>
        <v>0.15116279069767441</v>
      </c>
      <c r="D31" s="59">
        <f t="shared" si="20"/>
        <v>2576463</v>
      </c>
      <c r="E31" s="69">
        <v>100</v>
      </c>
      <c r="F31" s="69">
        <f t="shared" si="21"/>
        <v>10300</v>
      </c>
      <c r="G31" s="69">
        <f t="shared" si="21"/>
        <v>30900</v>
      </c>
      <c r="H31" s="69">
        <f t="shared" si="21"/>
        <v>72100</v>
      </c>
      <c r="I31" s="69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69">
        <v>27</v>
      </c>
      <c r="AC31" s="69">
        <v>106</v>
      </c>
      <c r="AD31" s="69">
        <v>1606029</v>
      </c>
      <c r="AE31" s="69" t="s">
        <v>635</v>
      </c>
      <c r="AF31" s="69">
        <v>2</v>
      </c>
      <c r="AG31" s="69">
        <v>21</v>
      </c>
      <c r="AH31" s="69">
        <f>SUM(AG$5:AG31)</f>
        <v>519</v>
      </c>
      <c r="AK31" s="69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3000</v>
      </c>
      <c r="AX31" s="61">
        <v>18</v>
      </c>
      <c r="AY31" s="61">
        <f>INDEX(节奏总表!$I$4:$I$18,MATCH(AX31,节奏总表!$T$4:$T$18,1))</f>
        <v>10</v>
      </c>
      <c r="AZ31" s="15">
        <f>芦花古楼!BC23+芦花古楼!BD22</f>
        <v>815</v>
      </c>
      <c r="BA31" s="16"/>
      <c r="BD31" s="64" t="s">
        <v>537</v>
      </c>
      <c r="BE31" s="61">
        <v>5</v>
      </c>
      <c r="BF31" s="61">
        <v>250</v>
      </c>
      <c r="BG31" s="61">
        <v>1</v>
      </c>
      <c r="BH31" s="61">
        <f t="shared" si="18"/>
        <v>79</v>
      </c>
      <c r="BI31" s="61">
        <v>80</v>
      </c>
      <c r="BK31" s="63">
        <v>18</v>
      </c>
      <c r="BL31" s="63">
        <v>10</v>
      </c>
      <c r="BN31" s="63"/>
      <c r="BO31" s="63"/>
      <c r="BP31" s="63"/>
      <c r="BQ31" s="63"/>
      <c r="BR31" s="63"/>
      <c r="BS31" s="63"/>
      <c r="BT31" s="63"/>
    </row>
    <row r="32" spans="1:72" ht="16.5" x14ac:dyDescent="0.2">
      <c r="A32" s="59">
        <v>19</v>
      </c>
      <c r="B32" s="59">
        <v>7</v>
      </c>
      <c r="C32" s="22">
        <f t="shared" si="19"/>
        <v>0.16279069767441862</v>
      </c>
      <c r="D32" s="59">
        <f t="shared" si="20"/>
        <v>2774653</v>
      </c>
      <c r="E32" s="69">
        <v>100</v>
      </c>
      <c r="F32" s="69">
        <f t="shared" si="21"/>
        <v>11000</v>
      </c>
      <c r="G32" s="69">
        <f t="shared" si="21"/>
        <v>33200</v>
      </c>
      <c r="H32" s="69">
        <f t="shared" si="21"/>
        <v>77600</v>
      </c>
      <c r="I32" s="69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69">
        <v>28</v>
      </c>
      <c r="AC32" s="69">
        <v>106</v>
      </c>
      <c r="AD32" s="69">
        <v>1606030</v>
      </c>
      <c r="AE32" s="69" t="s">
        <v>636</v>
      </c>
      <c r="AF32" s="69">
        <v>2</v>
      </c>
      <c r="AG32" s="69">
        <v>21</v>
      </c>
      <c r="AH32" s="69">
        <f>SUM(AG$5:AG32)</f>
        <v>540</v>
      </c>
      <c r="AK32" s="69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3400</v>
      </c>
      <c r="AX32" s="61">
        <v>19</v>
      </c>
      <c r="AY32" s="61">
        <f>INDEX(节奏总表!$I$4:$I$18,MATCH(AX32,节奏总表!$T$4:$T$18,1))</f>
        <v>10</v>
      </c>
      <c r="AZ32" s="15">
        <f>芦花古楼!BC24+芦花古楼!BD23</f>
        <v>780</v>
      </c>
      <c r="BA32" s="16"/>
      <c r="BD32" s="64" t="s">
        <v>538</v>
      </c>
      <c r="BE32" s="61">
        <v>6</v>
      </c>
      <c r="BF32" s="61">
        <v>100</v>
      </c>
      <c r="BG32" s="61">
        <v>1</v>
      </c>
      <c r="BH32" s="61">
        <f t="shared" si="18"/>
        <v>79</v>
      </c>
      <c r="BI32" s="61">
        <v>79</v>
      </c>
      <c r="BK32" s="63">
        <v>19</v>
      </c>
      <c r="BL32" s="63">
        <v>10</v>
      </c>
      <c r="BN32" s="63"/>
      <c r="BO32" s="63"/>
      <c r="BP32" s="63"/>
      <c r="BQ32" s="63"/>
      <c r="BR32" s="63"/>
      <c r="BS32" s="63"/>
      <c r="BT32" s="63"/>
    </row>
    <row r="33" spans="1:72" ht="16.5" x14ac:dyDescent="0.2">
      <c r="A33" s="59">
        <v>20</v>
      </c>
      <c r="B33" s="59">
        <v>8</v>
      </c>
      <c r="C33" s="22">
        <f t="shared" si="19"/>
        <v>0.18604651162790697</v>
      </c>
      <c r="D33" s="59">
        <f t="shared" si="20"/>
        <v>3171032</v>
      </c>
      <c r="E33" s="69">
        <v>100</v>
      </c>
      <c r="F33" s="69">
        <f t="shared" si="21"/>
        <v>12600</v>
      </c>
      <c r="G33" s="69">
        <f t="shared" si="21"/>
        <v>38000</v>
      </c>
      <c r="H33" s="69">
        <f t="shared" si="21"/>
        <v>88700</v>
      </c>
      <c r="I33" s="69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69">
        <v>29</v>
      </c>
      <c r="AC33" s="69">
        <v>106</v>
      </c>
      <c r="AD33" s="69">
        <v>1606031</v>
      </c>
      <c r="AE33" s="69" t="s">
        <v>637</v>
      </c>
      <c r="AF33" s="69">
        <v>2</v>
      </c>
      <c r="AG33" s="69">
        <v>21</v>
      </c>
      <c r="AH33" s="69">
        <f>SUM(AG$5:AG33)</f>
        <v>561</v>
      </c>
      <c r="AK33" s="69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3800</v>
      </c>
      <c r="AX33" s="61">
        <v>20</v>
      </c>
      <c r="AY33" s="61">
        <f>INDEX(节奏总表!$I$4:$I$18,MATCH(AX33,节奏总表!$T$4:$T$18,1))</f>
        <v>10</v>
      </c>
      <c r="AZ33" s="15">
        <f>芦花古楼!BC25+芦花古楼!BD24</f>
        <v>735</v>
      </c>
      <c r="BA33" s="16"/>
      <c r="BD33" s="64" t="s">
        <v>539</v>
      </c>
      <c r="BE33" s="61">
        <v>6</v>
      </c>
      <c r="BF33" s="61">
        <v>100</v>
      </c>
      <c r="BG33" s="61">
        <v>1</v>
      </c>
      <c r="BH33" s="61">
        <f t="shared" si="18"/>
        <v>79</v>
      </c>
      <c r="BI33" s="61">
        <v>79</v>
      </c>
      <c r="BK33" s="63">
        <v>20</v>
      </c>
      <c r="BL33" s="63">
        <v>20</v>
      </c>
      <c r="BN33" s="63"/>
      <c r="BO33" s="63"/>
      <c r="BP33" s="63"/>
      <c r="BQ33" s="63"/>
      <c r="BR33" s="63"/>
      <c r="BS33" s="63"/>
      <c r="BT33" s="63"/>
    </row>
    <row r="34" spans="1:72" ht="16.5" x14ac:dyDescent="0.2">
      <c r="A34" s="59">
        <v>21</v>
      </c>
      <c r="B34" s="59">
        <v>10</v>
      </c>
      <c r="C34" s="22">
        <f t="shared" si="19"/>
        <v>0.23255813953488372</v>
      </c>
      <c r="D34" s="59">
        <f t="shared" si="20"/>
        <v>3963790</v>
      </c>
      <c r="E34" s="69">
        <v>100</v>
      </c>
      <c r="F34" s="69">
        <f t="shared" si="21"/>
        <v>15800</v>
      </c>
      <c r="G34" s="69">
        <f t="shared" si="21"/>
        <v>47500</v>
      </c>
      <c r="H34" s="69">
        <f t="shared" si="21"/>
        <v>110900</v>
      </c>
      <c r="I34" s="69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69">
        <v>30</v>
      </c>
      <c r="AC34" s="69">
        <v>106</v>
      </c>
      <c r="AD34" s="69">
        <v>1606032</v>
      </c>
      <c r="AE34" s="69" t="s">
        <v>638</v>
      </c>
      <c r="AF34" s="69">
        <v>3</v>
      </c>
      <c r="AG34" s="69">
        <v>21</v>
      </c>
      <c r="AH34" s="69">
        <f>SUM(AG$5:AG34)</f>
        <v>582</v>
      </c>
      <c r="AK34" s="69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1">
        <v>21</v>
      </c>
      <c r="AY34" s="61">
        <f>INDEX(节奏总表!$I$4:$I$18,MATCH(AX34,节奏总表!$T$4:$T$18,1))</f>
        <v>10</v>
      </c>
      <c r="AZ34" s="15">
        <f>芦花古楼!BC26+芦花古楼!BD25</f>
        <v>675</v>
      </c>
      <c r="BA34" s="16"/>
      <c r="BD34" s="64" t="s">
        <v>540</v>
      </c>
      <c r="BE34" s="61">
        <v>6</v>
      </c>
      <c r="BF34" s="61">
        <v>100</v>
      </c>
      <c r="BG34" s="61">
        <v>1</v>
      </c>
      <c r="BH34" s="61">
        <f t="shared" si="18"/>
        <v>79</v>
      </c>
      <c r="BI34" s="61">
        <v>79</v>
      </c>
      <c r="BK34" s="63">
        <v>21</v>
      </c>
      <c r="BL34" s="63">
        <v>20</v>
      </c>
      <c r="BN34" s="63"/>
      <c r="BO34" s="63"/>
      <c r="BP34" s="63"/>
      <c r="BQ34" s="63"/>
      <c r="BR34" s="63"/>
      <c r="BS34" s="63"/>
      <c r="BT34" s="63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69">
        <v>31</v>
      </c>
      <c r="AC35" s="69">
        <v>106</v>
      </c>
      <c r="AD35" s="69">
        <v>1606033</v>
      </c>
      <c r="AE35" s="69" t="s">
        <v>639</v>
      </c>
      <c r="AF35" s="69">
        <v>3</v>
      </c>
      <c r="AG35" s="69">
        <v>21</v>
      </c>
      <c r="AH35" s="69">
        <f>SUM(AG$5:AG35)</f>
        <v>603</v>
      </c>
      <c r="AK35" s="69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575</v>
      </c>
      <c r="AX35" s="61">
        <v>22</v>
      </c>
      <c r="AY35" s="61">
        <f>INDEX(节奏总表!$I$4:$I$18,MATCH(AX35,节奏总表!$T$4:$T$18,1))</f>
        <v>10</v>
      </c>
      <c r="AZ35" s="15">
        <f>芦花古楼!BC27+芦花古楼!BD26</f>
        <v>610</v>
      </c>
      <c r="BA35" s="16"/>
      <c r="BD35" s="64" t="s">
        <v>541</v>
      </c>
      <c r="BE35" s="61">
        <v>6</v>
      </c>
      <c r="BF35" s="61">
        <v>100</v>
      </c>
      <c r="BG35" s="61">
        <v>1</v>
      </c>
      <c r="BH35" s="61">
        <f t="shared" si="18"/>
        <v>79</v>
      </c>
      <c r="BI35" s="61">
        <v>79</v>
      </c>
      <c r="BK35" s="63">
        <v>22</v>
      </c>
      <c r="BL35" s="63">
        <v>20</v>
      </c>
      <c r="BN35" s="63"/>
      <c r="BO35" s="63"/>
      <c r="BP35" s="63"/>
      <c r="BQ35" s="63"/>
      <c r="BR35" s="63"/>
      <c r="BS35" s="63"/>
      <c r="BT35" s="63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69">
        <v>32</v>
      </c>
      <c r="AC36" s="69">
        <v>106</v>
      </c>
      <c r="AD36" s="69">
        <v>1606034</v>
      </c>
      <c r="AE36" s="69" t="s">
        <v>640</v>
      </c>
      <c r="AF36" s="69">
        <v>3</v>
      </c>
      <c r="AG36" s="69">
        <v>21</v>
      </c>
      <c r="AH36" s="69">
        <f>SUM(AG$5:AG36)</f>
        <v>624</v>
      </c>
      <c r="AK36" s="69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770</v>
      </c>
      <c r="AX36" s="61">
        <v>23</v>
      </c>
      <c r="AY36" s="61">
        <f>INDEX(节奏总表!$I$4:$I$18,MATCH(AX36,节奏总表!$T$4:$T$18,1))</f>
        <v>10</v>
      </c>
      <c r="AZ36" s="15">
        <f>芦花古楼!BC28+芦花古楼!BD27</f>
        <v>610</v>
      </c>
      <c r="BA36" s="16"/>
      <c r="BD36" s="64" t="s">
        <v>542</v>
      </c>
      <c r="BE36" s="61">
        <v>6</v>
      </c>
      <c r="BF36" s="61">
        <v>250</v>
      </c>
      <c r="BG36" s="61">
        <v>1</v>
      </c>
      <c r="BH36" s="61">
        <f t="shared" si="18"/>
        <v>79</v>
      </c>
      <c r="BI36" s="61">
        <v>80</v>
      </c>
      <c r="BK36" s="63">
        <v>23</v>
      </c>
      <c r="BL36" s="63">
        <v>20</v>
      </c>
      <c r="BN36" s="63"/>
      <c r="BO36" s="63"/>
      <c r="BP36" s="63"/>
      <c r="BQ36" s="63"/>
      <c r="BR36" s="63"/>
      <c r="BS36" s="63"/>
      <c r="BT36" s="63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69">
        <v>33</v>
      </c>
      <c r="AC37" s="69">
        <v>106</v>
      </c>
      <c r="AD37" s="69">
        <v>1606035</v>
      </c>
      <c r="AE37" s="69" t="s">
        <v>641</v>
      </c>
      <c r="AF37" s="69">
        <v>4</v>
      </c>
      <c r="AG37" s="69">
        <v>21</v>
      </c>
      <c r="AH37" s="69">
        <f>SUM(AG$5:AG37)</f>
        <v>645</v>
      </c>
      <c r="AK37" s="69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960</v>
      </c>
      <c r="AX37" s="61">
        <v>24</v>
      </c>
      <c r="AY37" s="61">
        <f>INDEX(节奏总表!$I$4:$I$18,MATCH(AX37,节奏总表!$T$4:$T$18,1))</f>
        <v>10</v>
      </c>
      <c r="AZ37" s="15">
        <f>芦花古楼!BC29+芦花古楼!BD28</f>
        <v>620</v>
      </c>
      <c r="BA37" s="16"/>
      <c r="BD37" s="64" t="s">
        <v>543</v>
      </c>
      <c r="BE37" s="61">
        <v>6</v>
      </c>
      <c r="BF37" s="61">
        <v>250</v>
      </c>
      <c r="BG37" s="61">
        <v>1</v>
      </c>
      <c r="BH37" s="61">
        <f t="shared" si="18"/>
        <v>79</v>
      </c>
      <c r="BI37" s="61">
        <v>80</v>
      </c>
      <c r="BK37" s="63">
        <v>24</v>
      </c>
      <c r="BL37" s="63">
        <v>20</v>
      </c>
      <c r="BN37" s="63"/>
      <c r="BO37" s="63"/>
      <c r="BP37" s="63"/>
      <c r="BQ37" s="63"/>
      <c r="BR37" s="63"/>
      <c r="BS37" s="63"/>
      <c r="BT37" s="63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69">
        <v>34</v>
      </c>
      <c r="AC38" s="69">
        <v>106</v>
      </c>
      <c r="AD38" s="69">
        <v>1606036</v>
      </c>
      <c r="AE38" s="69" t="s">
        <v>642</v>
      </c>
      <c r="AF38" s="69">
        <v>4</v>
      </c>
      <c r="AG38" s="69">
        <v>21</v>
      </c>
      <c r="AH38" s="69">
        <f>SUM(AG$5:AG38)</f>
        <v>666</v>
      </c>
      <c r="AK38" s="69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1150</v>
      </c>
      <c r="AX38" s="61">
        <v>25</v>
      </c>
      <c r="AY38" s="61">
        <f>INDEX(节奏总表!$I$4:$I$18,MATCH(AX38,节奏总表!$T$4:$T$18,1))</f>
        <v>10</v>
      </c>
      <c r="AZ38" s="15">
        <f>芦花古楼!BC30+芦花古楼!BD29</f>
        <v>630</v>
      </c>
      <c r="BA38" s="16"/>
      <c r="BD38" s="64" t="s">
        <v>544</v>
      </c>
      <c r="BE38" s="61">
        <v>7</v>
      </c>
      <c r="BF38" s="61">
        <v>100</v>
      </c>
      <c r="BG38" s="61">
        <v>1</v>
      </c>
      <c r="BH38" s="61">
        <f t="shared" si="18"/>
        <v>79</v>
      </c>
      <c r="BI38" s="61">
        <v>79</v>
      </c>
      <c r="BK38" s="63">
        <v>25</v>
      </c>
      <c r="BL38" s="63">
        <v>20</v>
      </c>
      <c r="BN38" s="63"/>
      <c r="BO38" s="63"/>
      <c r="BP38" s="63"/>
      <c r="BQ38" s="63"/>
      <c r="BR38" s="63"/>
      <c r="BS38" s="63"/>
      <c r="BT38" s="63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69">
        <v>35</v>
      </c>
      <c r="AC39" s="69">
        <v>107</v>
      </c>
      <c r="AD39" s="69">
        <v>1606037</v>
      </c>
      <c r="AE39" s="69" t="s">
        <v>643</v>
      </c>
      <c r="AF39" s="69">
        <v>2</v>
      </c>
      <c r="AG39" s="69">
        <v>21</v>
      </c>
      <c r="AH39" s="69">
        <f>SUM(AG$5:AG39)</f>
        <v>687</v>
      </c>
      <c r="AK39" s="69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2800</v>
      </c>
      <c r="AX39" s="61">
        <v>26</v>
      </c>
      <c r="AY39" s="61">
        <f>INDEX(节奏总表!$I$4:$I$18,MATCH(AX39,节奏总表!$T$4:$T$18,1))</f>
        <v>10</v>
      </c>
      <c r="AZ39" s="15">
        <f>芦花古楼!BC31+芦花古楼!BD30</f>
        <v>640</v>
      </c>
      <c r="BA39" s="16"/>
      <c r="BD39" s="64" t="s">
        <v>545</v>
      </c>
      <c r="BE39" s="61">
        <v>7</v>
      </c>
      <c r="BF39" s="61">
        <v>100</v>
      </c>
      <c r="BG39" s="61">
        <v>1</v>
      </c>
      <c r="BH39" s="61">
        <f t="shared" si="18"/>
        <v>79</v>
      </c>
      <c r="BI39" s="61">
        <v>79</v>
      </c>
      <c r="BK39" s="63">
        <v>26</v>
      </c>
      <c r="BL39" s="63">
        <v>20</v>
      </c>
      <c r="BN39" s="63"/>
      <c r="BO39" s="63"/>
      <c r="BP39" s="63"/>
      <c r="BQ39" s="63"/>
      <c r="BR39" s="63"/>
      <c r="BS39" s="63"/>
      <c r="BT39" s="63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69">
        <v>36</v>
      </c>
      <c r="AC40" s="69">
        <v>107</v>
      </c>
      <c r="AD40" s="69">
        <v>1606038</v>
      </c>
      <c r="AE40" s="69" t="s">
        <v>644</v>
      </c>
      <c r="AF40" s="69">
        <v>2</v>
      </c>
      <c r="AG40" s="69">
        <v>21</v>
      </c>
      <c r="AH40" s="69">
        <f>SUM(AG$5:AG40)</f>
        <v>708</v>
      </c>
      <c r="AK40" s="69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3200</v>
      </c>
      <c r="AX40" s="61">
        <v>27</v>
      </c>
      <c r="AY40" s="61">
        <f>INDEX(节奏总表!$I$4:$I$18,MATCH(AX40,节奏总表!$T$4:$T$18,1))</f>
        <v>10</v>
      </c>
      <c r="AZ40" s="15">
        <f>芦花古楼!BC32+芦花古楼!BD31</f>
        <v>650</v>
      </c>
      <c r="BA40" s="16"/>
      <c r="BD40" s="64" t="s">
        <v>546</v>
      </c>
      <c r="BE40" s="61">
        <v>7</v>
      </c>
      <c r="BF40" s="61">
        <v>100</v>
      </c>
      <c r="BG40" s="61">
        <v>1</v>
      </c>
      <c r="BH40" s="61">
        <f t="shared" si="18"/>
        <v>79</v>
      </c>
      <c r="BI40" s="61">
        <v>79</v>
      </c>
      <c r="BK40" s="63">
        <v>27</v>
      </c>
      <c r="BL40" s="63">
        <v>20</v>
      </c>
      <c r="BN40" s="63"/>
      <c r="BO40" s="63"/>
      <c r="BP40" s="63"/>
      <c r="BQ40" s="63"/>
      <c r="BR40" s="63"/>
      <c r="BS40" s="63"/>
      <c r="BT40" s="63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69">
        <v>37</v>
      </c>
      <c r="AC41" s="69">
        <v>107</v>
      </c>
      <c r="AD41" s="69">
        <v>1606039</v>
      </c>
      <c r="AE41" s="69" t="s">
        <v>645</v>
      </c>
      <c r="AF41" s="69">
        <v>2</v>
      </c>
      <c r="AG41" s="69">
        <v>21</v>
      </c>
      <c r="AH41" s="69">
        <f>SUM(AG$5:AG41)</f>
        <v>729</v>
      </c>
      <c r="AK41" s="69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3600</v>
      </c>
      <c r="AX41" s="61">
        <v>28</v>
      </c>
      <c r="AY41" s="61">
        <f>INDEX(节奏总表!$I$4:$I$18,MATCH(AX41,节奏总表!$T$4:$T$18,1))</f>
        <v>11</v>
      </c>
      <c r="AZ41" s="15">
        <f>芦花古楼!BC33+芦花古楼!BD32</f>
        <v>650</v>
      </c>
      <c r="BA41" s="16"/>
      <c r="BD41" s="64" t="s">
        <v>547</v>
      </c>
      <c r="BE41" s="61">
        <v>7</v>
      </c>
      <c r="BF41" s="61">
        <v>100</v>
      </c>
      <c r="BG41" s="61">
        <v>1</v>
      </c>
      <c r="BH41" s="61">
        <f t="shared" si="18"/>
        <v>79</v>
      </c>
      <c r="BI41" s="61">
        <v>79</v>
      </c>
      <c r="BK41" s="63">
        <v>28</v>
      </c>
      <c r="BL41" s="63">
        <v>20</v>
      </c>
      <c r="BN41" s="63"/>
      <c r="BO41" s="63"/>
      <c r="BP41" s="63"/>
      <c r="BQ41" s="63"/>
      <c r="BR41" s="63"/>
      <c r="BS41" s="63"/>
      <c r="BT41" s="63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9">
        <v>38</v>
      </c>
      <c r="AC42" s="69">
        <v>107</v>
      </c>
      <c r="AD42" s="69">
        <v>1606040</v>
      </c>
      <c r="AE42" s="69" t="s">
        <v>646</v>
      </c>
      <c r="AF42" s="69">
        <v>3</v>
      </c>
      <c r="AG42" s="69">
        <v>21</v>
      </c>
      <c r="AH42" s="69">
        <f>SUM(AG$5:AG42)</f>
        <v>750</v>
      </c>
      <c r="AK42" s="69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4000</v>
      </c>
      <c r="AX42" s="61">
        <v>29</v>
      </c>
      <c r="AY42" s="61">
        <f>INDEX(节奏总表!$I$4:$I$18,MATCH(AX42,节奏总表!$T$4:$T$18,1))</f>
        <v>11</v>
      </c>
      <c r="AZ42" s="15">
        <f>芦花古楼!BC34+芦花古楼!BD33</f>
        <v>660</v>
      </c>
      <c r="BA42" s="16"/>
      <c r="BD42" s="64" t="s">
        <v>548</v>
      </c>
      <c r="BE42" s="61">
        <v>7</v>
      </c>
      <c r="BF42" s="61">
        <v>250</v>
      </c>
      <c r="BG42" s="61">
        <v>1</v>
      </c>
      <c r="BH42" s="61">
        <f t="shared" si="18"/>
        <v>79</v>
      </c>
      <c r="BI42" s="61">
        <v>80</v>
      </c>
      <c r="BK42" s="63">
        <v>29</v>
      </c>
      <c r="BL42" s="63">
        <v>20</v>
      </c>
      <c r="BN42" s="63"/>
      <c r="BO42" s="63"/>
      <c r="BP42" s="63"/>
      <c r="BQ42" s="63"/>
      <c r="BR42" s="63"/>
      <c r="BS42" s="63"/>
      <c r="BT42" s="63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69">
        <v>39</v>
      </c>
      <c r="AC43" s="69">
        <v>107</v>
      </c>
      <c r="AD43" s="69">
        <v>1606041</v>
      </c>
      <c r="AE43" s="69" t="s">
        <v>647</v>
      </c>
      <c r="AF43" s="69">
        <v>3</v>
      </c>
      <c r="AG43" s="69">
        <v>21</v>
      </c>
      <c r="AH43" s="69">
        <f>SUM(AG$5:AG43)</f>
        <v>771</v>
      </c>
      <c r="AK43" s="69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4800</v>
      </c>
      <c r="AX43" s="61">
        <v>30</v>
      </c>
      <c r="AY43" s="61">
        <f>INDEX(节奏总表!$I$4:$I$18,MATCH(AX43,节奏总表!$T$4:$T$18,1))</f>
        <v>11</v>
      </c>
      <c r="AZ43" s="15">
        <f>芦花古楼!BC35+芦花古楼!BD34</f>
        <v>670</v>
      </c>
      <c r="BA43" s="16"/>
      <c r="BD43" s="64" t="s">
        <v>549</v>
      </c>
      <c r="BE43" s="61">
        <v>7</v>
      </c>
      <c r="BF43" s="61">
        <v>250</v>
      </c>
      <c r="BG43" s="61">
        <v>1</v>
      </c>
      <c r="BH43" s="61">
        <f t="shared" si="18"/>
        <v>79</v>
      </c>
      <c r="BI43" s="61">
        <v>80</v>
      </c>
      <c r="BK43" s="63">
        <v>30</v>
      </c>
      <c r="BL43" s="63">
        <v>30</v>
      </c>
      <c r="BN43" s="63"/>
      <c r="BO43" s="63"/>
      <c r="BP43" s="63"/>
      <c r="BQ43" s="63"/>
      <c r="BR43" s="63"/>
      <c r="BS43" s="63"/>
      <c r="BT43" s="63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69">
        <v>40</v>
      </c>
      <c r="AC44" s="69">
        <v>107</v>
      </c>
      <c r="AD44" s="69">
        <v>1606042</v>
      </c>
      <c r="AE44" s="69" t="s">
        <v>648</v>
      </c>
      <c r="AF44" s="69">
        <v>3</v>
      </c>
      <c r="AG44" s="69">
        <v>21</v>
      </c>
      <c r="AH44" s="69">
        <f>SUM(AG$5:AG44)</f>
        <v>792</v>
      </c>
      <c r="AK44" s="69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6800</v>
      </c>
      <c r="AX44" s="61">
        <v>31</v>
      </c>
      <c r="AY44" s="61">
        <f>INDEX(节奏总表!$I$4:$I$18,MATCH(AX44,节奏总表!$T$4:$T$18,1))</f>
        <v>11</v>
      </c>
      <c r="AZ44" s="15">
        <f>芦花古楼!BC36+芦花古楼!BD35</f>
        <v>605</v>
      </c>
      <c r="BA44" s="16"/>
      <c r="BD44" s="64" t="s">
        <v>520</v>
      </c>
      <c r="BE44" s="61">
        <v>1</v>
      </c>
      <c r="BF44" s="61">
        <v>20</v>
      </c>
      <c r="BG44" s="61">
        <v>2</v>
      </c>
      <c r="BH44" s="61">
        <f t="shared" ref="BH44:BH73" si="22">ROUND(INDEX($BD$3:$BD$9,BE44)*$BG$4*10000,0)</f>
        <v>354</v>
      </c>
      <c r="BI44" s="61">
        <v>354</v>
      </c>
      <c r="BK44" s="63">
        <v>31</v>
      </c>
      <c r="BL44" s="63">
        <v>30</v>
      </c>
      <c r="BN44" s="63"/>
      <c r="BO44" s="63"/>
      <c r="BP44" s="63"/>
      <c r="BQ44" s="63"/>
      <c r="BR44" s="63"/>
      <c r="BS44" s="63"/>
      <c r="BT44" s="63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69">
        <v>41</v>
      </c>
      <c r="AC45" s="69">
        <v>107</v>
      </c>
      <c r="AD45" s="69">
        <v>1606043</v>
      </c>
      <c r="AE45" s="69" t="s">
        <v>649</v>
      </c>
      <c r="AF45" s="69">
        <v>4</v>
      </c>
      <c r="AG45" s="69">
        <v>21</v>
      </c>
      <c r="AH45" s="69">
        <f>SUM(AG$5:AG45)</f>
        <v>813</v>
      </c>
      <c r="AK45" s="69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7950</v>
      </c>
      <c r="AX45" s="61">
        <v>32</v>
      </c>
      <c r="AY45" s="61">
        <f>INDEX(节奏总表!$I$4:$I$18,MATCH(AX45,节奏总表!$T$4:$T$18,1))</f>
        <v>11</v>
      </c>
      <c r="AZ45" s="15">
        <f>芦花古楼!BC37+芦花古楼!BD36</f>
        <v>610</v>
      </c>
      <c r="BA45" s="16"/>
      <c r="BD45" s="64" t="s">
        <v>521</v>
      </c>
      <c r="BE45" s="61">
        <v>1</v>
      </c>
      <c r="BF45" s="61">
        <v>20</v>
      </c>
      <c r="BG45" s="61">
        <v>2</v>
      </c>
      <c r="BH45" s="61">
        <f t="shared" si="22"/>
        <v>354</v>
      </c>
      <c r="BI45" s="61">
        <v>354</v>
      </c>
      <c r="BK45" s="63">
        <v>32</v>
      </c>
      <c r="BL45" s="63">
        <v>30</v>
      </c>
      <c r="BN45" s="63"/>
      <c r="BO45" s="63"/>
      <c r="BP45" s="63"/>
      <c r="BQ45" s="63"/>
      <c r="BR45" s="63"/>
      <c r="BS45" s="63"/>
      <c r="BT45" s="63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69">
        <v>42</v>
      </c>
      <c r="AC46" s="69">
        <v>107</v>
      </c>
      <c r="AD46" s="69">
        <v>1606044</v>
      </c>
      <c r="AE46" s="69" t="s">
        <v>650</v>
      </c>
      <c r="AF46" s="69">
        <v>4</v>
      </c>
      <c r="AG46" s="69">
        <v>21</v>
      </c>
      <c r="AH46" s="69">
        <f>SUM(AG$5:AG46)</f>
        <v>834</v>
      </c>
      <c r="AK46" s="69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9100</v>
      </c>
      <c r="AX46" s="61">
        <v>33</v>
      </c>
      <c r="AY46" s="61">
        <f>INDEX(节奏总表!$I$4:$I$18,MATCH(AX46,节奏总表!$T$4:$T$18,1))</f>
        <v>11</v>
      </c>
      <c r="AZ46" s="15">
        <f>芦花古楼!BC38+芦花古楼!BD37</f>
        <v>530</v>
      </c>
      <c r="BA46" s="16"/>
      <c r="BD46" s="64" t="s">
        <v>522</v>
      </c>
      <c r="BE46" s="61">
        <v>2</v>
      </c>
      <c r="BF46" s="61">
        <v>30</v>
      </c>
      <c r="BG46" s="61">
        <v>2</v>
      </c>
      <c r="BH46" s="61">
        <f t="shared" si="22"/>
        <v>236</v>
      </c>
      <c r="BI46" s="61">
        <v>236</v>
      </c>
      <c r="BK46" s="63">
        <v>33</v>
      </c>
      <c r="BL46" s="63">
        <v>30</v>
      </c>
      <c r="BN46" s="63"/>
      <c r="BO46" s="63"/>
      <c r="BP46" s="63"/>
      <c r="BQ46" s="63"/>
      <c r="BR46" s="63"/>
      <c r="BS46" s="63"/>
      <c r="BT46" s="63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69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10250</v>
      </c>
      <c r="AX47" s="61">
        <v>34</v>
      </c>
      <c r="AY47" s="61">
        <f>INDEX(节奏总表!$I$4:$I$18,MATCH(AX47,节奏总表!$T$4:$T$18,1))</f>
        <v>11</v>
      </c>
      <c r="AZ47" s="15">
        <f>芦花古楼!BC39+芦花古楼!BD38</f>
        <v>520</v>
      </c>
      <c r="BA47" s="16"/>
      <c r="BD47" s="64" t="s">
        <v>523</v>
      </c>
      <c r="BE47" s="61">
        <v>2</v>
      </c>
      <c r="BF47" s="61">
        <v>30</v>
      </c>
      <c r="BG47" s="61">
        <v>2</v>
      </c>
      <c r="BH47" s="61">
        <f t="shared" si="22"/>
        <v>236</v>
      </c>
      <c r="BI47" s="61">
        <v>236</v>
      </c>
      <c r="BK47" s="63">
        <v>34</v>
      </c>
      <c r="BL47" s="63">
        <v>30</v>
      </c>
      <c r="BN47" s="63"/>
      <c r="BO47" s="63"/>
      <c r="BP47" s="63"/>
      <c r="BQ47" s="63"/>
      <c r="BR47" s="63"/>
      <c r="BS47" s="63"/>
      <c r="BT47" s="63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69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11400</v>
      </c>
      <c r="AX48" s="61">
        <v>35</v>
      </c>
      <c r="AY48" s="61">
        <f>INDEX(节奏总表!$I$4:$I$18,MATCH(AX48,节奏总表!$T$4:$T$18,1))</f>
        <v>11</v>
      </c>
      <c r="AZ48" s="15">
        <f>芦花古楼!BC40+芦花古楼!BD39</f>
        <v>530</v>
      </c>
      <c r="BA48" s="16"/>
      <c r="BD48" s="64" t="s">
        <v>524</v>
      </c>
      <c r="BE48" s="61">
        <v>3</v>
      </c>
      <c r="BF48" s="61">
        <v>50</v>
      </c>
      <c r="BG48" s="61">
        <v>2</v>
      </c>
      <c r="BH48" s="61">
        <f t="shared" si="22"/>
        <v>142</v>
      </c>
      <c r="BI48" s="61">
        <v>142</v>
      </c>
      <c r="BK48" s="63">
        <v>35</v>
      </c>
      <c r="BL48" s="63">
        <v>30</v>
      </c>
      <c r="BN48" s="63"/>
      <c r="BO48" s="63"/>
      <c r="BP48" s="63"/>
      <c r="BQ48" s="63"/>
      <c r="BR48" s="63"/>
      <c r="BS48" s="63"/>
      <c r="BT48" s="63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69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1">
        <v>36</v>
      </c>
      <c r="AY49" s="61">
        <f>INDEX(节奏总表!$I$4:$I$18,MATCH(AX49,节奏总表!$T$4:$T$18,1))</f>
        <v>11</v>
      </c>
      <c r="AZ49" s="15">
        <f>芦花古楼!BC41+芦花古楼!BD40</f>
        <v>520</v>
      </c>
      <c r="BA49" s="16"/>
      <c r="BD49" s="64" t="s">
        <v>525</v>
      </c>
      <c r="BE49" s="61">
        <v>3</v>
      </c>
      <c r="BF49" s="61">
        <v>50</v>
      </c>
      <c r="BG49" s="61">
        <v>2</v>
      </c>
      <c r="BH49" s="61">
        <f t="shared" si="22"/>
        <v>142</v>
      </c>
      <c r="BI49" s="61">
        <v>142</v>
      </c>
      <c r="BK49" s="63">
        <v>36</v>
      </c>
      <c r="BL49" s="63">
        <v>30</v>
      </c>
      <c r="BN49" s="63"/>
      <c r="BO49" s="63"/>
      <c r="BP49" s="63"/>
      <c r="BQ49" s="63"/>
      <c r="BR49" s="63"/>
      <c r="BS49" s="63"/>
      <c r="BT49" s="63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69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190</v>
      </c>
      <c r="AX50" s="61">
        <v>37</v>
      </c>
      <c r="AY50" s="61">
        <f>INDEX(节奏总表!$I$4:$I$18,MATCH(AX50,节奏总表!$T$4:$T$18,1))</f>
        <v>11</v>
      </c>
      <c r="AZ50" s="15">
        <f>芦花古楼!BC42+芦花古楼!BD41</f>
        <v>535</v>
      </c>
      <c r="BA50" s="16"/>
      <c r="BD50" s="64" t="s">
        <v>526</v>
      </c>
      <c r="BE50" s="61">
        <v>3</v>
      </c>
      <c r="BF50" s="61">
        <v>50</v>
      </c>
      <c r="BG50" s="61">
        <v>2</v>
      </c>
      <c r="BH50" s="61">
        <f t="shared" si="22"/>
        <v>142</v>
      </c>
      <c r="BI50" s="61">
        <v>142</v>
      </c>
      <c r="BK50" s="63">
        <v>37</v>
      </c>
      <c r="BL50" s="63">
        <v>30</v>
      </c>
      <c r="BN50" s="63"/>
      <c r="BO50" s="63"/>
      <c r="BP50" s="63"/>
      <c r="BQ50" s="63"/>
      <c r="BR50" s="63"/>
      <c r="BS50" s="63"/>
      <c r="BT50" s="63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69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250</v>
      </c>
      <c r="AX51" s="61">
        <v>38</v>
      </c>
      <c r="AY51" s="61">
        <f>INDEX(节奏总表!$I$4:$I$18,MATCH(AX51,节奏总表!$T$4:$T$18,1))</f>
        <v>11</v>
      </c>
      <c r="AZ51" s="15">
        <f>芦花古楼!BC43+芦花古楼!BD42</f>
        <v>535</v>
      </c>
      <c r="BA51" s="16"/>
      <c r="BD51" s="64" t="s">
        <v>527</v>
      </c>
      <c r="BE51" s="61">
        <v>3</v>
      </c>
      <c r="BF51" s="61">
        <v>50</v>
      </c>
      <c r="BG51" s="61">
        <v>2</v>
      </c>
      <c r="BH51" s="61">
        <f t="shared" si="22"/>
        <v>142</v>
      </c>
      <c r="BI51" s="61">
        <v>142</v>
      </c>
      <c r="BK51" s="63">
        <v>38</v>
      </c>
      <c r="BL51" s="63">
        <v>30</v>
      </c>
      <c r="BN51" s="63"/>
      <c r="BO51" s="63"/>
      <c r="BP51" s="63"/>
      <c r="BQ51" s="63"/>
      <c r="BR51" s="63"/>
      <c r="BS51" s="63"/>
      <c r="BT51" s="63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69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320</v>
      </c>
      <c r="AX52" s="61">
        <v>39</v>
      </c>
      <c r="AY52" s="61">
        <f>INDEX(节奏总表!$I$4:$I$18,MATCH(AX52,节奏总表!$T$4:$T$18,1))</f>
        <v>11</v>
      </c>
      <c r="AZ52" s="15">
        <f>芦花古楼!BC44+芦花古楼!BD43</f>
        <v>550</v>
      </c>
      <c r="BA52" s="16"/>
      <c r="BD52" s="64" t="s">
        <v>528</v>
      </c>
      <c r="BE52" s="61">
        <v>4</v>
      </c>
      <c r="BF52" s="61">
        <v>70</v>
      </c>
      <c r="BG52" s="61">
        <v>2</v>
      </c>
      <c r="BH52" s="61">
        <f t="shared" si="22"/>
        <v>101</v>
      </c>
      <c r="BI52" s="61">
        <v>101</v>
      </c>
      <c r="BK52" s="63">
        <v>39</v>
      </c>
      <c r="BL52" s="63">
        <v>30</v>
      </c>
      <c r="BN52" s="63"/>
      <c r="BO52" s="63"/>
      <c r="BP52" s="63"/>
      <c r="BQ52" s="63"/>
      <c r="BR52" s="63"/>
      <c r="BS52" s="63"/>
      <c r="BT52" s="63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69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380</v>
      </c>
      <c r="AX53" s="61">
        <v>40</v>
      </c>
      <c r="AY53" s="61">
        <f>INDEX(节奏总表!$I$4:$I$18,MATCH(AX53,节奏总表!$T$4:$T$18,1))</f>
        <v>11</v>
      </c>
      <c r="AZ53" s="15">
        <f>芦花古楼!BC45+芦花古楼!BD44</f>
        <v>550</v>
      </c>
      <c r="BA53" s="16"/>
      <c r="BD53" s="64" t="s">
        <v>529</v>
      </c>
      <c r="BE53" s="61">
        <v>4</v>
      </c>
      <c r="BF53" s="61">
        <v>70</v>
      </c>
      <c r="BG53" s="61">
        <v>2</v>
      </c>
      <c r="BH53" s="61">
        <f t="shared" si="22"/>
        <v>101</v>
      </c>
      <c r="BI53" s="61">
        <v>101</v>
      </c>
      <c r="BK53" s="63">
        <v>40</v>
      </c>
      <c r="BL53" s="63">
        <v>50</v>
      </c>
      <c r="BN53" s="63"/>
      <c r="BO53" s="63"/>
      <c r="BP53" s="63"/>
      <c r="BQ53" s="63"/>
      <c r="BR53" s="63"/>
      <c r="BS53" s="63"/>
      <c r="BT53" s="63"/>
    </row>
    <row r="54" spans="1:72" ht="16.5" x14ac:dyDescent="0.2">
      <c r="AK54" s="69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920</v>
      </c>
      <c r="AX54" s="61">
        <v>41</v>
      </c>
      <c r="AY54" s="61">
        <f>INDEX(节奏总表!$I$4:$I$18,MATCH(AX54,节奏总表!$T$4:$T$18,1))</f>
        <v>11</v>
      </c>
      <c r="AZ54" s="15">
        <f>芦花古楼!BC46+芦花古楼!BD45</f>
        <v>560</v>
      </c>
      <c r="BA54" s="16"/>
      <c r="BD54" s="64" t="s">
        <v>530</v>
      </c>
      <c r="BE54" s="61">
        <v>4</v>
      </c>
      <c r="BF54" s="61">
        <v>70</v>
      </c>
      <c r="BG54" s="61">
        <v>2</v>
      </c>
      <c r="BH54" s="61">
        <f t="shared" si="22"/>
        <v>101</v>
      </c>
      <c r="BI54" s="61">
        <v>101</v>
      </c>
      <c r="BN54" s="63"/>
      <c r="BO54" s="63"/>
      <c r="BP54" s="63"/>
      <c r="BQ54" s="63"/>
      <c r="BR54" s="63"/>
      <c r="BS54" s="63"/>
      <c r="BT54" s="63"/>
    </row>
    <row r="55" spans="1:72" ht="16.5" x14ac:dyDescent="0.2">
      <c r="AK55" s="69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1060</v>
      </c>
      <c r="AX55" s="61">
        <v>42</v>
      </c>
      <c r="AY55" s="61">
        <f>INDEX(节奏总表!$I$4:$I$18,MATCH(AX55,节奏总表!$T$4:$T$18,1))</f>
        <v>12</v>
      </c>
      <c r="AZ55" s="15">
        <f>芦花古楼!BC47+芦花古楼!BD46</f>
        <v>550</v>
      </c>
      <c r="BA55" s="16"/>
      <c r="BD55" s="64" t="s">
        <v>531</v>
      </c>
      <c r="BE55" s="61">
        <v>4</v>
      </c>
      <c r="BF55" s="61">
        <v>70</v>
      </c>
      <c r="BG55" s="61">
        <v>2</v>
      </c>
      <c r="BH55" s="61">
        <f t="shared" si="22"/>
        <v>101</v>
      </c>
      <c r="BI55" s="61">
        <v>101</v>
      </c>
      <c r="BN55" s="63"/>
      <c r="BO55" s="63"/>
      <c r="BP55" s="63"/>
      <c r="BQ55" s="63"/>
      <c r="BR55" s="63"/>
      <c r="BS55" s="63"/>
      <c r="BT55" s="63"/>
    </row>
    <row r="56" spans="1:72" ht="16.5" x14ac:dyDescent="0.2">
      <c r="AK56" s="69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1200</v>
      </c>
      <c r="AX56" s="61">
        <v>43</v>
      </c>
      <c r="AY56" s="61">
        <f>INDEX(节奏总表!$I$4:$I$18,MATCH(AX56,节奏总表!$T$4:$T$18,1))</f>
        <v>12</v>
      </c>
      <c r="AZ56" s="15">
        <f>芦花古楼!BC48+芦花古楼!BD47</f>
        <v>560</v>
      </c>
      <c r="BA56" s="16"/>
      <c r="BD56" s="64" t="s">
        <v>532</v>
      </c>
      <c r="BE56" s="61">
        <v>5</v>
      </c>
      <c r="BF56" s="61">
        <v>100</v>
      </c>
      <c r="BG56" s="61">
        <v>2</v>
      </c>
      <c r="BH56" s="61">
        <f t="shared" si="22"/>
        <v>47</v>
      </c>
      <c r="BI56" s="61">
        <v>47</v>
      </c>
      <c r="BN56" s="63"/>
      <c r="BO56" s="63"/>
      <c r="BP56" s="63"/>
      <c r="BQ56" s="63"/>
      <c r="BR56" s="63"/>
      <c r="BS56" s="63"/>
      <c r="BT56" s="63"/>
    </row>
    <row r="57" spans="1:72" ht="16.5" x14ac:dyDescent="0.2">
      <c r="AK57" s="69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1320</v>
      </c>
      <c r="AX57" s="61">
        <v>44</v>
      </c>
      <c r="AY57" s="61">
        <f>INDEX(节奏总表!$I$4:$I$18,MATCH(AX57,节奏总表!$T$4:$T$18,1))</f>
        <v>12</v>
      </c>
      <c r="AZ57" s="15">
        <f>芦花古楼!BC49+芦花古楼!BD48</f>
        <v>550</v>
      </c>
      <c r="BA57" s="16"/>
      <c r="BD57" s="64" t="s">
        <v>533</v>
      </c>
      <c r="BE57" s="61">
        <v>5</v>
      </c>
      <c r="BF57" s="61">
        <v>100</v>
      </c>
      <c r="BG57" s="61">
        <v>2</v>
      </c>
      <c r="BH57" s="61">
        <f t="shared" si="22"/>
        <v>47</v>
      </c>
      <c r="BI57" s="61">
        <v>47</v>
      </c>
      <c r="BN57" s="63"/>
      <c r="BO57" s="63"/>
      <c r="BP57" s="63"/>
      <c r="BQ57" s="63"/>
      <c r="BR57" s="63"/>
      <c r="BS57" s="63"/>
      <c r="BT57" s="63"/>
    </row>
    <row r="58" spans="1:72" ht="16.5" x14ac:dyDescent="0.2">
      <c r="AK58" s="69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1600</v>
      </c>
      <c r="AX58" s="61">
        <v>45</v>
      </c>
      <c r="AY58" s="61">
        <f>INDEX(节奏总表!$I$4:$I$18,MATCH(AX58,节奏总表!$T$4:$T$18,1))</f>
        <v>12</v>
      </c>
      <c r="AZ58" s="15">
        <f>芦花古楼!BC50+芦花古楼!BD49</f>
        <v>560</v>
      </c>
      <c r="BA58" s="16"/>
      <c r="BD58" s="64" t="s">
        <v>534</v>
      </c>
      <c r="BE58" s="61">
        <v>5</v>
      </c>
      <c r="BF58" s="61">
        <v>100</v>
      </c>
      <c r="BG58" s="61">
        <v>2</v>
      </c>
      <c r="BH58" s="61">
        <f t="shared" si="22"/>
        <v>47</v>
      </c>
      <c r="BI58" s="61">
        <v>47</v>
      </c>
      <c r="BN58" s="63"/>
      <c r="BO58" s="63"/>
      <c r="BP58" s="63"/>
      <c r="BQ58" s="63"/>
      <c r="BR58" s="63"/>
      <c r="BS58" s="63"/>
      <c r="BT58" s="63"/>
    </row>
    <row r="59" spans="1:72" ht="16.5" x14ac:dyDescent="0.2">
      <c r="AK59" s="69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2250</v>
      </c>
      <c r="AX59" s="61">
        <v>46</v>
      </c>
      <c r="AY59" s="61">
        <f>INDEX(节奏总表!$I$4:$I$18,MATCH(AX59,节奏总表!$T$4:$T$18,1))</f>
        <v>12</v>
      </c>
      <c r="AZ59" s="15">
        <f>芦花古楼!BC51+芦花古楼!BD50</f>
        <v>550</v>
      </c>
      <c r="BA59" s="16"/>
      <c r="BD59" s="64" t="s">
        <v>535</v>
      </c>
      <c r="BE59" s="61">
        <v>5</v>
      </c>
      <c r="BF59" s="61">
        <v>100</v>
      </c>
      <c r="BG59" s="61">
        <v>2</v>
      </c>
      <c r="BH59" s="61">
        <f t="shared" si="22"/>
        <v>47</v>
      </c>
      <c r="BI59" s="61">
        <v>47</v>
      </c>
      <c r="BN59" s="63"/>
      <c r="BO59" s="63"/>
      <c r="BP59" s="63"/>
      <c r="BQ59" s="63"/>
      <c r="BR59" s="63"/>
      <c r="BS59" s="63"/>
      <c r="BT59" s="63"/>
    </row>
    <row r="60" spans="1:72" ht="16.5" x14ac:dyDescent="0.2">
      <c r="AK60" s="69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2650</v>
      </c>
      <c r="AX60" s="61">
        <v>47</v>
      </c>
      <c r="AY60" s="61">
        <f>INDEX(节奏总表!$I$4:$I$18,MATCH(AX60,节奏总表!$T$4:$T$18,1))</f>
        <v>12</v>
      </c>
      <c r="AZ60" s="15">
        <f>芦花古楼!BC52+芦花古楼!BD51</f>
        <v>565</v>
      </c>
      <c r="BA60" s="16"/>
      <c r="BD60" s="64" t="s">
        <v>536</v>
      </c>
      <c r="BE60" s="61">
        <v>5</v>
      </c>
      <c r="BF60" s="61">
        <v>250</v>
      </c>
      <c r="BG60" s="61">
        <v>2</v>
      </c>
      <c r="BH60" s="61">
        <f t="shared" si="22"/>
        <v>47</v>
      </c>
      <c r="BI60" s="61">
        <v>47</v>
      </c>
      <c r="BN60" s="63"/>
      <c r="BO60" s="63"/>
      <c r="BP60" s="63"/>
      <c r="BQ60" s="63"/>
      <c r="BR60" s="63"/>
      <c r="BS60" s="63"/>
      <c r="BT60" s="63"/>
    </row>
    <row r="61" spans="1:72" ht="16.5" x14ac:dyDescent="0.2">
      <c r="AK61" s="69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3000</v>
      </c>
      <c r="AX61" s="61">
        <v>48</v>
      </c>
      <c r="AY61" s="61">
        <f>INDEX(节奏总表!$I$4:$I$18,MATCH(AX61,节奏总表!$T$4:$T$18,1))</f>
        <v>12</v>
      </c>
      <c r="AZ61" s="15">
        <f>芦花古楼!BC53+芦花古楼!BD52</f>
        <v>565</v>
      </c>
      <c r="BA61" s="16"/>
      <c r="BD61" s="64" t="s">
        <v>537</v>
      </c>
      <c r="BE61" s="61">
        <v>5</v>
      </c>
      <c r="BF61" s="61">
        <v>250</v>
      </c>
      <c r="BG61" s="61">
        <v>2</v>
      </c>
      <c r="BH61" s="61">
        <f t="shared" si="22"/>
        <v>47</v>
      </c>
      <c r="BI61" s="61">
        <v>47</v>
      </c>
      <c r="BN61" s="63"/>
      <c r="BO61" s="63"/>
      <c r="BP61" s="63"/>
      <c r="BQ61" s="63"/>
      <c r="BR61" s="63"/>
      <c r="BS61" s="63"/>
      <c r="BT61" s="63"/>
    </row>
    <row r="62" spans="1:72" ht="16.5" x14ac:dyDescent="0.2">
      <c r="AK62" s="69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3400</v>
      </c>
      <c r="AX62" s="61">
        <v>49</v>
      </c>
      <c r="AY62" s="61">
        <f>INDEX(节奏总表!$I$4:$I$18,MATCH(AX62,节奏总表!$T$4:$T$18,1))</f>
        <v>12</v>
      </c>
      <c r="AZ62" s="15">
        <f>芦花古楼!BC54+芦花古楼!BD53</f>
        <v>580</v>
      </c>
      <c r="BA62" s="16"/>
      <c r="BD62" s="64" t="s">
        <v>538</v>
      </c>
      <c r="BE62" s="61">
        <v>6</v>
      </c>
      <c r="BF62" s="61">
        <v>100</v>
      </c>
      <c r="BG62" s="61">
        <v>2</v>
      </c>
      <c r="BH62" s="61">
        <f t="shared" si="22"/>
        <v>47</v>
      </c>
      <c r="BI62" s="61">
        <v>47</v>
      </c>
      <c r="BN62" s="63"/>
      <c r="BO62" s="63"/>
      <c r="BP62" s="63"/>
      <c r="BQ62" s="63"/>
      <c r="BR62" s="63"/>
      <c r="BS62" s="63"/>
      <c r="BT62" s="63"/>
    </row>
    <row r="63" spans="1:72" ht="16.5" x14ac:dyDescent="0.2">
      <c r="AK63" s="69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3800</v>
      </c>
      <c r="AX63" s="61">
        <v>50</v>
      </c>
      <c r="AY63" s="61">
        <f>INDEX(节奏总表!$I$4:$I$18,MATCH(AX63,节奏总表!$T$4:$T$18,1))</f>
        <v>12</v>
      </c>
      <c r="AZ63" s="15">
        <f>芦花古楼!BC55+芦花古楼!BD54</f>
        <v>580</v>
      </c>
      <c r="BA63" s="16"/>
      <c r="BD63" s="64" t="s">
        <v>539</v>
      </c>
      <c r="BE63" s="61">
        <v>6</v>
      </c>
      <c r="BF63" s="61">
        <v>100</v>
      </c>
      <c r="BG63" s="61">
        <v>2</v>
      </c>
      <c r="BH63" s="61">
        <f t="shared" si="22"/>
        <v>47</v>
      </c>
      <c r="BI63" s="61">
        <v>47</v>
      </c>
      <c r="BN63" s="63"/>
      <c r="BO63" s="63"/>
      <c r="BP63" s="63"/>
      <c r="BQ63" s="63"/>
      <c r="BR63" s="63"/>
      <c r="BS63" s="63"/>
      <c r="BT63" s="63"/>
    </row>
    <row r="64" spans="1:72" ht="16.5" x14ac:dyDescent="0.2">
      <c r="AK64" s="69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1">
        <v>51</v>
      </c>
      <c r="AY64" s="61">
        <f>INDEX(节奏总表!$I$4:$I$18,MATCH(AX64,节奏总表!$T$4:$T$18,1))</f>
        <v>12</v>
      </c>
      <c r="AZ64" s="15">
        <f>芦花古楼!BC56+芦花古楼!BD55</f>
        <v>590</v>
      </c>
      <c r="BA64" s="16"/>
      <c r="BD64" s="64" t="s">
        <v>540</v>
      </c>
      <c r="BE64" s="61">
        <v>6</v>
      </c>
      <c r="BF64" s="61">
        <v>100</v>
      </c>
      <c r="BG64" s="61">
        <v>2</v>
      </c>
      <c r="BH64" s="61">
        <f t="shared" si="22"/>
        <v>47</v>
      </c>
      <c r="BI64" s="61">
        <v>47</v>
      </c>
      <c r="BN64" s="63"/>
      <c r="BO64" s="63"/>
      <c r="BP64" s="63"/>
      <c r="BQ64" s="63"/>
      <c r="BR64" s="63"/>
      <c r="BS64" s="63"/>
      <c r="BT64" s="63"/>
    </row>
    <row r="65" spans="37:72" ht="16.5" x14ac:dyDescent="0.2">
      <c r="AK65" s="69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190</v>
      </c>
      <c r="AX65" s="61">
        <v>52</v>
      </c>
      <c r="AY65" s="61">
        <f>INDEX(节奏总表!$I$4:$I$18,MATCH(AX65,节奏总表!$T$4:$T$18,1))</f>
        <v>12</v>
      </c>
      <c r="AZ65" s="15">
        <f>芦花古楼!BC57+芦花古楼!BD56</f>
        <v>580</v>
      </c>
      <c r="BA65" s="16"/>
      <c r="BD65" s="64" t="s">
        <v>541</v>
      </c>
      <c r="BE65" s="61">
        <v>6</v>
      </c>
      <c r="BF65" s="61">
        <v>100</v>
      </c>
      <c r="BG65" s="61">
        <v>2</v>
      </c>
      <c r="BH65" s="61">
        <f t="shared" si="22"/>
        <v>47</v>
      </c>
      <c r="BI65" s="61">
        <v>47</v>
      </c>
      <c r="BN65" s="63"/>
      <c r="BO65" s="63"/>
      <c r="BP65" s="63"/>
      <c r="BQ65" s="63"/>
      <c r="BR65" s="63"/>
      <c r="BS65" s="63"/>
      <c r="BT65" s="63"/>
    </row>
    <row r="66" spans="37:72" ht="16.5" x14ac:dyDescent="0.2">
      <c r="AK66" s="69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250</v>
      </c>
      <c r="AX66" s="61">
        <v>53</v>
      </c>
      <c r="AY66" s="61">
        <f>INDEX(节奏总表!$I$4:$I$18,MATCH(AX66,节奏总表!$T$4:$T$18,1))</f>
        <v>12</v>
      </c>
      <c r="AZ66" s="15">
        <f>芦花古楼!BC58+芦花古楼!BD57</f>
        <v>590</v>
      </c>
      <c r="BA66" s="16"/>
      <c r="BD66" s="64" t="s">
        <v>542</v>
      </c>
      <c r="BE66" s="61">
        <v>6</v>
      </c>
      <c r="BF66" s="61">
        <v>250</v>
      </c>
      <c r="BG66" s="61">
        <v>2</v>
      </c>
      <c r="BH66" s="61">
        <f t="shared" si="22"/>
        <v>47</v>
      </c>
      <c r="BI66" s="61">
        <v>47</v>
      </c>
      <c r="BN66" s="63"/>
      <c r="BO66" s="63"/>
      <c r="BP66" s="63"/>
      <c r="BQ66" s="63"/>
      <c r="BR66" s="63"/>
      <c r="BS66" s="63"/>
      <c r="BT66" s="63"/>
    </row>
    <row r="67" spans="37:72" ht="16.5" x14ac:dyDescent="0.2">
      <c r="AK67" s="69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320</v>
      </c>
      <c r="AX67" s="61">
        <v>54</v>
      </c>
      <c r="AY67" s="61">
        <f>INDEX(节奏总表!$I$4:$I$18,MATCH(AX67,节奏总表!$T$4:$T$18,1))</f>
        <v>12</v>
      </c>
      <c r="AZ67" s="15">
        <f>芦花古楼!BC59+芦花古楼!BD58</f>
        <v>580</v>
      </c>
      <c r="BA67" s="16"/>
      <c r="BD67" s="64" t="s">
        <v>543</v>
      </c>
      <c r="BE67" s="61">
        <v>6</v>
      </c>
      <c r="BF67" s="61">
        <v>250</v>
      </c>
      <c r="BG67" s="61">
        <v>2</v>
      </c>
      <c r="BH67" s="61">
        <f t="shared" si="22"/>
        <v>47</v>
      </c>
      <c r="BI67" s="61">
        <v>47</v>
      </c>
      <c r="BN67" s="63"/>
      <c r="BO67" s="63"/>
      <c r="BP67" s="63"/>
      <c r="BQ67" s="63"/>
      <c r="BR67" s="63"/>
      <c r="BS67" s="63"/>
      <c r="BT67" s="63"/>
    </row>
    <row r="68" spans="37:72" ht="16.5" x14ac:dyDescent="0.2">
      <c r="AK68" s="69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380</v>
      </c>
      <c r="AX68" s="61">
        <v>55</v>
      </c>
      <c r="AY68" s="61">
        <f>INDEX(节奏总表!$I$4:$I$18,MATCH(AX68,节奏总表!$T$4:$T$18,1))</f>
        <v>12</v>
      </c>
      <c r="AZ68" s="15">
        <f>芦花古楼!BC60+芦花古楼!BD59</f>
        <v>590</v>
      </c>
      <c r="BA68" s="16"/>
      <c r="BD68" s="64" t="s">
        <v>544</v>
      </c>
      <c r="BE68" s="61">
        <v>7</v>
      </c>
      <c r="BF68" s="61">
        <v>100</v>
      </c>
      <c r="BG68" s="61">
        <v>2</v>
      </c>
      <c r="BH68" s="61">
        <f t="shared" si="22"/>
        <v>47</v>
      </c>
      <c r="BI68" s="61">
        <v>47</v>
      </c>
      <c r="BN68" s="63"/>
      <c r="BO68" s="63"/>
      <c r="BP68" s="63"/>
      <c r="BQ68" s="63"/>
      <c r="BR68" s="63"/>
      <c r="BS68" s="63"/>
      <c r="BT68" s="63"/>
    </row>
    <row r="69" spans="37:72" ht="16.5" x14ac:dyDescent="0.2">
      <c r="AK69" s="69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920</v>
      </c>
      <c r="AX69" s="61">
        <v>56</v>
      </c>
      <c r="AY69" s="61">
        <f>INDEX(节奏总表!$I$4:$I$18,MATCH(AX69,节奏总表!$T$4:$T$18,1))</f>
        <v>12</v>
      </c>
      <c r="AZ69" s="15">
        <f>芦花古楼!BC61+芦花古楼!BD60</f>
        <v>580</v>
      </c>
      <c r="BA69" s="16"/>
      <c r="BD69" s="64" t="s">
        <v>545</v>
      </c>
      <c r="BE69" s="61">
        <v>7</v>
      </c>
      <c r="BF69" s="61">
        <v>100</v>
      </c>
      <c r="BG69" s="61">
        <v>2</v>
      </c>
      <c r="BH69" s="61">
        <f t="shared" si="22"/>
        <v>47</v>
      </c>
      <c r="BI69" s="61">
        <v>47</v>
      </c>
      <c r="BN69" s="63"/>
      <c r="BO69" s="63"/>
      <c r="BP69" s="63"/>
      <c r="BQ69" s="63"/>
      <c r="BR69" s="63"/>
      <c r="BS69" s="63"/>
      <c r="BT69" s="63"/>
    </row>
    <row r="70" spans="37:72" ht="16.5" x14ac:dyDescent="0.2">
      <c r="AK70" s="69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1060</v>
      </c>
      <c r="AX70" s="61">
        <v>57</v>
      </c>
      <c r="AY70" s="61">
        <f>INDEX(节奏总表!$I$4:$I$18,MATCH(AX70,节奏总表!$T$4:$T$18,1))</f>
        <v>12</v>
      </c>
      <c r="AZ70" s="15">
        <f>芦花古楼!BC62+芦花古楼!BD61</f>
        <v>595</v>
      </c>
      <c r="BA70" s="16"/>
      <c r="BD70" s="64" t="s">
        <v>546</v>
      </c>
      <c r="BE70" s="61">
        <v>7</v>
      </c>
      <c r="BF70" s="61">
        <v>100</v>
      </c>
      <c r="BG70" s="61">
        <v>2</v>
      </c>
      <c r="BH70" s="61">
        <f t="shared" si="22"/>
        <v>47</v>
      </c>
      <c r="BI70" s="61">
        <v>47</v>
      </c>
      <c r="BN70" s="63"/>
      <c r="BO70" s="63"/>
      <c r="BP70" s="63"/>
      <c r="BQ70" s="63"/>
      <c r="BR70" s="63"/>
      <c r="BS70" s="63"/>
      <c r="BT70" s="63"/>
    </row>
    <row r="71" spans="37:72" ht="16.5" x14ac:dyDescent="0.2">
      <c r="AK71" s="69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1200</v>
      </c>
      <c r="AX71" s="61">
        <v>58</v>
      </c>
      <c r="AY71" s="61">
        <f>INDEX(节奏总表!$I$4:$I$18,MATCH(AX71,节奏总表!$T$4:$T$18,1))</f>
        <v>12</v>
      </c>
      <c r="AZ71" s="15">
        <f>芦花古楼!BC63+芦花古楼!BD62</f>
        <v>595</v>
      </c>
      <c r="BA71" s="16"/>
      <c r="BD71" s="64" t="s">
        <v>547</v>
      </c>
      <c r="BE71" s="61">
        <v>7</v>
      </c>
      <c r="BF71" s="61">
        <v>100</v>
      </c>
      <c r="BG71" s="61">
        <v>2</v>
      </c>
      <c r="BH71" s="61">
        <f t="shared" si="22"/>
        <v>47</v>
      </c>
      <c r="BI71" s="61">
        <v>47</v>
      </c>
      <c r="BN71" s="63"/>
      <c r="BO71" s="63"/>
      <c r="BP71" s="63"/>
      <c r="BQ71" s="63"/>
      <c r="BR71" s="63"/>
      <c r="BS71" s="63"/>
      <c r="BT71" s="63"/>
    </row>
    <row r="72" spans="37:72" ht="16.5" x14ac:dyDescent="0.2">
      <c r="AK72" s="69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1320</v>
      </c>
      <c r="AX72" s="61">
        <v>59</v>
      </c>
      <c r="AY72" s="61">
        <f>INDEX(节奏总表!$I$4:$I$18,MATCH(AX72,节奏总表!$T$4:$T$18,1))</f>
        <v>12</v>
      </c>
      <c r="AZ72" s="15">
        <f>芦花古楼!BC64+芦花古楼!BD63</f>
        <v>610</v>
      </c>
      <c r="BA72" s="16"/>
      <c r="BD72" s="64" t="s">
        <v>548</v>
      </c>
      <c r="BE72" s="61">
        <v>7</v>
      </c>
      <c r="BF72" s="61">
        <v>250</v>
      </c>
      <c r="BG72" s="61">
        <v>2</v>
      </c>
      <c r="BH72" s="61">
        <f t="shared" si="22"/>
        <v>47</v>
      </c>
      <c r="BI72" s="61">
        <v>47</v>
      </c>
      <c r="BN72" s="63"/>
      <c r="BO72" s="63"/>
      <c r="BP72" s="63"/>
      <c r="BQ72" s="63"/>
      <c r="BR72" s="63"/>
      <c r="BS72" s="63"/>
      <c r="BT72" s="63"/>
    </row>
    <row r="73" spans="37:72" ht="16.5" x14ac:dyDescent="0.2">
      <c r="AK73" s="69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1600</v>
      </c>
      <c r="AX73" s="61">
        <v>60</v>
      </c>
      <c r="AY73" s="61">
        <f>INDEX(节奏总表!$I$4:$I$18,MATCH(AX73,节奏总表!$T$4:$T$18,1))</f>
        <v>13</v>
      </c>
      <c r="AZ73" s="15">
        <f>芦花古楼!BC65+芦花古楼!BD64</f>
        <v>610</v>
      </c>
      <c r="BA73" s="16"/>
      <c r="BD73" s="64" t="s">
        <v>549</v>
      </c>
      <c r="BE73" s="61">
        <v>7</v>
      </c>
      <c r="BF73" s="61">
        <v>250</v>
      </c>
      <c r="BG73" s="61">
        <v>2</v>
      </c>
      <c r="BH73" s="61">
        <f t="shared" si="22"/>
        <v>47</v>
      </c>
      <c r="BI73" s="61">
        <v>47</v>
      </c>
      <c r="BN73" s="63"/>
      <c r="BO73" s="63"/>
      <c r="BP73" s="63"/>
      <c r="BQ73" s="63"/>
      <c r="BR73" s="63"/>
      <c r="BS73" s="63"/>
      <c r="BT73" s="63"/>
    </row>
    <row r="74" spans="37:72" ht="16.5" x14ac:dyDescent="0.2">
      <c r="AK74" s="69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2250</v>
      </c>
      <c r="AX74" s="61">
        <v>61</v>
      </c>
      <c r="AY74" s="61">
        <f>INDEX(节奏总表!$I$4:$I$18,MATCH(AX74,节奏总表!$T$4:$T$18,1))</f>
        <v>13</v>
      </c>
      <c r="AZ74" s="15">
        <f>芦花古楼!BC66+芦花古楼!BD65</f>
        <v>620</v>
      </c>
      <c r="BA74" s="16"/>
      <c r="BD74" s="64" t="s">
        <v>520</v>
      </c>
      <c r="BE74" s="61">
        <v>1</v>
      </c>
      <c r="BF74" s="61">
        <v>20</v>
      </c>
      <c r="BG74" s="61">
        <v>3</v>
      </c>
      <c r="BH74" s="61">
        <f t="shared" ref="BH74:BH103" si="33">ROUND(INDEX($BD$3:$BD$9,BE74)*$BG$5*10000,0)</f>
        <v>236</v>
      </c>
      <c r="BI74" s="61">
        <v>236</v>
      </c>
      <c r="BN74" s="63"/>
      <c r="BO74" s="63"/>
      <c r="BP74" s="63"/>
      <c r="BQ74" s="63"/>
      <c r="BR74" s="63"/>
      <c r="BS74" s="63"/>
      <c r="BT74" s="63"/>
    </row>
    <row r="75" spans="37:72" ht="16.5" x14ac:dyDescent="0.2">
      <c r="AK75" s="69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2650</v>
      </c>
      <c r="AX75" s="61">
        <v>62</v>
      </c>
      <c r="AY75" s="61">
        <f>INDEX(节奏总表!$I$4:$I$18,MATCH(AX75,节奏总表!$T$4:$T$18,1))</f>
        <v>13</v>
      </c>
      <c r="AZ75" s="15">
        <f>芦花古楼!BC67+芦花古楼!BD66</f>
        <v>520</v>
      </c>
      <c r="BA75" s="16"/>
      <c r="BD75" s="64" t="s">
        <v>521</v>
      </c>
      <c r="BE75" s="61">
        <v>1</v>
      </c>
      <c r="BF75" s="61">
        <v>20</v>
      </c>
      <c r="BG75" s="61">
        <v>3</v>
      </c>
      <c r="BH75" s="61">
        <f t="shared" si="33"/>
        <v>236</v>
      </c>
      <c r="BI75" s="61">
        <v>236</v>
      </c>
      <c r="BN75" s="63"/>
      <c r="BO75" s="63"/>
      <c r="BP75" s="63"/>
      <c r="BQ75" s="63"/>
      <c r="BR75" s="63"/>
      <c r="BS75" s="63"/>
      <c r="BT75" s="63"/>
    </row>
    <row r="76" spans="37:72" ht="16.5" x14ac:dyDescent="0.2">
      <c r="AK76" s="69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3000</v>
      </c>
      <c r="AX76" s="61">
        <v>63</v>
      </c>
      <c r="AY76" s="61">
        <f>INDEX(节奏总表!$I$4:$I$18,MATCH(AX76,节奏总表!$T$4:$T$18,1))</f>
        <v>13</v>
      </c>
      <c r="AZ76" s="15">
        <f>芦花古楼!BC68+芦花古楼!BD67</f>
        <v>615</v>
      </c>
      <c r="BA76" s="16"/>
      <c r="BD76" s="64" t="s">
        <v>522</v>
      </c>
      <c r="BE76" s="61">
        <v>2</v>
      </c>
      <c r="BF76" s="61">
        <v>30</v>
      </c>
      <c r="BG76" s="61">
        <v>3</v>
      </c>
      <c r="BH76" s="61">
        <f t="shared" si="33"/>
        <v>157</v>
      </c>
      <c r="BI76" s="61">
        <v>157</v>
      </c>
      <c r="BN76" s="63"/>
      <c r="BO76" s="63"/>
      <c r="BP76" s="63"/>
      <c r="BQ76" s="63"/>
      <c r="BR76" s="63"/>
      <c r="BS76" s="63"/>
      <c r="BT76" s="63"/>
    </row>
    <row r="77" spans="37:72" ht="16.5" x14ac:dyDescent="0.2">
      <c r="AK77" s="69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3400</v>
      </c>
      <c r="AX77" s="61">
        <v>64</v>
      </c>
      <c r="AY77" s="61">
        <f>INDEX(节奏总表!$I$4:$I$18,MATCH(AX77,节奏总表!$T$4:$T$18,1))</f>
        <v>13</v>
      </c>
      <c r="AZ77" s="15">
        <f>芦花古楼!BC69+芦花古楼!BD68</f>
        <v>515</v>
      </c>
      <c r="BA77" s="16"/>
      <c r="BD77" s="64" t="s">
        <v>523</v>
      </c>
      <c r="BE77" s="61">
        <v>2</v>
      </c>
      <c r="BF77" s="61">
        <v>30</v>
      </c>
      <c r="BG77" s="61">
        <v>3</v>
      </c>
      <c r="BH77" s="61">
        <f t="shared" si="33"/>
        <v>157</v>
      </c>
      <c r="BI77" s="61">
        <v>157</v>
      </c>
      <c r="BN77" s="63"/>
      <c r="BO77" s="63"/>
      <c r="BP77" s="63"/>
      <c r="BQ77" s="63"/>
      <c r="BR77" s="63"/>
      <c r="BS77" s="63"/>
      <c r="BT77" s="63"/>
    </row>
    <row r="78" spans="37:72" ht="16.5" x14ac:dyDescent="0.2">
      <c r="AK78" s="69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3800</v>
      </c>
      <c r="AX78" s="61">
        <v>65</v>
      </c>
      <c r="AY78" s="61">
        <f>INDEX(节奏总表!$I$4:$I$18,MATCH(AX78,节奏总表!$T$4:$T$18,1))</f>
        <v>13</v>
      </c>
      <c r="AZ78" s="15">
        <f>芦花古楼!BC70+芦花古楼!BD69</f>
        <v>520</v>
      </c>
      <c r="BA78" s="16"/>
      <c r="BD78" s="64" t="s">
        <v>524</v>
      </c>
      <c r="BE78" s="61">
        <v>3</v>
      </c>
      <c r="BF78" s="61">
        <v>50</v>
      </c>
      <c r="BG78" s="61">
        <v>3</v>
      </c>
      <c r="BH78" s="61">
        <f t="shared" si="33"/>
        <v>94</v>
      </c>
      <c r="BI78" s="61">
        <v>94</v>
      </c>
      <c r="BN78" s="63"/>
      <c r="BO78" s="63"/>
      <c r="BP78" s="63"/>
      <c r="BQ78" s="63"/>
      <c r="BR78" s="63"/>
      <c r="BS78" s="63"/>
      <c r="BT78" s="63"/>
    </row>
    <row r="79" spans="37:72" ht="16.5" x14ac:dyDescent="0.2">
      <c r="AK79" s="69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1">
        <v>66</v>
      </c>
      <c r="AY79" s="61">
        <f>INDEX(节奏总表!$I$4:$I$18,MATCH(AX79,节奏总表!$T$4:$T$18,1))</f>
        <v>13</v>
      </c>
      <c r="AZ79" s="15">
        <f>芦花古楼!BC71+芦花古楼!BD70</f>
        <v>615</v>
      </c>
      <c r="BA79" s="16"/>
      <c r="BD79" s="64" t="s">
        <v>525</v>
      </c>
      <c r="BE79" s="61">
        <v>3</v>
      </c>
      <c r="BF79" s="61">
        <v>50</v>
      </c>
      <c r="BG79" s="61">
        <v>3</v>
      </c>
      <c r="BH79" s="61">
        <f t="shared" si="33"/>
        <v>94</v>
      </c>
      <c r="BI79" s="61">
        <v>94</v>
      </c>
      <c r="BN79" s="63"/>
      <c r="BO79" s="63"/>
      <c r="BP79" s="63"/>
      <c r="BQ79" s="63"/>
      <c r="BR79" s="63"/>
      <c r="BS79" s="63"/>
      <c r="BT79" s="63"/>
    </row>
    <row r="80" spans="37:72" ht="16.5" x14ac:dyDescent="0.2">
      <c r="AK80" s="69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190</v>
      </c>
      <c r="AX80" s="61">
        <v>67</v>
      </c>
      <c r="AY80" s="61">
        <f>INDEX(节奏总表!$I$4:$I$18,MATCH(AX80,节奏总表!$T$4:$T$18,1))</f>
        <v>13</v>
      </c>
      <c r="AZ80" s="15">
        <f>芦花古楼!BC72+芦花古楼!BD71</f>
        <v>515</v>
      </c>
      <c r="BA80" s="16"/>
      <c r="BD80" s="64" t="s">
        <v>526</v>
      </c>
      <c r="BE80" s="61">
        <v>3</v>
      </c>
      <c r="BF80" s="61">
        <v>50</v>
      </c>
      <c r="BG80" s="61">
        <v>3</v>
      </c>
      <c r="BH80" s="61">
        <f t="shared" si="33"/>
        <v>94</v>
      </c>
      <c r="BI80" s="61">
        <v>94</v>
      </c>
      <c r="BN80" s="63"/>
      <c r="BO80" s="63"/>
      <c r="BP80" s="63"/>
      <c r="BQ80" s="63"/>
      <c r="BR80" s="63"/>
      <c r="BS80" s="63"/>
      <c r="BT80" s="63"/>
    </row>
    <row r="81" spans="37:72" ht="16.5" x14ac:dyDescent="0.2">
      <c r="AK81" s="69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250</v>
      </c>
      <c r="AX81" s="61">
        <v>68</v>
      </c>
      <c r="AY81" s="61">
        <f>INDEX(节奏总表!$I$4:$I$18,MATCH(AX81,节奏总表!$T$4:$T$18,1))</f>
        <v>13</v>
      </c>
      <c r="AZ81" s="15">
        <f>芦花古楼!BC73+芦花古楼!BD72</f>
        <v>520</v>
      </c>
      <c r="BA81" s="16"/>
      <c r="BD81" s="64" t="s">
        <v>527</v>
      </c>
      <c r="BE81" s="61">
        <v>3</v>
      </c>
      <c r="BF81" s="61">
        <v>50</v>
      </c>
      <c r="BG81" s="61">
        <v>3</v>
      </c>
      <c r="BH81" s="61">
        <f t="shared" si="33"/>
        <v>94</v>
      </c>
      <c r="BI81" s="61">
        <v>94</v>
      </c>
      <c r="BN81" s="63"/>
      <c r="BO81" s="63"/>
      <c r="BP81" s="63"/>
      <c r="BQ81" s="63"/>
      <c r="BR81" s="63"/>
      <c r="BS81" s="63"/>
      <c r="BT81" s="63"/>
    </row>
    <row r="82" spans="37:72" ht="16.5" x14ac:dyDescent="0.2">
      <c r="AK82" s="69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320</v>
      </c>
      <c r="AX82" s="61">
        <v>69</v>
      </c>
      <c r="AY82" s="61">
        <f>INDEX(节奏总表!$I$4:$I$18,MATCH(AX82,节奏总表!$T$4:$T$18,1))</f>
        <v>13</v>
      </c>
      <c r="AZ82" s="15">
        <f>芦花古楼!BC74+芦花古楼!BD73</f>
        <v>615</v>
      </c>
      <c r="BA82" s="16"/>
      <c r="BD82" s="64" t="s">
        <v>528</v>
      </c>
      <c r="BE82" s="61">
        <v>4</v>
      </c>
      <c r="BF82" s="61">
        <v>70</v>
      </c>
      <c r="BG82" s="61">
        <v>3</v>
      </c>
      <c r="BH82" s="61">
        <f t="shared" si="33"/>
        <v>67</v>
      </c>
      <c r="BI82" s="61">
        <v>67</v>
      </c>
      <c r="BN82" s="63"/>
      <c r="BO82" s="63"/>
      <c r="BP82" s="63"/>
      <c r="BQ82" s="63"/>
      <c r="BR82" s="63"/>
      <c r="BS82" s="63"/>
      <c r="BT82" s="63"/>
    </row>
    <row r="83" spans="37:72" ht="16.5" x14ac:dyDescent="0.2">
      <c r="AK83" s="69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380</v>
      </c>
      <c r="AX83" s="61">
        <v>70</v>
      </c>
      <c r="AY83" s="61">
        <f>INDEX(节奏总表!$I$4:$I$18,MATCH(AX83,节奏总表!$T$4:$T$18,1))</f>
        <v>13</v>
      </c>
      <c r="AZ83" s="15">
        <f>芦花古楼!BC75+芦花古楼!BD74</f>
        <v>520</v>
      </c>
      <c r="BA83" s="16"/>
      <c r="BD83" s="64" t="s">
        <v>529</v>
      </c>
      <c r="BE83" s="61">
        <v>4</v>
      </c>
      <c r="BF83" s="61">
        <v>70</v>
      </c>
      <c r="BG83" s="61">
        <v>3</v>
      </c>
      <c r="BH83" s="61">
        <f t="shared" si="33"/>
        <v>67</v>
      </c>
      <c r="BI83" s="61">
        <v>67</v>
      </c>
      <c r="BN83" s="63"/>
      <c r="BO83" s="63"/>
      <c r="BP83" s="63"/>
      <c r="BQ83" s="63"/>
      <c r="BR83" s="63"/>
      <c r="BS83" s="63"/>
      <c r="BT83" s="63"/>
    </row>
    <row r="84" spans="37:72" ht="16.5" x14ac:dyDescent="0.2">
      <c r="AK84" s="69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920</v>
      </c>
      <c r="AX84" s="61">
        <v>71</v>
      </c>
      <c r="AY84" s="61">
        <f>INDEX(节奏总表!$I$4:$I$18,MATCH(AX84,节奏总表!$T$4:$T$18,1))</f>
        <v>13</v>
      </c>
      <c r="AZ84" s="15">
        <f>芦花古楼!BC76+芦花古楼!BD75</f>
        <v>530</v>
      </c>
      <c r="BA84" s="16"/>
      <c r="BD84" s="64" t="s">
        <v>530</v>
      </c>
      <c r="BE84" s="61">
        <v>4</v>
      </c>
      <c r="BF84" s="61">
        <v>70</v>
      </c>
      <c r="BG84" s="61">
        <v>3</v>
      </c>
      <c r="BH84" s="61">
        <f t="shared" si="33"/>
        <v>67</v>
      </c>
      <c r="BI84" s="61">
        <v>67</v>
      </c>
      <c r="BN84" s="63"/>
      <c r="BO84" s="63"/>
      <c r="BP84" s="63"/>
      <c r="BQ84" s="63"/>
      <c r="BR84" s="63"/>
      <c r="BS84" s="63"/>
      <c r="BT84" s="63"/>
    </row>
    <row r="85" spans="37:72" ht="16.5" x14ac:dyDescent="0.2">
      <c r="AK85" s="69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1060</v>
      </c>
      <c r="AX85" s="61">
        <v>72</v>
      </c>
      <c r="AY85" s="61">
        <f>INDEX(节奏总表!$I$4:$I$18,MATCH(AX85,节奏总表!$T$4:$T$18,1))</f>
        <v>13</v>
      </c>
      <c r="AZ85" s="15">
        <f>芦花古楼!BC77+芦花古楼!BD76</f>
        <v>635</v>
      </c>
      <c r="BA85" s="16"/>
      <c r="BD85" s="64" t="s">
        <v>531</v>
      </c>
      <c r="BE85" s="61">
        <v>4</v>
      </c>
      <c r="BF85" s="61">
        <v>70</v>
      </c>
      <c r="BG85" s="61">
        <v>3</v>
      </c>
      <c r="BH85" s="61">
        <f t="shared" si="33"/>
        <v>67</v>
      </c>
      <c r="BI85" s="61">
        <v>67</v>
      </c>
      <c r="BN85" s="63"/>
      <c r="BO85" s="63"/>
      <c r="BP85" s="63"/>
      <c r="BQ85" s="63"/>
      <c r="BR85" s="63"/>
      <c r="BS85" s="63"/>
      <c r="BT85" s="63"/>
    </row>
    <row r="86" spans="37:72" ht="16.5" x14ac:dyDescent="0.2">
      <c r="AK86" s="69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1200</v>
      </c>
      <c r="AX86" s="61">
        <v>73</v>
      </c>
      <c r="AY86" s="61">
        <f>INDEX(节奏总表!$I$4:$I$18,MATCH(AX86,节奏总表!$T$4:$T$18,1))</f>
        <v>13</v>
      </c>
      <c r="AZ86" s="15">
        <f>芦花古楼!BC78+芦花古楼!BD77</f>
        <v>540</v>
      </c>
      <c r="BA86" s="16"/>
      <c r="BD86" s="64" t="s">
        <v>532</v>
      </c>
      <c r="BE86" s="61">
        <v>5</v>
      </c>
      <c r="BF86" s="61">
        <v>100</v>
      </c>
      <c r="BG86" s="61">
        <v>3</v>
      </c>
      <c r="BH86" s="61">
        <f t="shared" si="33"/>
        <v>31</v>
      </c>
      <c r="BI86" s="61">
        <v>31</v>
      </c>
      <c r="BN86" s="63"/>
      <c r="BO86" s="63"/>
      <c r="BP86" s="63"/>
      <c r="BQ86" s="63"/>
      <c r="BR86" s="63"/>
      <c r="BS86" s="63"/>
      <c r="BT86" s="63"/>
    </row>
    <row r="87" spans="37:72" ht="16.5" x14ac:dyDescent="0.2">
      <c r="AK87" s="69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1320</v>
      </c>
      <c r="AX87" s="61">
        <v>74</v>
      </c>
      <c r="AY87" s="61">
        <f>INDEX(节奏总表!$I$4:$I$18,MATCH(AX87,节奏总表!$T$4:$T$18,1))</f>
        <v>13</v>
      </c>
      <c r="AZ87" s="15">
        <f>芦花古楼!BC79+芦花古楼!BD78</f>
        <v>545</v>
      </c>
      <c r="BA87" s="16"/>
      <c r="BD87" s="64" t="s">
        <v>533</v>
      </c>
      <c r="BE87" s="61">
        <v>5</v>
      </c>
      <c r="BF87" s="61">
        <v>100</v>
      </c>
      <c r="BG87" s="61">
        <v>3</v>
      </c>
      <c r="BH87" s="61">
        <f t="shared" si="33"/>
        <v>31</v>
      </c>
      <c r="BI87" s="61">
        <v>31</v>
      </c>
      <c r="BN87" s="63"/>
      <c r="BO87" s="63"/>
      <c r="BP87" s="63"/>
      <c r="BQ87" s="63"/>
      <c r="BR87" s="63"/>
      <c r="BS87" s="63"/>
      <c r="BT87" s="63"/>
    </row>
    <row r="88" spans="37:72" ht="16.5" x14ac:dyDescent="0.2">
      <c r="AK88" s="69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1600</v>
      </c>
      <c r="AX88" s="61">
        <v>75</v>
      </c>
      <c r="AY88" s="61">
        <f>INDEX(节奏总表!$I$4:$I$18,MATCH(AX88,节奏总表!$T$4:$T$18,1))</f>
        <v>13</v>
      </c>
      <c r="AZ88" s="15">
        <f>芦花古楼!BC80+芦花古楼!BD79</f>
        <v>645</v>
      </c>
      <c r="BA88" s="16"/>
      <c r="BD88" s="64" t="s">
        <v>534</v>
      </c>
      <c r="BE88" s="61">
        <v>5</v>
      </c>
      <c r="BF88" s="61">
        <v>100</v>
      </c>
      <c r="BG88" s="61">
        <v>3</v>
      </c>
      <c r="BH88" s="61">
        <f t="shared" si="33"/>
        <v>31</v>
      </c>
      <c r="BI88" s="61">
        <v>31</v>
      </c>
      <c r="BN88" s="63"/>
      <c r="BO88" s="63"/>
      <c r="BP88" s="63"/>
      <c r="BQ88" s="63"/>
      <c r="BR88" s="63"/>
      <c r="BS88" s="63"/>
      <c r="BT88" s="63"/>
    </row>
    <row r="89" spans="37:72" ht="16.5" x14ac:dyDescent="0.2">
      <c r="AK89" s="69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2250</v>
      </c>
      <c r="AX89" s="61">
        <v>76</v>
      </c>
      <c r="AY89" s="61">
        <f>INDEX(节奏总表!$I$4:$I$18,MATCH(AX89,节奏总表!$T$4:$T$18,1))</f>
        <v>13</v>
      </c>
      <c r="AZ89" s="15">
        <f>芦花古楼!BC81+芦花古楼!BD80</f>
        <v>540</v>
      </c>
      <c r="BA89" s="16"/>
      <c r="BD89" s="64" t="s">
        <v>535</v>
      </c>
      <c r="BE89" s="61">
        <v>5</v>
      </c>
      <c r="BF89" s="61">
        <v>100</v>
      </c>
      <c r="BG89" s="61">
        <v>3</v>
      </c>
      <c r="BH89" s="61">
        <f t="shared" si="33"/>
        <v>31</v>
      </c>
      <c r="BI89" s="61">
        <v>31</v>
      </c>
      <c r="BN89" s="63"/>
      <c r="BO89" s="63"/>
      <c r="BP89" s="63"/>
      <c r="BQ89" s="63"/>
      <c r="BR89" s="63"/>
      <c r="BS89" s="63"/>
      <c r="BT89" s="63"/>
    </row>
    <row r="90" spans="37:72" ht="16.5" x14ac:dyDescent="0.2">
      <c r="AK90" s="69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2650</v>
      </c>
      <c r="AX90" s="61">
        <v>77</v>
      </c>
      <c r="AY90" s="61">
        <f>INDEX(节奏总表!$I$4:$I$18,MATCH(AX90,节奏总表!$T$4:$T$18,1))</f>
        <v>13</v>
      </c>
      <c r="AZ90" s="15">
        <f>芦花古楼!BC82+芦花古楼!BD81</f>
        <v>545</v>
      </c>
      <c r="BA90" s="16"/>
      <c r="BD90" s="64" t="s">
        <v>536</v>
      </c>
      <c r="BE90" s="61">
        <v>5</v>
      </c>
      <c r="BF90" s="61">
        <v>250</v>
      </c>
      <c r="BG90" s="61">
        <v>3</v>
      </c>
      <c r="BH90" s="61">
        <f t="shared" si="33"/>
        <v>31</v>
      </c>
      <c r="BI90" s="61">
        <v>31</v>
      </c>
      <c r="BN90" s="63"/>
      <c r="BO90" s="63"/>
      <c r="BP90" s="63"/>
      <c r="BQ90" s="63"/>
      <c r="BR90" s="63"/>
      <c r="BS90" s="63"/>
      <c r="BT90" s="63"/>
    </row>
    <row r="91" spans="37:72" ht="16.5" x14ac:dyDescent="0.2">
      <c r="AK91" s="69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3000</v>
      </c>
      <c r="AX91" s="61">
        <v>78</v>
      </c>
      <c r="AY91" s="61">
        <f>INDEX(节奏总表!$I$4:$I$18,MATCH(AX91,节奏总表!$T$4:$T$18,1))</f>
        <v>13</v>
      </c>
      <c r="AZ91" s="15">
        <f>芦花古楼!BC83+芦花古楼!BD82</f>
        <v>645</v>
      </c>
      <c r="BA91" s="16"/>
      <c r="BD91" s="64" t="s">
        <v>537</v>
      </c>
      <c r="BE91" s="61">
        <v>5</v>
      </c>
      <c r="BF91" s="61">
        <v>250</v>
      </c>
      <c r="BG91" s="61">
        <v>3</v>
      </c>
      <c r="BH91" s="61">
        <f t="shared" si="33"/>
        <v>31</v>
      </c>
      <c r="BI91" s="61">
        <v>31</v>
      </c>
      <c r="BN91" s="63"/>
      <c r="BO91" s="63"/>
      <c r="BP91" s="63"/>
      <c r="BQ91" s="63"/>
      <c r="BR91" s="63"/>
      <c r="BS91" s="63"/>
      <c r="BT91" s="63"/>
    </row>
    <row r="92" spans="37:72" ht="16.5" x14ac:dyDescent="0.2">
      <c r="AK92" s="69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3400</v>
      </c>
      <c r="AX92" s="61">
        <v>79</v>
      </c>
      <c r="AY92" s="61">
        <f>INDEX(节奏总表!$I$4:$I$18,MATCH(AX92,节奏总表!$T$4:$T$18,1))</f>
        <v>13</v>
      </c>
      <c r="AZ92" s="15">
        <f>芦花古楼!BC84+芦花古楼!BD83</f>
        <v>540</v>
      </c>
      <c r="BA92" s="16"/>
      <c r="BD92" s="64" t="s">
        <v>538</v>
      </c>
      <c r="BE92" s="61">
        <v>6</v>
      </c>
      <c r="BF92" s="61">
        <v>100</v>
      </c>
      <c r="BG92" s="61">
        <v>3</v>
      </c>
      <c r="BH92" s="61">
        <f t="shared" si="33"/>
        <v>31</v>
      </c>
      <c r="BI92" s="61">
        <v>31</v>
      </c>
      <c r="BN92" s="63"/>
      <c r="BO92" s="63"/>
      <c r="BP92" s="63"/>
      <c r="BQ92" s="63"/>
      <c r="BR92" s="63"/>
      <c r="BS92" s="63"/>
      <c r="BT92" s="63"/>
    </row>
    <row r="93" spans="37:72" ht="16.5" x14ac:dyDescent="0.2">
      <c r="AK93" s="69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3800</v>
      </c>
      <c r="AX93" s="61">
        <v>80</v>
      </c>
      <c r="AY93" s="61">
        <f>INDEX(节奏总表!$I$4:$I$18,MATCH(AX93,节奏总表!$T$4:$T$18,1))</f>
        <v>13</v>
      </c>
      <c r="AZ93" s="15">
        <f>芦花古楼!BC85+芦花古楼!BD84</f>
        <v>545</v>
      </c>
      <c r="BA93" s="16"/>
      <c r="BD93" s="64" t="s">
        <v>539</v>
      </c>
      <c r="BE93" s="61">
        <v>6</v>
      </c>
      <c r="BF93" s="61">
        <v>100</v>
      </c>
      <c r="BG93" s="61">
        <v>3</v>
      </c>
      <c r="BH93" s="61">
        <f t="shared" si="33"/>
        <v>31</v>
      </c>
      <c r="BI93" s="61">
        <v>31</v>
      </c>
      <c r="BN93" s="63"/>
      <c r="BO93" s="63"/>
      <c r="BP93" s="63"/>
      <c r="BQ93" s="63"/>
      <c r="BR93" s="63"/>
      <c r="BS93" s="63"/>
      <c r="BT93" s="63"/>
    </row>
    <row r="94" spans="37:72" ht="16.5" x14ac:dyDescent="0.2">
      <c r="AK94" s="69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1">
        <v>81</v>
      </c>
      <c r="AY94" s="61">
        <f>INDEX(节奏总表!$I$4:$I$18,MATCH(AX94,节奏总表!$T$4:$T$18,1))</f>
        <v>13</v>
      </c>
      <c r="AZ94" s="15">
        <f>芦花古楼!BC86+芦花古楼!BD85</f>
        <v>645</v>
      </c>
      <c r="BA94" s="16"/>
      <c r="BD94" s="64" t="s">
        <v>540</v>
      </c>
      <c r="BE94" s="61">
        <v>6</v>
      </c>
      <c r="BF94" s="61">
        <v>100</v>
      </c>
      <c r="BG94" s="61">
        <v>3</v>
      </c>
      <c r="BH94" s="61">
        <f t="shared" si="33"/>
        <v>31</v>
      </c>
      <c r="BI94" s="61">
        <v>31</v>
      </c>
      <c r="BN94" s="63"/>
      <c r="BO94" s="63"/>
      <c r="BP94" s="63"/>
      <c r="BQ94" s="63"/>
      <c r="BR94" s="63"/>
      <c r="BS94" s="63"/>
      <c r="BT94" s="63"/>
    </row>
    <row r="95" spans="37:72" ht="16.5" x14ac:dyDescent="0.2">
      <c r="AK95" s="69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575</v>
      </c>
      <c r="AX95" s="61">
        <v>82</v>
      </c>
      <c r="AY95" s="61">
        <f>INDEX(节奏总表!$I$4:$I$18,MATCH(AX95,节奏总表!$T$4:$T$18,1))</f>
        <v>13</v>
      </c>
      <c r="AZ95" s="15">
        <f>芦花古楼!BC87+芦花古楼!BD86</f>
        <v>540</v>
      </c>
      <c r="BA95" s="16"/>
      <c r="BD95" s="64" t="s">
        <v>541</v>
      </c>
      <c r="BE95" s="61">
        <v>6</v>
      </c>
      <c r="BF95" s="61">
        <v>100</v>
      </c>
      <c r="BG95" s="61">
        <v>3</v>
      </c>
      <c r="BH95" s="61">
        <f t="shared" si="33"/>
        <v>31</v>
      </c>
      <c r="BI95" s="61">
        <v>31</v>
      </c>
      <c r="BN95" s="63"/>
      <c r="BO95" s="63"/>
      <c r="BP95" s="63"/>
      <c r="BQ95" s="63"/>
      <c r="BR95" s="63"/>
      <c r="BS95" s="63"/>
      <c r="BT95" s="63"/>
    </row>
    <row r="96" spans="37:72" ht="16.5" x14ac:dyDescent="0.2">
      <c r="AK96" s="69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770</v>
      </c>
      <c r="AX96" s="61">
        <v>83</v>
      </c>
      <c r="AY96" s="61">
        <f>INDEX(节奏总表!$I$4:$I$18,MATCH(AX96,节奏总表!$T$4:$T$18,1))</f>
        <v>13</v>
      </c>
      <c r="AZ96" s="15">
        <f>芦花古楼!BC88+芦花古楼!BD87</f>
        <v>545</v>
      </c>
      <c r="BA96" s="16"/>
      <c r="BD96" s="64" t="s">
        <v>542</v>
      </c>
      <c r="BE96" s="61">
        <v>6</v>
      </c>
      <c r="BF96" s="61">
        <v>250</v>
      </c>
      <c r="BG96" s="61">
        <v>3</v>
      </c>
      <c r="BH96" s="61">
        <f t="shared" si="33"/>
        <v>31</v>
      </c>
      <c r="BI96" s="61">
        <v>31</v>
      </c>
      <c r="BN96" s="63"/>
      <c r="BO96" s="63"/>
      <c r="BP96" s="63"/>
      <c r="BQ96" s="63"/>
      <c r="BR96" s="63"/>
      <c r="BS96" s="63"/>
      <c r="BT96" s="63"/>
    </row>
    <row r="97" spans="37:72" ht="16.5" x14ac:dyDescent="0.2">
      <c r="AK97" s="69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960</v>
      </c>
      <c r="AX97" s="61">
        <v>84</v>
      </c>
      <c r="AY97" s="61">
        <f>INDEX(节奏总表!$I$4:$I$18,MATCH(AX97,节奏总表!$T$4:$T$18,1))</f>
        <v>13</v>
      </c>
      <c r="AZ97" s="15">
        <f>芦花古楼!BC89+芦花古楼!BD88</f>
        <v>645</v>
      </c>
      <c r="BA97" s="16"/>
      <c r="BD97" s="64" t="s">
        <v>543</v>
      </c>
      <c r="BE97" s="61">
        <v>6</v>
      </c>
      <c r="BF97" s="61">
        <v>250</v>
      </c>
      <c r="BG97" s="61">
        <v>3</v>
      </c>
      <c r="BH97" s="61">
        <f t="shared" si="33"/>
        <v>31</v>
      </c>
      <c r="BI97" s="61">
        <v>31</v>
      </c>
      <c r="BN97" s="63"/>
      <c r="BO97" s="63"/>
      <c r="BP97" s="63"/>
      <c r="BQ97" s="63"/>
      <c r="BR97" s="63"/>
      <c r="BS97" s="63"/>
      <c r="BT97" s="63"/>
    </row>
    <row r="98" spans="37:72" ht="16.5" x14ac:dyDescent="0.2">
      <c r="AK98" s="69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1150</v>
      </c>
      <c r="AX98" s="61">
        <v>85</v>
      </c>
      <c r="AY98" s="61">
        <f>INDEX(节奏总表!$I$4:$I$18,MATCH(AX98,节奏总表!$T$4:$T$18,1))</f>
        <v>14</v>
      </c>
      <c r="AZ98" s="15">
        <f>芦花古楼!BC90+芦花古楼!BD89</f>
        <v>545</v>
      </c>
      <c r="BA98" s="16"/>
      <c r="BD98" s="64" t="s">
        <v>544</v>
      </c>
      <c r="BE98" s="61">
        <v>7</v>
      </c>
      <c r="BF98" s="61">
        <v>100</v>
      </c>
      <c r="BG98" s="61">
        <v>3</v>
      </c>
      <c r="BH98" s="61">
        <f t="shared" si="33"/>
        <v>31</v>
      </c>
      <c r="BI98" s="61">
        <v>31</v>
      </c>
      <c r="BN98" s="63"/>
      <c r="BO98" s="63"/>
      <c r="BP98" s="63"/>
      <c r="BQ98" s="63"/>
      <c r="BR98" s="63"/>
      <c r="BS98" s="63"/>
      <c r="BT98" s="63"/>
    </row>
    <row r="99" spans="37:72" ht="16.5" x14ac:dyDescent="0.2">
      <c r="AK99" s="69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2800</v>
      </c>
      <c r="AX99" s="61">
        <v>86</v>
      </c>
      <c r="AY99" s="61">
        <f>INDEX(节奏总表!$I$4:$I$18,MATCH(AX99,节奏总表!$T$4:$T$18,1))</f>
        <v>14</v>
      </c>
      <c r="AZ99" s="15">
        <f>芦花古楼!BC91+芦花古楼!BD90</f>
        <v>555</v>
      </c>
      <c r="BA99" s="16"/>
      <c r="BD99" s="64" t="s">
        <v>545</v>
      </c>
      <c r="BE99" s="61">
        <v>7</v>
      </c>
      <c r="BF99" s="61">
        <v>100</v>
      </c>
      <c r="BG99" s="61">
        <v>3</v>
      </c>
      <c r="BH99" s="61">
        <f t="shared" si="33"/>
        <v>31</v>
      </c>
      <c r="BI99" s="61">
        <v>31</v>
      </c>
      <c r="BN99" s="63"/>
      <c r="BO99" s="63"/>
      <c r="BP99" s="63"/>
      <c r="BQ99" s="63"/>
      <c r="BR99" s="63"/>
      <c r="BS99" s="63"/>
      <c r="BT99" s="63"/>
    </row>
    <row r="100" spans="37:72" ht="16.5" x14ac:dyDescent="0.2">
      <c r="AK100" s="69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3200</v>
      </c>
      <c r="AX100" s="61">
        <v>87</v>
      </c>
      <c r="AY100" s="61">
        <f>INDEX(节奏总表!$I$4:$I$18,MATCH(AX100,节奏总表!$T$4:$T$18,1))</f>
        <v>14</v>
      </c>
      <c r="AZ100" s="15">
        <f>芦花古楼!BC92+芦花古楼!BD91</f>
        <v>665</v>
      </c>
      <c r="BA100" s="16"/>
      <c r="BD100" s="64" t="s">
        <v>546</v>
      </c>
      <c r="BE100" s="61">
        <v>7</v>
      </c>
      <c r="BF100" s="61">
        <v>100</v>
      </c>
      <c r="BG100" s="61">
        <v>3</v>
      </c>
      <c r="BH100" s="61">
        <f t="shared" si="33"/>
        <v>31</v>
      </c>
      <c r="BI100" s="61">
        <v>31</v>
      </c>
      <c r="BN100" s="63"/>
      <c r="BO100" s="63"/>
      <c r="BP100" s="63"/>
      <c r="BQ100" s="63"/>
      <c r="BR100" s="63"/>
      <c r="BS100" s="63"/>
      <c r="BT100" s="63"/>
    </row>
    <row r="101" spans="37:72" ht="16.5" x14ac:dyDescent="0.2">
      <c r="AK101" s="69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3600</v>
      </c>
      <c r="AX101" s="61">
        <v>88</v>
      </c>
      <c r="AY101" s="61">
        <f>INDEX(节奏总表!$I$4:$I$18,MATCH(AX101,节奏总表!$T$4:$T$18,1))</f>
        <v>14</v>
      </c>
      <c r="AZ101" s="15">
        <f>芦花古楼!BC93+芦花古楼!BD92</f>
        <v>565</v>
      </c>
      <c r="BA101" s="16"/>
      <c r="BD101" s="64" t="s">
        <v>547</v>
      </c>
      <c r="BE101" s="61">
        <v>7</v>
      </c>
      <c r="BF101" s="61">
        <v>100</v>
      </c>
      <c r="BG101" s="61">
        <v>3</v>
      </c>
      <c r="BH101" s="61">
        <f t="shared" si="33"/>
        <v>31</v>
      </c>
      <c r="BI101" s="61">
        <v>31</v>
      </c>
      <c r="BN101" s="63"/>
      <c r="BO101" s="63"/>
      <c r="BP101" s="63"/>
      <c r="BQ101" s="63"/>
      <c r="BR101" s="63"/>
      <c r="BS101" s="63"/>
      <c r="BT101" s="63"/>
    </row>
    <row r="102" spans="37:72" ht="16.5" x14ac:dyDescent="0.2">
      <c r="AK102" s="69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4000</v>
      </c>
      <c r="AX102" s="61">
        <v>89</v>
      </c>
      <c r="AY102" s="61">
        <f>INDEX(节奏总表!$I$4:$I$18,MATCH(AX102,节奏总表!$T$4:$T$18,1))</f>
        <v>14</v>
      </c>
      <c r="AZ102" s="15">
        <f>芦花古楼!BC94+芦花古楼!BD93</f>
        <v>570</v>
      </c>
      <c r="BA102" s="16"/>
      <c r="BD102" s="64" t="s">
        <v>548</v>
      </c>
      <c r="BE102" s="61">
        <v>7</v>
      </c>
      <c r="BF102" s="61">
        <v>250</v>
      </c>
      <c r="BG102" s="61">
        <v>3</v>
      </c>
      <c r="BH102" s="61">
        <f t="shared" si="33"/>
        <v>31</v>
      </c>
      <c r="BI102" s="61">
        <v>31</v>
      </c>
      <c r="BN102" s="63"/>
      <c r="BO102" s="63"/>
      <c r="BP102" s="63"/>
      <c r="BQ102" s="63"/>
      <c r="BR102" s="63"/>
      <c r="BS102" s="63"/>
      <c r="BT102" s="63"/>
    </row>
    <row r="103" spans="37:72" ht="16.5" x14ac:dyDescent="0.2">
      <c r="AK103" s="69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4800</v>
      </c>
      <c r="AX103" s="61">
        <v>90</v>
      </c>
      <c r="AY103" s="61">
        <f>INDEX(节奏总表!$I$4:$I$18,MATCH(AX103,节奏总表!$T$4:$T$18,1))</f>
        <v>14</v>
      </c>
      <c r="AZ103" s="15">
        <f>芦花古楼!BC95+芦花古楼!BD94</f>
        <v>675</v>
      </c>
      <c r="BA103" s="16"/>
      <c r="BD103" s="64" t="s">
        <v>549</v>
      </c>
      <c r="BE103" s="61">
        <v>7</v>
      </c>
      <c r="BF103" s="61">
        <v>250</v>
      </c>
      <c r="BG103" s="61">
        <v>3</v>
      </c>
      <c r="BH103" s="61">
        <f t="shared" si="33"/>
        <v>31</v>
      </c>
      <c r="BI103" s="61">
        <v>31</v>
      </c>
      <c r="BN103" s="63"/>
      <c r="BO103" s="63"/>
      <c r="BP103" s="63"/>
      <c r="BQ103" s="63"/>
      <c r="BR103" s="63"/>
      <c r="BS103" s="63"/>
      <c r="BT103" s="63"/>
    </row>
    <row r="104" spans="37:72" ht="16.5" x14ac:dyDescent="0.2">
      <c r="AK104" s="69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6800</v>
      </c>
      <c r="AX104" s="61">
        <v>91</v>
      </c>
      <c r="AY104" s="61">
        <f>INDEX(节奏总表!$I$4:$I$18,MATCH(AX104,节奏总表!$T$4:$T$18,1))</f>
        <v>14</v>
      </c>
      <c r="AZ104" s="15">
        <f>芦花古楼!BC96+芦花古楼!BD95</f>
        <v>565</v>
      </c>
      <c r="BA104" s="16"/>
      <c r="BN104" s="63"/>
      <c r="BO104" s="63"/>
      <c r="BP104" s="63"/>
      <c r="BQ104" s="63"/>
      <c r="BR104" s="63"/>
      <c r="BS104" s="63"/>
      <c r="BT104" s="63"/>
    </row>
    <row r="105" spans="37:72" ht="16.5" x14ac:dyDescent="0.2">
      <c r="AK105" s="69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7950</v>
      </c>
      <c r="AX105" s="61">
        <v>92</v>
      </c>
      <c r="AY105" s="61">
        <f>INDEX(节奏总表!$I$4:$I$18,MATCH(AX105,节奏总表!$T$4:$T$18,1))</f>
        <v>14</v>
      </c>
      <c r="AZ105" s="15">
        <f>芦花古楼!BC97+芦花古楼!BD96</f>
        <v>570</v>
      </c>
      <c r="BA105" s="16"/>
      <c r="BN105" s="63"/>
      <c r="BO105" s="63"/>
      <c r="BP105" s="63"/>
      <c r="BQ105" s="63"/>
      <c r="BR105" s="63"/>
      <c r="BS105" s="63"/>
      <c r="BT105" s="63"/>
    </row>
    <row r="106" spans="37:72" ht="16.5" x14ac:dyDescent="0.2">
      <c r="AK106" s="69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9100</v>
      </c>
      <c r="AX106" s="61">
        <v>93</v>
      </c>
      <c r="AY106" s="61">
        <f>INDEX(节奏总表!$I$4:$I$18,MATCH(AX106,节奏总表!$T$4:$T$18,1))</f>
        <v>14</v>
      </c>
      <c r="AZ106" s="15">
        <f>芦花古楼!BC98+芦花古楼!BD97</f>
        <v>675</v>
      </c>
      <c r="BA106" s="16"/>
      <c r="BN106" s="63"/>
      <c r="BO106" s="63"/>
      <c r="BP106" s="63"/>
      <c r="BQ106" s="63"/>
      <c r="BR106" s="63"/>
      <c r="BS106" s="63"/>
      <c r="BT106" s="63"/>
    </row>
    <row r="107" spans="37:72" ht="16.5" x14ac:dyDescent="0.2">
      <c r="AK107" s="69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10250</v>
      </c>
      <c r="AX107" s="61">
        <v>94</v>
      </c>
      <c r="AY107" s="61">
        <f>INDEX(节奏总表!$I$4:$I$18,MATCH(AX107,节奏总表!$T$4:$T$18,1))</f>
        <v>14</v>
      </c>
      <c r="AZ107" s="15">
        <f>芦花古楼!BC99+芦花古楼!BD98</f>
        <v>565</v>
      </c>
      <c r="BA107" s="16"/>
      <c r="BN107" s="63"/>
      <c r="BO107" s="63"/>
      <c r="BP107" s="63"/>
      <c r="BQ107" s="63"/>
      <c r="BR107" s="63"/>
      <c r="BS107" s="63"/>
      <c r="BT107" s="63"/>
    </row>
    <row r="108" spans="37:72" ht="16.5" x14ac:dyDescent="0.2">
      <c r="AK108" s="69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11400</v>
      </c>
      <c r="AX108" s="61">
        <v>95</v>
      </c>
      <c r="AY108" s="61">
        <f>INDEX(节奏总表!$I$4:$I$18,MATCH(AX108,节奏总表!$T$4:$T$18,1))</f>
        <v>14</v>
      </c>
      <c r="AZ108" s="15">
        <f>芦花古楼!BC100+芦花古楼!BD99</f>
        <v>570</v>
      </c>
      <c r="BA108" s="16"/>
      <c r="BN108" s="63"/>
      <c r="BO108" s="63"/>
      <c r="BP108" s="63"/>
      <c r="BQ108" s="63"/>
      <c r="BR108" s="63"/>
      <c r="BS108" s="63"/>
      <c r="BT108" s="63"/>
    </row>
    <row r="109" spans="37:72" ht="16.5" x14ac:dyDescent="0.2">
      <c r="AK109" s="69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1">
        <v>96</v>
      </c>
      <c r="AY109" s="61">
        <f>INDEX(节奏总表!$I$4:$I$18,MATCH(AX109,节奏总表!$T$4:$T$18,1))</f>
        <v>14</v>
      </c>
      <c r="AZ109" s="15">
        <f>芦花古楼!BC101+芦花古楼!BD100</f>
        <v>675</v>
      </c>
      <c r="BA109" s="16"/>
      <c r="BN109" s="63"/>
      <c r="BO109" s="63"/>
      <c r="BP109" s="63"/>
      <c r="BQ109" s="63"/>
      <c r="BR109" s="63"/>
      <c r="BS109" s="63"/>
      <c r="BT109" s="63"/>
    </row>
    <row r="110" spans="37:72" ht="16.5" x14ac:dyDescent="0.2">
      <c r="AK110" s="69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1345</v>
      </c>
      <c r="AX110" s="61">
        <v>97</v>
      </c>
      <c r="AY110" s="61">
        <f>INDEX(节奏总表!$I$4:$I$18,MATCH(AX110,节奏总表!$T$4:$T$18,1))</f>
        <v>14</v>
      </c>
      <c r="AZ110" s="15">
        <f>芦花古楼!BC102+芦花古楼!BD101</f>
        <v>565</v>
      </c>
      <c r="BA110" s="16"/>
      <c r="BN110" s="63"/>
      <c r="BO110" s="63"/>
      <c r="BP110" s="63"/>
      <c r="BQ110" s="63"/>
      <c r="BR110" s="63"/>
      <c r="BS110" s="63"/>
      <c r="BT110" s="63"/>
    </row>
    <row r="111" spans="37:72" ht="16.5" x14ac:dyDescent="0.2">
      <c r="AK111" s="69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1790</v>
      </c>
      <c r="AX111" s="61">
        <v>98</v>
      </c>
      <c r="AY111" s="61">
        <f>INDEX(节奏总表!$I$4:$I$18,MATCH(AX111,节奏总表!$T$4:$T$18,1))</f>
        <v>14</v>
      </c>
      <c r="AZ111" s="15">
        <f>芦花古楼!BC103+芦花古楼!BD102</f>
        <v>570</v>
      </c>
      <c r="BA111" s="16"/>
    </row>
    <row r="112" spans="37:72" ht="16.5" x14ac:dyDescent="0.2">
      <c r="AK112" s="69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2240</v>
      </c>
      <c r="AX112" s="61">
        <v>99</v>
      </c>
      <c r="AY112" s="61">
        <f>INDEX(节奏总表!$I$4:$I$18,MATCH(AX112,节奏总表!$T$4:$T$18,1))</f>
        <v>14</v>
      </c>
      <c r="AZ112" s="15">
        <f>芦花古楼!BC104+芦花古楼!BD103</f>
        <v>675</v>
      </c>
      <c r="BA112" s="16"/>
    </row>
    <row r="113" spans="37:53" ht="16.5" x14ac:dyDescent="0.2">
      <c r="AK113" s="69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2690</v>
      </c>
      <c r="AX113" s="61">
        <v>100</v>
      </c>
      <c r="AY113" s="61">
        <f>INDEX(节奏总表!$I$4:$I$18,MATCH(AX113,节奏总表!$T$4:$T$18,1))</f>
        <v>14</v>
      </c>
      <c r="AZ113" s="15">
        <f>芦花古楼!BC105+芦花古楼!BD104</f>
        <v>570</v>
      </c>
      <c r="BA113" s="16"/>
    </row>
    <row r="114" spans="37:53" ht="16.5" x14ac:dyDescent="0.2">
      <c r="AK114" s="69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6520</v>
      </c>
    </row>
    <row r="115" spans="37:53" ht="16.5" x14ac:dyDescent="0.2">
      <c r="AK115" s="69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7460</v>
      </c>
    </row>
    <row r="116" spans="37:53" ht="16.5" x14ac:dyDescent="0.2">
      <c r="AK116" s="69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8400</v>
      </c>
    </row>
    <row r="117" spans="37:53" ht="16.5" x14ac:dyDescent="0.2">
      <c r="AK117" s="69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9320</v>
      </c>
    </row>
    <row r="118" spans="37:53" ht="16.5" x14ac:dyDescent="0.2">
      <c r="AK118" s="69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11200</v>
      </c>
    </row>
    <row r="119" spans="37:53" ht="16.5" x14ac:dyDescent="0.2">
      <c r="AK119" s="69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15950</v>
      </c>
    </row>
    <row r="120" spans="37:53" ht="16.5" x14ac:dyDescent="0.2">
      <c r="AK120" s="69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18600</v>
      </c>
    </row>
    <row r="121" spans="37:53" ht="16.5" x14ac:dyDescent="0.2">
      <c r="AK121" s="69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21250</v>
      </c>
    </row>
    <row r="122" spans="37:53" ht="16.5" x14ac:dyDescent="0.2">
      <c r="AK122" s="69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23950</v>
      </c>
    </row>
    <row r="123" spans="37:53" ht="16.5" x14ac:dyDescent="0.2">
      <c r="AK123" s="69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26600</v>
      </c>
    </row>
    <row r="124" spans="37:53" ht="16.5" x14ac:dyDescent="0.2">
      <c r="AK124" s="69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69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190</v>
      </c>
    </row>
    <row r="126" spans="37:53" ht="16.5" x14ac:dyDescent="0.2">
      <c r="AK126" s="69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250</v>
      </c>
    </row>
    <row r="127" spans="37:53" ht="16.5" x14ac:dyDescent="0.2">
      <c r="AK127" s="69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320</v>
      </c>
    </row>
    <row r="128" spans="37:53" ht="16.5" x14ac:dyDescent="0.2">
      <c r="AK128" s="69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380</v>
      </c>
    </row>
    <row r="129" spans="37:47" ht="16.5" x14ac:dyDescent="0.2">
      <c r="AK129" s="69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920</v>
      </c>
    </row>
    <row r="130" spans="37:47" ht="16.5" x14ac:dyDescent="0.2">
      <c r="AK130" s="69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1060</v>
      </c>
    </row>
    <row r="131" spans="37:47" ht="16.5" x14ac:dyDescent="0.2">
      <c r="AK131" s="69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1200</v>
      </c>
    </row>
    <row r="132" spans="37:47" ht="16.5" x14ac:dyDescent="0.2">
      <c r="AK132" s="69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1320</v>
      </c>
    </row>
    <row r="133" spans="37:47" ht="16.5" x14ac:dyDescent="0.2">
      <c r="AK133" s="69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1600</v>
      </c>
    </row>
    <row r="134" spans="37:47" ht="16.5" x14ac:dyDescent="0.2">
      <c r="AK134" s="69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2250</v>
      </c>
    </row>
    <row r="135" spans="37:47" ht="16.5" x14ac:dyDescent="0.2">
      <c r="AK135" s="69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2650</v>
      </c>
    </row>
    <row r="136" spans="37:47" ht="16.5" x14ac:dyDescent="0.2">
      <c r="AK136" s="69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3000</v>
      </c>
    </row>
    <row r="137" spans="37:47" ht="16.5" x14ac:dyDescent="0.2">
      <c r="AK137" s="69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3400</v>
      </c>
    </row>
    <row r="138" spans="37:47" ht="16.5" x14ac:dyDescent="0.2">
      <c r="AK138" s="69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3800</v>
      </c>
    </row>
    <row r="139" spans="37:47" ht="16.5" x14ac:dyDescent="0.2">
      <c r="AK139" s="69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69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69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69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69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69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69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69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575</v>
      </c>
    </row>
    <row r="147" spans="37:47" ht="16.5" x14ac:dyDescent="0.2">
      <c r="AK147" s="69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770</v>
      </c>
    </row>
    <row r="148" spans="37:47" ht="16.5" x14ac:dyDescent="0.2">
      <c r="AK148" s="69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960</v>
      </c>
    </row>
    <row r="149" spans="37:47" ht="16.5" x14ac:dyDescent="0.2">
      <c r="AK149" s="69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1150</v>
      </c>
    </row>
    <row r="150" spans="37:47" ht="16.5" x14ac:dyDescent="0.2">
      <c r="AK150" s="69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2800</v>
      </c>
    </row>
    <row r="151" spans="37:47" ht="16.5" x14ac:dyDescent="0.2">
      <c r="AK151" s="69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3200</v>
      </c>
    </row>
    <row r="152" spans="37:47" ht="16.5" x14ac:dyDescent="0.2">
      <c r="AK152" s="69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3600</v>
      </c>
    </row>
    <row r="153" spans="37:47" ht="16.5" x14ac:dyDescent="0.2">
      <c r="AK153" s="69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4000</v>
      </c>
    </row>
    <row r="154" spans="37:47" ht="16.5" x14ac:dyDescent="0.2">
      <c r="AK154" s="69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4800</v>
      </c>
    </row>
    <row r="155" spans="37:47" ht="16.5" x14ac:dyDescent="0.2">
      <c r="AK155" s="69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6800</v>
      </c>
    </row>
    <row r="156" spans="37:47" ht="16.5" x14ac:dyDescent="0.2">
      <c r="AK156" s="69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7950</v>
      </c>
    </row>
    <row r="157" spans="37:47" ht="16.5" x14ac:dyDescent="0.2">
      <c r="AK157" s="69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9100</v>
      </c>
    </row>
    <row r="158" spans="37:47" ht="16.5" x14ac:dyDescent="0.2">
      <c r="AK158" s="69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10250</v>
      </c>
    </row>
    <row r="159" spans="37:47" ht="16.5" x14ac:dyDescent="0.2">
      <c r="AK159" s="69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11400</v>
      </c>
    </row>
    <row r="160" spans="37:47" ht="16.5" x14ac:dyDescent="0.2">
      <c r="AK160" s="69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69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69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69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69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69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69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69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575</v>
      </c>
    </row>
    <row r="168" spans="37:47" ht="16.5" x14ac:dyDescent="0.2">
      <c r="AK168" s="69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770</v>
      </c>
    </row>
    <row r="169" spans="37:47" ht="16.5" x14ac:dyDescent="0.2">
      <c r="AK169" s="69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960</v>
      </c>
    </row>
    <row r="170" spans="37:47" ht="16.5" x14ac:dyDescent="0.2">
      <c r="AK170" s="69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1150</v>
      </c>
    </row>
    <row r="171" spans="37:47" ht="16.5" x14ac:dyDescent="0.2">
      <c r="AK171" s="69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2800</v>
      </c>
    </row>
    <row r="172" spans="37:47" ht="16.5" x14ac:dyDescent="0.2">
      <c r="AK172" s="69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3200</v>
      </c>
    </row>
    <row r="173" spans="37:47" ht="16.5" x14ac:dyDescent="0.2">
      <c r="AK173" s="69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3600</v>
      </c>
    </row>
    <row r="174" spans="37:47" ht="16.5" x14ac:dyDescent="0.2">
      <c r="AK174" s="69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4000</v>
      </c>
    </row>
    <row r="175" spans="37:47" ht="16.5" x14ac:dyDescent="0.2">
      <c r="AK175" s="69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4800</v>
      </c>
    </row>
    <row r="176" spans="37:47" ht="16.5" x14ac:dyDescent="0.2">
      <c r="AK176" s="69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6800</v>
      </c>
    </row>
    <row r="177" spans="37:47" ht="16.5" x14ac:dyDescent="0.2">
      <c r="AK177" s="69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7950</v>
      </c>
    </row>
    <row r="178" spans="37:47" ht="16.5" x14ac:dyDescent="0.2">
      <c r="AK178" s="69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9100</v>
      </c>
    </row>
    <row r="179" spans="37:47" ht="16.5" x14ac:dyDescent="0.2">
      <c r="AK179" s="69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10250</v>
      </c>
    </row>
    <row r="180" spans="37:47" ht="16.5" x14ac:dyDescent="0.2">
      <c r="AK180" s="69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11400</v>
      </c>
    </row>
    <row r="181" spans="37:47" ht="16.5" x14ac:dyDescent="0.2">
      <c r="AK181" s="69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69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69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69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69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69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69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69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1345</v>
      </c>
    </row>
    <row r="189" spans="37:47" ht="16.5" x14ac:dyDescent="0.2">
      <c r="AK189" s="69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1790</v>
      </c>
    </row>
    <row r="190" spans="37:47" ht="16.5" x14ac:dyDescent="0.2">
      <c r="AK190" s="69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2240</v>
      </c>
    </row>
    <row r="191" spans="37:47" ht="16.5" x14ac:dyDescent="0.2">
      <c r="AK191" s="69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2690</v>
      </c>
    </row>
    <row r="192" spans="37:47" ht="16.5" x14ac:dyDescent="0.2">
      <c r="AK192" s="69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6520</v>
      </c>
    </row>
    <row r="193" spans="37:47" ht="16.5" x14ac:dyDescent="0.2">
      <c r="AK193" s="69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7460</v>
      </c>
    </row>
    <row r="194" spans="37:47" ht="16.5" x14ac:dyDescent="0.2">
      <c r="AK194" s="69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8400</v>
      </c>
    </row>
    <row r="195" spans="37:47" ht="16.5" x14ac:dyDescent="0.2">
      <c r="AK195" s="69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9320</v>
      </c>
    </row>
    <row r="196" spans="37:47" ht="16.5" x14ac:dyDescent="0.2">
      <c r="AK196" s="69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11200</v>
      </c>
    </row>
    <row r="197" spans="37:47" ht="16.5" x14ac:dyDescent="0.2">
      <c r="AK197" s="69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15950</v>
      </c>
    </row>
    <row r="198" spans="37:47" ht="16.5" x14ac:dyDescent="0.2">
      <c r="AK198" s="69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18600</v>
      </c>
    </row>
    <row r="199" spans="37:47" ht="16.5" x14ac:dyDescent="0.2">
      <c r="AK199" s="69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21250</v>
      </c>
    </row>
    <row r="200" spans="37:47" ht="16.5" x14ac:dyDescent="0.2">
      <c r="AK200" s="69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23950</v>
      </c>
    </row>
    <row r="201" spans="37:47" ht="16.5" x14ac:dyDescent="0.2">
      <c r="AK201" s="69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26600</v>
      </c>
    </row>
    <row r="202" spans="37:47" ht="16.5" x14ac:dyDescent="0.2">
      <c r="AK202" s="69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69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69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69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69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69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69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69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1345</v>
      </c>
    </row>
    <row r="210" spans="37:47" ht="16.5" x14ac:dyDescent="0.2">
      <c r="AK210" s="69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1790</v>
      </c>
    </row>
    <row r="211" spans="37:47" ht="16.5" x14ac:dyDescent="0.2">
      <c r="AK211" s="69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2240</v>
      </c>
    </row>
    <row r="212" spans="37:47" ht="16.5" x14ac:dyDescent="0.2">
      <c r="AK212" s="69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2690</v>
      </c>
    </row>
    <row r="213" spans="37:47" ht="16.5" x14ac:dyDescent="0.2">
      <c r="AK213" s="69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6520</v>
      </c>
    </row>
    <row r="214" spans="37:47" ht="16.5" x14ac:dyDescent="0.2">
      <c r="AK214" s="69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7460</v>
      </c>
    </row>
    <row r="215" spans="37:47" ht="16.5" x14ac:dyDescent="0.2">
      <c r="AK215" s="69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8400</v>
      </c>
    </row>
    <row r="216" spans="37:47" ht="16.5" x14ac:dyDescent="0.2">
      <c r="AK216" s="69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9320</v>
      </c>
    </row>
    <row r="217" spans="37:47" ht="16.5" x14ac:dyDescent="0.2">
      <c r="AK217" s="69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11200</v>
      </c>
    </row>
    <row r="218" spans="37:47" ht="16.5" x14ac:dyDescent="0.2">
      <c r="AK218" s="69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15950</v>
      </c>
    </row>
    <row r="219" spans="37:47" ht="16.5" x14ac:dyDescent="0.2">
      <c r="AK219" s="69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18600</v>
      </c>
    </row>
    <row r="220" spans="37:47" ht="16.5" x14ac:dyDescent="0.2">
      <c r="AK220" s="69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21250</v>
      </c>
    </row>
    <row r="221" spans="37:47" ht="16.5" x14ac:dyDescent="0.2">
      <c r="AK221" s="69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23950</v>
      </c>
    </row>
    <row r="222" spans="37:47" ht="16.5" x14ac:dyDescent="0.2">
      <c r="AK222" s="69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26600</v>
      </c>
    </row>
    <row r="223" spans="37:47" ht="16.5" x14ac:dyDescent="0.2">
      <c r="AK223" s="69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69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69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69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69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69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69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69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2885</v>
      </c>
    </row>
    <row r="231" spans="37:47" ht="16.5" x14ac:dyDescent="0.2">
      <c r="AK231" s="69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3850</v>
      </c>
    </row>
    <row r="232" spans="37:47" ht="16.5" x14ac:dyDescent="0.2">
      <c r="AK232" s="69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4810</v>
      </c>
    </row>
    <row r="233" spans="37:47" ht="16.5" x14ac:dyDescent="0.2">
      <c r="AK233" s="69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5770</v>
      </c>
    </row>
    <row r="234" spans="37:47" ht="16.5" x14ac:dyDescent="0.2">
      <c r="AK234" s="69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14000</v>
      </c>
    </row>
    <row r="235" spans="37:47" ht="16.5" x14ac:dyDescent="0.2">
      <c r="AK235" s="69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16000</v>
      </c>
    </row>
    <row r="236" spans="37:47" ht="16.5" x14ac:dyDescent="0.2">
      <c r="AK236" s="69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18000</v>
      </c>
    </row>
    <row r="237" spans="37:47" ht="16.5" x14ac:dyDescent="0.2">
      <c r="AK237" s="69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20000</v>
      </c>
    </row>
    <row r="238" spans="37:47" ht="16.5" x14ac:dyDescent="0.2">
      <c r="AK238" s="69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24000</v>
      </c>
    </row>
    <row r="239" spans="37:47" ht="16.5" x14ac:dyDescent="0.2">
      <c r="AK239" s="69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34200</v>
      </c>
    </row>
    <row r="240" spans="37:47" ht="16.5" x14ac:dyDescent="0.2">
      <c r="AK240" s="69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39900</v>
      </c>
    </row>
    <row r="241" spans="37:47" ht="16.5" x14ac:dyDescent="0.2">
      <c r="AK241" s="69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45600</v>
      </c>
    </row>
    <row r="242" spans="37:47" ht="16.5" x14ac:dyDescent="0.2">
      <c r="AK242" s="69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51300</v>
      </c>
    </row>
    <row r="243" spans="37:47" ht="16.5" x14ac:dyDescent="0.2">
      <c r="AK243" s="69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57000</v>
      </c>
    </row>
    <row r="244" spans="37:47" ht="16.5" x14ac:dyDescent="0.2">
      <c r="AK244" s="69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69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69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69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69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69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69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69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190</v>
      </c>
    </row>
    <row r="252" spans="37:47" ht="16.5" x14ac:dyDescent="0.2">
      <c r="AK252" s="69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250</v>
      </c>
    </row>
    <row r="253" spans="37:47" ht="16.5" x14ac:dyDescent="0.2">
      <c r="AK253" s="69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320</v>
      </c>
    </row>
    <row r="254" spans="37:47" ht="16.5" x14ac:dyDescent="0.2">
      <c r="AK254" s="69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380</v>
      </c>
    </row>
    <row r="255" spans="37:47" ht="16.5" x14ac:dyDescent="0.2">
      <c r="AK255" s="69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920</v>
      </c>
    </row>
    <row r="256" spans="37:47" ht="16.5" x14ac:dyDescent="0.2">
      <c r="AK256" s="69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1060</v>
      </c>
    </row>
    <row r="257" spans="37:47" ht="16.5" x14ac:dyDescent="0.2">
      <c r="AK257" s="69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1200</v>
      </c>
    </row>
    <row r="258" spans="37:47" ht="16.5" x14ac:dyDescent="0.2">
      <c r="AK258" s="69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1320</v>
      </c>
    </row>
    <row r="259" spans="37:47" ht="16.5" x14ac:dyDescent="0.2">
      <c r="AK259" s="69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1600</v>
      </c>
    </row>
    <row r="260" spans="37:47" ht="16.5" x14ac:dyDescent="0.2">
      <c r="AK260" s="69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2250</v>
      </c>
    </row>
    <row r="261" spans="37:47" ht="16.5" x14ac:dyDescent="0.2">
      <c r="AK261" s="69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2650</v>
      </c>
    </row>
    <row r="262" spans="37:47" ht="16.5" x14ac:dyDescent="0.2">
      <c r="AK262" s="69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3000</v>
      </c>
    </row>
    <row r="263" spans="37:47" ht="16.5" x14ac:dyDescent="0.2">
      <c r="AK263" s="69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3400</v>
      </c>
    </row>
    <row r="264" spans="37:47" ht="16.5" x14ac:dyDescent="0.2">
      <c r="AK264" s="69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3800</v>
      </c>
    </row>
    <row r="265" spans="37:47" ht="16.5" x14ac:dyDescent="0.2">
      <c r="AK265" s="69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69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69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69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69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69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69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69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190</v>
      </c>
    </row>
    <row r="273" spans="37:47" ht="16.5" x14ac:dyDescent="0.2">
      <c r="AK273" s="69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250</v>
      </c>
    </row>
    <row r="274" spans="37:47" ht="16.5" x14ac:dyDescent="0.2">
      <c r="AK274" s="69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320</v>
      </c>
    </row>
    <row r="275" spans="37:47" ht="16.5" x14ac:dyDescent="0.2">
      <c r="AK275" s="69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380</v>
      </c>
    </row>
    <row r="276" spans="37:47" ht="16.5" x14ac:dyDescent="0.2">
      <c r="AK276" s="69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920</v>
      </c>
    </row>
    <row r="277" spans="37:47" ht="16.5" x14ac:dyDescent="0.2">
      <c r="AK277" s="69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1060</v>
      </c>
    </row>
    <row r="278" spans="37:47" ht="16.5" x14ac:dyDescent="0.2">
      <c r="AK278" s="69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1200</v>
      </c>
    </row>
    <row r="279" spans="37:47" ht="16.5" x14ac:dyDescent="0.2">
      <c r="AK279" s="69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1320</v>
      </c>
    </row>
    <row r="280" spans="37:47" ht="16.5" x14ac:dyDescent="0.2">
      <c r="AK280" s="69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1600</v>
      </c>
    </row>
    <row r="281" spans="37:47" ht="16.5" x14ac:dyDescent="0.2">
      <c r="AK281" s="69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2250</v>
      </c>
    </row>
    <row r="282" spans="37:47" ht="16.5" x14ac:dyDescent="0.2">
      <c r="AK282" s="69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2650</v>
      </c>
    </row>
    <row r="283" spans="37:47" ht="16.5" x14ac:dyDescent="0.2">
      <c r="AK283" s="69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3000</v>
      </c>
    </row>
    <row r="284" spans="37:47" ht="16.5" x14ac:dyDescent="0.2">
      <c r="AK284" s="69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3400</v>
      </c>
    </row>
    <row r="285" spans="37:47" ht="16.5" x14ac:dyDescent="0.2">
      <c r="AK285" s="69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3800</v>
      </c>
    </row>
    <row r="286" spans="37:47" ht="16.5" x14ac:dyDescent="0.2">
      <c r="AK286" s="69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69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69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69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69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69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69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69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575</v>
      </c>
    </row>
    <row r="294" spans="37:47" ht="16.5" x14ac:dyDescent="0.2">
      <c r="AK294" s="69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770</v>
      </c>
    </row>
    <row r="295" spans="37:47" ht="16.5" x14ac:dyDescent="0.2">
      <c r="AK295" s="69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960</v>
      </c>
    </row>
    <row r="296" spans="37:47" ht="16.5" x14ac:dyDescent="0.2">
      <c r="AK296" s="69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1150</v>
      </c>
    </row>
    <row r="297" spans="37:47" ht="16.5" x14ac:dyDescent="0.2">
      <c r="AK297" s="69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2800</v>
      </c>
    </row>
    <row r="298" spans="37:47" ht="16.5" x14ac:dyDescent="0.2">
      <c r="AK298" s="69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3200</v>
      </c>
    </row>
    <row r="299" spans="37:47" ht="16.5" x14ac:dyDescent="0.2">
      <c r="AK299" s="69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3600</v>
      </c>
    </row>
    <row r="300" spans="37:47" ht="16.5" x14ac:dyDescent="0.2">
      <c r="AK300" s="69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4000</v>
      </c>
    </row>
    <row r="301" spans="37:47" ht="16.5" x14ac:dyDescent="0.2">
      <c r="AK301" s="69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4800</v>
      </c>
    </row>
    <row r="302" spans="37:47" ht="16.5" x14ac:dyDescent="0.2">
      <c r="AK302" s="69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6800</v>
      </c>
    </row>
    <row r="303" spans="37:47" ht="16.5" x14ac:dyDescent="0.2">
      <c r="AK303" s="69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7950</v>
      </c>
    </row>
    <row r="304" spans="37:47" ht="16.5" x14ac:dyDescent="0.2">
      <c r="AK304" s="69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9100</v>
      </c>
    </row>
    <row r="305" spans="37:47" ht="16.5" x14ac:dyDescent="0.2">
      <c r="AK305" s="69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10250</v>
      </c>
    </row>
    <row r="306" spans="37:47" ht="16.5" x14ac:dyDescent="0.2">
      <c r="AK306" s="69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11400</v>
      </c>
    </row>
    <row r="307" spans="37:47" ht="16.5" x14ac:dyDescent="0.2">
      <c r="AK307" s="69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69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69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69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69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69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69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69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575</v>
      </c>
    </row>
    <row r="315" spans="37:47" ht="16.5" x14ac:dyDescent="0.2">
      <c r="AK315" s="69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770</v>
      </c>
    </row>
    <row r="316" spans="37:47" ht="16.5" x14ac:dyDescent="0.2">
      <c r="AK316" s="69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960</v>
      </c>
    </row>
    <row r="317" spans="37:47" ht="16.5" x14ac:dyDescent="0.2">
      <c r="AK317" s="69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1150</v>
      </c>
    </row>
    <row r="318" spans="37:47" ht="16.5" x14ac:dyDescent="0.2">
      <c r="AK318" s="69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2800</v>
      </c>
    </row>
    <row r="319" spans="37:47" ht="16.5" x14ac:dyDescent="0.2">
      <c r="AK319" s="69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3200</v>
      </c>
    </row>
    <row r="320" spans="37:47" ht="16.5" x14ac:dyDescent="0.2">
      <c r="AK320" s="69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3600</v>
      </c>
    </row>
    <row r="321" spans="37:47" ht="16.5" x14ac:dyDescent="0.2">
      <c r="AK321" s="69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4000</v>
      </c>
    </row>
    <row r="322" spans="37:47" ht="16.5" x14ac:dyDescent="0.2">
      <c r="AK322" s="69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4800</v>
      </c>
    </row>
    <row r="323" spans="37:47" ht="16.5" x14ac:dyDescent="0.2">
      <c r="AK323" s="69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6800</v>
      </c>
    </row>
    <row r="324" spans="37:47" ht="16.5" x14ac:dyDescent="0.2">
      <c r="AK324" s="69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7950</v>
      </c>
    </row>
    <row r="325" spans="37:47" ht="16.5" x14ac:dyDescent="0.2">
      <c r="AK325" s="69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9100</v>
      </c>
    </row>
    <row r="326" spans="37:47" ht="16.5" x14ac:dyDescent="0.2">
      <c r="AK326" s="69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10250</v>
      </c>
    </row>
    <row r="327" spans="37:47" ht="16.5" x14ac:dyDescent="0.2">
      <c r="AK327" s="69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11400</v>
      </c>
    </row>
    <row r="328" spans="37:47" ht="16.5" x14ac:dyDescent="0.2">
      <c r="AK328" s="69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69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69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69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69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69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69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69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575</v>
      </c>
    </row>
    <row r="336" spans="37:47" ht="16.5" x14ac:dyDescent="0.2">
      <c r="AK336" s="69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770</v>
      </c>
    </row>
    <row r="337" spans="37:47" ht="16.5" x14ac:dyDescent="0.2">
      <c r="AK337" s="69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960</v>
      </c>
    </row>
    <row r="338" spans="37:47" ht="16.5" x14ac:dyDescent="0.2">
      <c r="AK338" s="69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1150</v>
      </c>
    </row>
    <row r="339" spans="37:47" ht="16.5" x14ac:dyDescent="0.2">
      <c r="AK339" s="69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2800</v>
      </c>
    </row>
    <row r="340" spans="37:47" ht="16.5" x14ac:dyDescent="0.2">
      <c r="AK340" s="69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3200</v>
      </c>
    </row>
    <row r="341" spans="37:47" ht="16.5" x14ac:dyDescent="0.2">
      <c r="AK341" s="69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3600</v>
      </c>
    </row>
    <row r="342" spans="37:47" ht="16.5" x14ac:dyDescent="0.2">
      <c r="AK342" s="69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4000</v>
      </c>
    </row>
    <row r="343" spans="37:47" ht="16.5" x14ac:dyDescent="0.2">
      <c r="AK343" s="69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4800</v>
      </c>
    </row>
    <row r="344" spans="37:47" ht="16.5" x14ac:dyDescent="0.2">
      <c r="AK344" s="69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6800</v>
      </c>
    </row>
    <row r="345" spans="37:47" ht="16.5" x14ac:dyDescent="0.2">
      <c r="AK345" s="69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7950</v>
      </c>
    </row>
    <row r="346" spans="37:47" ht="16.5" x14ac:dyDescent="0.2">
      <c r="AK346" s="69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9100</v>
      </c>
    </row>
    <row r="347" spans="37:47" ht="16.5" x14ac:dyDescent="0.2">
      <c r="AK347" s="69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10250</v>
      </c>
    </row>
    <row r="348" spans="37:47" ht="16.5" x14ac:dyDescent="0.2">
      <c r="AK348" s="69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11400</v>
      </c>
    </row>
    <row r="349" spans="37:47" ht="16.5" x14ac:dyDescent="0.2">
      <c r="AK349" s="69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69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69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69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69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69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69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69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1345</v>
      </c>
    </row>
    <row r="357" spans="37:47" ht="16.5" x14ac:dyDescent="0.2">
      <c r="AK357" s="69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1790</v>
      </c>
    </row>
    <row r="358" spans="37:47" ht="16.5" x14ac:dyDescent="0.2">
      <c r="AK358" s="69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2240</v>
      </c>
    </row>
    <row r="359" spans="37:47" ht="16.5" x14ac:dyDescent="0.2">
      <c r="AK359" s="69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2690</v>
      </c>
    </row>
    <row r="360" spans="37:47" ht="16.5" x14ac:dyDescent="0.2">
      <c r="AK360" s="69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6520</v>
      </c>
    </row>
    <row r="361" spans="37:47" ht="16.5" x14ac:dyDescent="0.2">
      <c r="AK361" s="69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7460</v>
      </c>
    </row>
    <row r="362" spans="37:47" ht="16.5" x14ac:dyDescent="0.2">
      <c r="AK362" s="69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8400</v>
      </c>
    </row>
    <row r="363" spans="37:47" ht="16.5" x14ac:dyDescent="0.2">
      <c r="AK363" s="69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9320</v>
      </c>
    </row>
    <row r="364" spans="37:47" ht="16.5" x14ac:dyDescent="0.2">
      <c r="AK364" s="69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11200</v>
      </c>
    </row>
    <row r="365" spans="37:47" ht="16.5" x14ac:dyDescent="0.2">
      <c r="AK365" s="69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15950</v>
      </c>
    </row>
    <row r="366" spans="37:47" ht="16.5" x14ac:dyDescent="0.2">
      <c r="AK366" s="69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18600</v>
      </c>
    </row>
    <row r="367" spans="37:47" ht="16.5" x14ac:dyDescent="0.2">
      <c r="AK367" s="69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21250</v>
      </c>
    </row>
    <row r="368" spans="37:47" ht="16.5" x14ac:dyDescent="0.2">
      <c r="AK368" s="69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23950</v>
      </c>
    </row>
    <row r="369" spans="37:47" ht="16.5" x14ac:dyDescent="0.2">
      <c r="AK369" s="69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26600</v>
      </c>
    </row>
    <row r="370" spans="37:47" ht="16.5" x14ac:dyDescent="0.2">
      <c r="AK370" s="69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69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69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69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69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69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69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69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190</v>
      </c>
    </row>
    <row r="378" spans="37:47" ht="16.5" x14ac:dyDescent="0.2">
      <c r="AK378" s="69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250</v>
      </c>
    </row>
    <row r="379" spans="37:47" ht="16.5" x14ac:dyDescent="0.2">
      <c r="AK379" s="69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320</v>
      </c>
    </row>
    <row r="380" spans="37:47" ht="16.5" x14ac:dyDescent="0.2">
      <c r="AK380" s="69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380</v>
      </c>
    </row>
    <row r="381" spans="37:47" ht="16.5" x14ac:dyDescent="0.2">
      <c r="AK381" s="69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920</v>
      </c>
    </row>
    <row r="382" spans="37:47" ht="16.5" x14ac:dyDescent="0.2">
      <c r="AK382" s="69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1060</v>
      </c>
    </row>
    <row r="383" spans="37:47" ht="16.5" x14ac:dyDescent="0.2">
      <c r="AK383" s="69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1200</v>
      </c>
    </row>
    <row r="384" spans="37:47" ht="16.5" x14ac:dyDescent="0.2">
      <c r="AK384" s="69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1320</v>
      </c>
    </row>
    <row r="385" spans="37:47" ht="16.5" x14ac:dyDescent="0.2">
      <c r="AK385" s="69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1600</v>
      </c>
    </row>
    <row r="386" spans="37:47" ht="16.5" x14ac:dyDescent="0.2">
      <c r="AK386" s="69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2250</v>
      </c>
    </row>
    <row r="387" spans="37:47" ht="16.5" x14ac:dyDescent="0.2">
      <c r="AK387" s="69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2650</v>
      </c>
    </row>
    <row r="388" spans="37:47" ht="16.5" x14ac:dyDescent="0.2">
      <c r="AK388" s="69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3000</v>
      </c>
    </row>
    <row r="389" spans="37:47" ht="16.5" x14ac:dyDescent="0.2">
      <c r="AK389" s="69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3400</v>
      </c>
    </row>
    <row r="390" spans="37:47" ht="16.5" x14ac:dyDescent="0.2">
      <c r="AK390" s="69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3800</v>
      </c>
    </row>
    <row r="391" spans="37:47" ht="16.5" x14ac:dyDescent="0.2">
      <c r="AK391" s="69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69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69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69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69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69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69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69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190</v>
      </c>
    </row>
    <row r="399" spans="37:47" ht="16.5" x14ac:dyDescent="0.2">
      <c r="AK399" s="69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250</v>
      </c>
    </row>
    <row r="400" spans="37:47" ht="16.5" x14ac:dyDescent="0.2">
      <c r="AK400" s="69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320</v>
      </c>
    </row>
    <row r="401" spans="37:47" ht="16.5" x14ac:dyDescent="0.2">
      <c r="AK401" s="69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380</v>
      </c>
    </row>
    <row r="402" spans="37:47" ht="16.5" x14ac:dyDescent="0.2">
      <c r="AK402" s="69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920</v>
      </c>
    </row>
    <row r="403" spans="37:47" ht="16.5" x14ac:dyDescent="0.2">
      <c r="AK403" s="69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1060</v>
      </c>
    </row>
    <row r="404" spans="37:47" ht="16.5" x14ac:dyDescent="0.2">
      <c r="AK404" s="69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1200</v>
      </c>
    </row>
    <row r="405" spans="37:47" ht="16.5" x14ac:dyDescent="0.2">
      <c r="AK405" s="69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1320</v>
      </c>
    </row>
    <row r="406" spans="37:47" ht="16.5" x14ac:dyDescent="0.2">
      <c r="AK406" s="69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1600</v>
      </c>
    </row>
    <row r="407" spans="37:47" ht="16.5" x14ac:dyDescent="0.2">
      <c r="AK407" s="69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2250</v>
      </c>
    </row>
    <row r="408" spans="37:47" ht="16.5" x14ac:dyDescent="0.2">
      <c r="AK408" s="69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2650</v>
      </c>
    </row>
    <row r="409" spans="37:47" ht="16.5" x14ac:dyDescent="0.2">
      <c r="AK409" s="69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3000</v>
      </c>
    </row>
    <row r="410" spans="37:47" ht="16.5" x14ac:dyDescent="0.2">
      <c r="AK410" s="69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3400</v>
      </c>
    </row>
    <row r="411" spans="37:47" ht="16.5" x14ac:dyDescent="0.2">
      <c r="AK411" s="69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3800</v>
      </c>
    </row>
    <row r="412" spans="37:47" ht="16.5" x14ac:dyDescent="0.2">
      <c r="AK412" s="69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69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69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69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69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69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69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69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575</v>
      </c>
    </row>
    <row r="420" spans="37:47" ht="16.5" x14ac:dyDescent="0.2">
      <c r="AK420" s="69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770</v>
      </c>
    </row>
    <row r="421" spans="37:47" ht="16.5" x14ac:dyDescent="0.2">
      <c r="AK421" s="69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960</v>
      </c>
    </row>
    <row r="422" spans="37:47" ht="16.5" x14ac:dyDescent="0.2">
      <c r="AK422" s="69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1150</v>
      </c>
    </row>
    <row r="423" spans="37:47" ht="16.5" x14ac:dyDescent="0.2">
      <c r="AK423" s="69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2800</v>
      </c>
    </row>
    <row r="424" spans="37:47" ht="16.5" x14ac:dyDescent="0.2">
      <c r="AK424" s="69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3200</v>
      </c>
    </row>
    <row r="425" spans="37:47" ht="16.5" x14ac:dyDescent="0.2">
      <c r="AK425" s="69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3600</v>
      </c>
    </row>
    <row r="426" spans="37:47" ht="16.5" x14ac:dyDescent="0.2">
      <c r="AK426" s="69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4000</v>
      </c>
    </row>
    <row r="427" spans="37:47" ht="16.5" x14ac:dyDescent="0.2">
      <c r="AK427" s="69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4800</v>
      </c>
    </row>
    <row r="428" spans="37:47" ht="16.5" x14ac:dyDescent="0.2">
      <c r="AK428" s="69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6800</v>
      </c>
    </row>
    <row r="429" spans="37:47" ht="16.5" x14ac:dyDescent="0.2">
      <c r="AK429" s="69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7950</v>
      </c>
    </row>
    <row r="430" spans="37:47" ht="16.5" x14ac:dyDescent="0.2">
      <c r="AK430" s="69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9100</v>
      </c>
    </row>
    <row r="431" spans="37:47" ht="16.5" x14ac:dyDescent="0.2">
      <c r="AK431" s="69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10250</v>
      </c>
    </row>
    <row r="432" spans="37:47" ht="16.5" x14ac:dyDescent="0.2">
      <c r="AK432" s="69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11400</v>
      </c>
    </row>
    <row r="433" spans="37:47" ht="16.5" x14ac:dyDescent="0.2">
      <c r="AK433" s="69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69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69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69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69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69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69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69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575</v>
      </c>
    </row>
    <row r="441" spans="37:47" ht="16.5" x14ac:dyDescent="0.2">
      <c r="AK441" s="69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770</v>
      </c>
    </row>
    <row r="442" spans="37:47" ht="16.5" x14ac:dyDescent="0.2">
      <c r="AK442" s="69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960</v>
      </c>
    </row>
    <row r="443" spans="37:47" ht="16.5" x14ac:dyDescent="0.2">
      <c r="AK443" s="69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1150</v>
      </c>
    </row>
    <row r="444" spans="37:47" ht="16.5" x14ac:dyDescent="0.2">
      <c r="AK444" s="69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2800</v>
      </c>
    </row>
    <row r="445" spans="37:47" ht="16.5" x14ac:dyDescent="0.2">
      <c r="AK445" s="69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3200</v>
      </c>
    </row>
    <row r="446" spans="37:47" ht="16.5" x14ac:dyDescent="0.2">
      <c r="AK446" s="69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3600</v>
      </c>
    </row>
    <row r="447" spans="37:47" ht="16.5" x14ac:dyDescent="0.2">
      <c r="AK447" s="69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4000</v>
      </c>
    </row>
    <row r="448" spans="37:47" ht="16.5" x14ac:dyDescent="0.2">
      <c r="AK448" s="69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4800</v>
      </c>
    </row>
    <row r="449" spans="37:47" ht="16.5" x14ac:dyDescent="0.2">
      <c r="AK449" s="69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6800</v>
      </c>
    </row>
    <row r="450" spans="37:47" ht="16.5" x14ac:dyDescent="0.2">
      <c r="AK450" s="69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7950</v>
      </c>
    </row>
    <row r="451" spans="37:47" ht="16.5" x14ac:dyDescent="0.2">
      <c r="AK451" s="69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9100</v>
      </c>
    </row>
    <row r="452" spans="37:47" ht="16.5" x14ac:dyDescent="0.2">
      <c r="AK452" s="69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10250</v>
      </c>
    </row>
    <row r="453" spans="37:47" ht="16.5" x14ac:dyDescent="0.2">
      <c r="AK453" s="69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11400</v>
      </c>
    </row>
    <row r="454" spans="37:47" ht="16.5" x14ac:dyDescent="0.2">
      <c r="AK454" s="69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69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69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69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69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69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69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69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575</v>
      </c>
    </row>
    <row r="462" spans="37:47" ht="16.5" x14ac:dyDescent="0.2">
      <c r="AK462" s="69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770</v>
      </c>
    </row>
    <row r="463" spans="37:47" ht="16.5" x14ac:dyDescent="0.2">
      <c r="AK463" s="69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960</v>
      </c>
    </row>
    <row r="464" spans="37:47" ht="16.5" x14ac:dyDescent="0.2">
      <c r="AK464" s="69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1150</v>
      </c>
    </row>
    <row r="465" spans="37:47" ht="16.5" x14ac:dyDescent="0.2">
      <c r="AK465" s="69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2800</v>
      </c>
    </row>
    <row r="466" spans="37:47" ht="16.5" x14ac:dyDescent="0.2">
      <c r="AK466" s="69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3200</v>
      </c>
    </row>
    <row r="467" spans="37:47" ht="16.5" x14ac:dyDescent="0.2">
      <c r="AK467" s="69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3600</v>
      </c>
    </row>
    <row r="468" spans="37:47" ht="16.5" x14ac:dyDescent="0.2">
      <c r="AK468" s="69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4000</v>
      </c>
    </row>
    <row r="469" spans="37:47" ht="16.5" x14ac:dyDescent="0.2">
      <c r="AK469" s="69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4800</v>
      </c>
    </row>
    <row r="470" spans="37:47" ht="16.5" x14ac:dyDescent="0.2">
      <c r="AK470" s="69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6800</v>
      </c>
    </row>
    <row r="471" spans="37:47" ht="16.5" x14ac:dyDescent="0.2">
      <c r="AK471" s="69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7950</v>
      </c>
    </row>
    <row r="472" spans="37:47" ht="16.5" x14ac:dyDescent="0.2">
      <c r="AK472" s="69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9100</v>
      </c>
    </row>
    <row r="473" spans="37:47" ht="16.5" x14ac:dyDescent="0.2">
      <c r="AK473" s="69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10250</v>
      </c>
    </row>
    <row r="474" spans="37:47" ht="16.5" x14ac:dyDescent="0.2">
      <c r="AK474" s="69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11400</v>
      </c>
    </row>
    <row r="475" spans="37:47" ht="16.5" x14ac:dyDescent="0.2">
      <c r="AK475" s="69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69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69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69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69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69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69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69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1345</v>
      </c>
    </row>
    <row r="483" spans="37:47" ht="16.5" x14ac:dyDescent="0.2">
      <c r="AK483" s="69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1790</v>
      </c>
    </row>
    <row r="484" spans="37:47" ht="16.5" x14ac:dyDescent="0.2">
      <c r="AK484" s="69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2240</v>
      </c>
    </row>
    <row r="485" spans="37:47" ht="16.5" x14ac:dyDescent="0.2">
      <c r="AK485" s="69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2690</v>
      </c>
    </row>
    <row r="486" spans="37:47" ht="16.5" x14ac:dyDescent="0.2">
      <c r="AK486" s="69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6520</v>
      </c>
    </row>
    <row r="487" spans="37:47" ht="16.5" x14ac:dyDescent="0.2">
      <c r="AK487" s="69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7460</v>
      </c>
    </row>
    <row r="488" spans="37:47" ht="16.5" x14ac:dyDescent="0.2">
      <c r="AK488" s="69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8400</v>
      </c>
    </row>
    <row r="489" spans="37:47" ht="16.5" x14ac:dyDescent="0.2">
      <c r="AK489" s="69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9320</v>
      </c>
    </row>
    <row r="490" spans="37:47" ht="16.5" x14ac:dyDescent="0.2">
      <c r="AK490" s="69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11200</v>
      </c>
    </row>
    <row r="491" spans="37:47" ht="16.5" x14ac:dyDescent="0.2">
      <c r="AK491" s="69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15950</v>
      </c>
    </row>
    <row r="492" spans="37:47" ht="16.5" x14ac:dyDescent="0.2">
      <c r="AK492" s="69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18600</v>
      </c>
    </row>
    <row r="493" spans="37:47" ht="16.5" x14ac:dyDescent="0.2">
      <c r="AK493" s="69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21250</v>
      </c>
    </row>
    <row r="494" spans="37:47" ht="16.5" x14ac:dyDescent="0.2">
      <c r="AK494" s="69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23950</v>
      </c>
    </row>
    <row r="495" spans="37:47" ht="16.5" x14ac:dyDescent="0.2">
      <c r="AK495" s="69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26600</v>
      </c>
    </row>
    <row r="496" spans="37:47" ht="16.5" x14ac:dyDescent="0.2">
      <c r="AK496" s="69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69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69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69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69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69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69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69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575</v>
      </c>
    </row>
    <row r="504" spans="37:47" ht="16.5" x14ac:dyDescent="0.2">
      <c r="AK504" s="69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770</v>
      </c>
    </row>
    <row r="505" spans="37:47" ht="16.5" x14ac:dyDescent="0.2">
      <c r="AK505" s="69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960</v>
      </c>
    </row>
    <row r="506" spans="37:47" ht="16.5" x14ac:dyDescent="0.2">
      <c r="AK506" s="69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1150</v>
      </c>
    </row>
    <row r="507" spans="37:47" ht="16.5" x14ac:dyDescent="0.2">
      <c r="AK507" s="69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2800</v>
      </c>
    </row>
    <row r="508" spans="37:47" ht="16.5" x14ac:dyDescent="0.2">
      <c r="AK508" s="69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3200</v>
      </c>
    </row>
    <row r="509" spans="37:47" ht="16.5" x14ac:dyDescent="0.2">
      <c r="AK509" s="69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3600</v>
      </c>
    </row>
    <row r="510" spans="37:47" ht="16.5" x14ac:dyDescent="0.2">
      <c r="AK510" s="69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4000</v>
      </c>
    </row>
    <row r="511" spans="37:47" ht="16.5" x14ac:dyDescent="0.2">
      <c r="AK511" s="69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4800</v>
      </c>
    </row>
    <row r="512" spans="37:47" ht="16.5" x14ac:dyDescent="0.2">
      <c r="AK512" s="69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6800</v>
      </c>
    </row>
    <row r="513" spans="37:47" ht="16.5" x14ac:dyDescent="0.2">
      <c r="AK513" s="69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7950</v>
      </c>
    </row>
    <row r="514" spans="37:47" ht="16.5" x14ac:dyDescent="0.2">
      <c r="AK514" s="69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9100</v>
      </c>
    </row>
    <row r="515" spans="37:47" ht="16.5" x14ac:dyDescent="0.2">
      <c r="AK515" s="69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10250</v>
      </c>
    </row>
    <row r="516" spans="37:47" ht="16.5" x14ac:dyDescent="0.2">
      <c r="AK516" s="69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11400</v>
      </c>
    </row>
    <row r="517" spans="37:47" ht="16.5" x14ac:dyDescent="0.2">
      <c r="AK517" s="69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69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69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69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69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69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69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69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575</v>
      </c>
    </row>
    <row r="525" spans="37:47" ht="16.5" x14ac:dyDescent="0.2">
      <c r="AK525" s="69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770</v>
      </c>
    </row>
    <row r="526" spans="37:47" ht="16.5" x14ac:dyDescent="0.2">
      <c r="AK526" s="69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960</v>
      </c>
    </row>
    <row r="527" spans="37:47" ht="16.5" x14ac:dyDescent="0.2">
      <c r="AK527" s="69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1150</v>
      </c>
    </row>
    <row r="528" spans="37:47" ht="16.5" x14ac:dyDescent="0.2">
      <c r="AK528" s="69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2800</v>
      </c>
    </row>
    <row r="529" spans="37:47" ht="16.5" x14ac:dyDescent="0.2">
      <c r="AK529" s="69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3200</v>
      </c>
    </row>
    <row r="530" spans="37:47" ht="16.5" x14ac:dyDescent="0.2">
      <c r="AK530" s="69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3600</v>
      </c>
    </row>
    <row r="531" spans="37:47" ht="16.5" x14ac:dyDescent="0.2">
      <c r="AK531" s="69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4000</v>
      </c>
    </row>
    <row r="532" spans="37:47" ht="16.5" x14ac:dyDescent="0.2">
      <c r="AK532" s="69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4800</v>
      </c>
    </row>
    <row r="533" spans="37:47" ht="16.5" x14ac:dyDescent="0.2">
      <c r="AK533" s="69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6800</v>
      </c>
    </row>
    <row r="534" spans="37:47" ht="16.5" x14ac:dyDescent="0.2">
      <c r="AK534" s="69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7950</v>
      </c>
    </row>
    <row r="535" spans="37:47" ht="16.5" x14ac:dyDescent="0.2">
      <c r="AK535" s="69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9100</v>
      </c>
    </row>
    <row r="536" spans="37:47" ht="16.5" x14ac:dyDescent="0.2">
      <c r="AK536" s="69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10250</v>
      </c>
    </row>
    <row r="537" spans="37:47" ht="16.5" x14ac:dyDescent="0.2">
      <c r="AK537" s="69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11400</v>
      </c>
    </row>
    <row r="538" spans="37:47" ht="16.5" x14ac:dyDescent="0.2">
      <c r="AK538" s="69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69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69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69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69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69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69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69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575</v>
      </c>
    </row>
    <row r="546" spans="37:47" ht="16.5" x14ac:dyDescent="0.2">
      <c r="AK546" s="69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770</v>
      </c>
    </row>
    <row r="547" spans="37:47" ht="16.5" x14ac:dyDescent="0.2">
      <c r="AK547" s="69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960</v>
      </c>
    </row>
    <row r="548" spans="37:47" ht="16.5" x14ac:dyDescent="0.2">
      <c r="AK548" s="69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1150</v>
      </c>
    </row>
    <row r="549" spans="37:47" ht="16.5" x14ac:dyDescent="0.2">
      <c r="AK549" s="69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2800</v>
      </c>
    </row>
    <row r="550" spans="37:47" ht="16.5" x14ac:dyDescent="0.2">
      <c r="AK550" s="69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3200</v>
      </c>
    </row>
    <row r="551" spans="37:47" ht="16.5" x14ac:dyDescent="0.2">
      <c r="AK551" s="69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3600</v>
      </c>
    </row>
    <row r="552" spans="37:47" ht="16.5" x14ac:dyDescent="0.2">
      <c r="AK552" s="69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4000</v>
      </c>
    </row>
    <row r="553" spans="37:47" ht="16.5" x14ac:dyDescent="0.2">
      <c r="AK553" s="69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4800</v>
      </c>
    </row>
    <row r="554" spans="37:47" ht="16.5" x14ac:dyDescent="0.2">
      <c r="AK554" s="69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6800</v>
      </c>
    </row>
    <row r="555" spans="37:47" ht="16.5" x14ac:dyDescent="0.2">
      <c r="AK555" s="69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7950</v>
      </c>
    </row>
    <row r="556" spans="37:47" ht="16.5" x14ac:dyDescent="0.2">
      <c r="AK556" s="69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9100</v>
      </c>
    </row>
    <row r="557" spans="37:47" ht="16.5" x14ac:dyDescent="0.2">
      <c r="AK557" s="69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10250</v>
      </c>
    </row>
    <row r="558" spans="37:47" ht="16.5" x14ac:dyDescent="0.2">
      <c r="AK558" s="69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11400</v>
      </c>
    </row>
    <row r="559" spans="37:47" ht="16.5" x14ac:dyDescent="0.2">
      <c r="AK559" s="69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69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69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69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69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69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69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69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1345</v>
      </c>
    </row>
    <row r="567" spans="37:47" ht="16.5" x14ac:dyDescent="0.2">
      <c r="AK567" s="69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1790</v>
      </c>
    </row>
    <row r="568" spans="37:47" ht="16.5" x14ac:dyDescent="0.2">
      <c r="AK568" s="69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2240</v>
      </c>
    </row>
    <row r="569" spans="37:47" ht="16.5" x14ac:dyDescent="0.2">
      <c r="AK569" s="69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2690</v>
      </c>
    </row>
    <row r="570" spans="37:47" ht="16.5" x14ac:dyDescent="0.2">
      <c r="AK570" s="69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6520</v>
      </c>
    </row>
    <row r="571" spans="37:47" ht="16.5" x14ac:dyDescent="0.2">
      <c r="AK571" s="69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7460</v>
      </c>
    </row>
    <row r="572" spans="37:47" ht="16.5" x14ac:dyDescent="0.2">
      <c r="AK572" s="69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8400</v>
      </c>
    </row>
    <row r="573" spans="37:47" ht="16.5" x14ac:dyDescent="0.2">
      <c r="AK573" s="69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9320</v>
      </c>
    </row>
    <row r="574" spans="37:47" ht="16.5" x14ac:dyDescent="0.2">
      <c r="AK574" s="69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11200</v>
      </c>
    </row>
    <row r="575" spans="37:47" ht="16.5" x14ac:dyDescent="0.2">
      <c r="AK575" s="69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15950</v>
      </c>
    </row>
    <row r="576" spans="37:47" ht="16.5" x14ac:dyDescent="0.2">
      <c r="AK576" s="69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18600</v>
      </c>
    </row>
    <row r="577" spans="37:47" ht="16.5" x14ac:dyDescent="0.2">
      <c r="AK577" s="69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21250</v>
      </c>
    </row>
    <row r="578" spans="37:47" ht="16.5" x14ac:dyDescent="0.2">
      <c r="AK578" s="69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23950</v>
      </c>
    </row>
    <row r="579" spans="37:47" ht="16.5" x14ac:dyDescent="0.2">
      <c r="AK579" s="69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26600</v>
      </c>
    </row>
    <row r="580" spans="37:47" ht="16.5" x14ac:dyDescent="0.2">
      <c r="AK580" s="69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69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69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69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69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69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69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69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1345</v>
      </c>
    </row>
    <row r="588" spans="37:47" ht="16.5" x14ac:dyDescent="0.2">
      <c r="AK588" s="69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1790</v>
      </c>
    </row>
    <row r="589" spans="37:47" ht="16.5" x14ac:dyDescent="0.2">
      <c r="AK589" s="69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2240</v>
      </c>
    </row>
    <row r="590" spans="37:47" ht="16.5" x14ac:dyDescent="0.2">
      <c r="AK590" s="69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2690</v>
      </c>
    </row>
    <row r="591" spans="37:47" ht="16.5" x14ac:dyDescent="0.2">
      <c r="AK591" s="69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6520</v>
      </c>
    </row>
    <row r="592" spans="37:47" ht="16.5" x14ac:dyDescent="0.2">
      <c r="AK592" s="69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7460</v>
      </c>
    </row>
    <row r="593" spans="37:47" ht="16.5" x14ac:dyDescent="0.2">
      <c r="AK593" s="69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8400</v>
      </c>
    </row>
    <row r="594" spans="37:47" ht="16.5" x14ac:dyDescent="0.2">
      <c r="AK594" s="69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9320</v>
      </c>
    </row>
    <row r="595" spans="37:47" ht="16.5" x14ac:dyDescent="0.2">
      <c r="AK595" s="69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11200</v>
      </c>
    </row>
    <row r="596" spans="37:47" ht="16.5" x14ac:dyDescent="0.2">
      <c r="AK596" s="69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15950</v>
      </c>
    </row>
    <row r="597" spans="37:47" ht="16.5" x14ac:dyDescent="0.2">
      <c r="AK597" s="69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18600</v>
      </c>
    </row>
    <row r="598" spans="37:47" ht="16.5" x14ac:dyDescent="0.2">
      <c r="AK598" s="69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21250</v>
      </c>
    </row>
    <row r="599" spans="37:47" ht="16.5" x14ac:dyDescent="0.2">
      <c r="AK599" s="69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23950</v>
      </c>
    </row>
    <row r="600" spans="37:47" ht="16.5" x14ac:dyDescent="0.2">
      <c r="AK600" s="69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26600</v>
      </c>
    </row>
    <row r="601" spans="37:47" ht="16.5" x14ac:dyDescent="0.2">
      <c r="AK601" s="69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69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69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69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69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69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69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69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1345</v>
      </c>
    </row>
    <row r="609" spans="37:47" ht="16.5" x14ac:dyDescent="0.2">
      <c r="AK609" s="69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1790</v>
      </c>
    </row>
    <row r="610" spans="37:47" ht="16.5" x14ac:dyDescent="0.2">
      <c r="AK610" s="69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2240</v>
      </c>
    </row>
    <row r="611" spans="37:47" ht="16.5" x14ac:dyDescent="0.2">
      <c r="AK611" s="69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2690</v>
      </c>
    </row>
    <row r="612" spans="37:47" ht="16.5" x14ac:dyDescent="0.2">
      <c r="AK612" s="69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6520</v>
      </c>
    </row>
    <row r="613" spans="37:47" ht="16.5" x14ac:dyDescent="0.2">
      <c r="AK613" s="69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7460</v>
      </c>
    </row>
    <row r="614" spans="37:47" ht="16.5" x14ac:dyDescent="0.2">
      <c r="AK614" s="69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8400</v>
      </c>
    </row>
    <row r="615" spans="37:47" ht="16.5" x14ac:dyDescent="0.2">
      <c r="AK615" s="69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9320</v>
      </c>
    </row>
    <row r="616" spans="37:47" ht="16.5" x14ac:dyDescent="0.2">
      <c r="AK616" s="69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11200</v>
      </c>
    </row>
    <row r="617" spans="37:47" ht="16.5" x14ac:dyDescent="0.2">
      <c r="AK617" s="69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15950</v>
      </c>
    </row>
    <row r="618" spans="37:47" ht="16.5" x14ac:dyDescent="0.2">
      <c r="AK618" s="69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18600</v>
      </c>
    </row>
    <row r="619" spans="37:47" ht="16.5" x14ac:dyDescent="0.2">
      <c r="AK619" s="69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21250</v>
      </c>
    </row>
    <row r="620" spans="37:47" ht="16.5" x14ac:dyDescent="0.2">
      <c r="AK620" s="69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23950</v>
      </c>
    </row>
    <row r="621" spans="37:47" ht="16.5" x14ac:dyDescent="0.2">
      <c r="AK621" s="69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26600</v>
      </c>
    </row>
    <row r="622" spans="37:47" ht="16.5" x14ac:dyDescent="0.2">
      <c r="AK622" s="69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69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69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69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69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69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69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69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2885</v>
      </c>
    </row>
    <row r="630" spans="37:47" ht="16.5" x14ac:dyDescent="0.2">
      <c r="AK630" s="69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3850</v>
      </c>
    </row>
    <row r="631" spans="37:47" ht="16.5" x14ac:dyDescent="0.2">
      <c r="AK631" s="69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4810</v>
      </c>
    </row>
    <row r="632" spans="37:47" ht="16.5" x14ac:dyDescent="0.2">
      <c r="AK632" s="69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5770</v>
      </c>
    </row>
    <row r="633" spans="37:47" ht="16.5" x14ac:dyDescent="0.2">
      <c r="AK633" s="69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14000</v>
      </c>
    </row>
    <row r="634" spans="37:47" ht="16.5" x14ac:dyDescent="0.2">
      <c r="AK634" s="69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16000</v>
      </c>
    </row>
    <row r="635" spans="37:47" ht="16.5" x14ac:dyDescent="0.2">
      <c r="AK635" s="69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18000</v>
      </c>
    </row>
    <row r="636" spans="37:47" ht="16.5" x14ac:dyDescent="0.2">
      <c r="AK636" s="69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20000</v>
      </c>
    </row>
    <row r="637" spans="37:47" ht="16.5" x14ac:dyDescent="0.2">
      <c r="AK637" s="69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24000</v>
      </c>
    </row>
    <row r="638" spans="37:47" ht="16.5" x14ac:dyDescent="0.2">
      <c r="AK638" s="69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34200</v>
      </c>
    </row>
    <row r="639" spans="37:47" ht="16.5" x14ac:dyDescent="0.2">
      <c r="AK639" s="69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39900</v>
      </c>
    </row>
    <row r="640" spans="37:47" ht="16.5" x14ac:dyDescent="0.2">
      <c r="AK640" s="69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45600</v>
      </c>
    </row>
    <row r="641" spans="37:47" ht="16.5" x14ac:dyDescent="0.2">
      <c r="AK641" s="69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51300</v>
      </c>
    </row>
    <row r="642" spans="37:47" ht="16.5" x14ac:dyDescent="0.2">
      <c r="AK642" s="69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57000</v>
      </c>
    </row>
    <row r="643" spans="37:47" ht="16.5" x14ac:dyDescent="0.2">
      <c r="AK643" s="69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69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69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69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69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69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69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69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2885</v>
      </c>
    </row>
    <row r="651" spans="37:47" ht="16.5" x14ac:dyDescent="0.2">
      <c r="AK651" s="69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3850</v>
      </c>
    </row>
    <row r="652" spans="37:47" ht="16.5" x14ac:dyDescent="0.2">
      <c r="AK652" s="69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4810</v>
      </c>
    </row>
    <row r="653" spans="37:47" ht="16.5" x14ac:dyDescent="0.2">
      <c r="AK653" s="69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5770</v>
      </c>
    </row>
    <row r="654" spans="37:47" ht="16.5" x14ac:dyDescent="0.2">
      <c r="AK654" s="69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14000</v>
      </c>
    </row>
    <row r="655" spans="37:47" ht="16.5" x14ac:dyDescent="0.2">
      <c r="AK655" s="69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16000</v>
      </c>
    </row>
    <row r="656" spans="37:47" ht="16.5" x14ac:dyDescent="0.2">
      <c r="AK656" s="69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18000</v>
      </c>
    </row>
    <row r="657" spans="37:47" ht="16.5" x14ac:dyDescent="0.2">
      <c r="AK657" s="69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20000</v>
      </c>
    </row>
    <row r="658" spans="37:47" ht="16.5" x14ac:dyDescent="0.2">
      <c r="AK658" s="69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24000</v>
      </c>
    </row>
    <row r="659" spans="37:47" ht="16.5" x14ac:dyDescent="0.2">
      <c r="AK659" s="69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34200</v>
      </c>
    </row>
    <row r="660" spans="37:47" ht="16.5" x14ac:dyDescent="0.2">
      <c r="AK660" s="69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39900</v>
      </c>
    </row>
    <row r="661" spans="37:47" ht="16.5" x14ac:dyDescent="0.2">
      <c r="AK661" s="69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45600</v>
      </c>
    </row>
    <row r="662" spans="37:47" ht="16.5" x14ac:dyDescent="0.2">
      <c r="AK662" s="69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51300</v>
      </c>
    </row>
    <row r="663" spans="37:47" ht="16.5" x14ac:dyDescent="0.2">
      <c r="AK663" s="69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57000</v>
      </c>
    </row>
    <row r="664" spans="37:47" ht="16.5" x14ac:dyDescent="0.2">
      <c r="AK664" s="69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69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69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69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69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69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69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69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575</v>
      </c>
    </row>
    <row r="672" spans="37:47" ht="16.5" x14ac:dyDescent="0.2">
      <c r="AK672" s="69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770</v>
      </c>
    </row>
    <row r="673" spans="37:47" ht="16.5" x14ac:dyDescent="0.2">
      <c r="AK673" s="69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960</v>
      </c>
    </row>
    <row r="674" spans="37:47" ht="16.5" x14ac:dyDescent="0.2">
      <c r="AK674" s="69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1150</v>
      </c>
    </row>
    <row r="675" spans="37:47" ht="16.5" x14ac:dyDescent="0.2">
      <c r="AK675" s="69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2800</v>
      </c>
    </row>
    <row r="676" spans="37:47" ht="16.5" x14ac:dyDescent="0.2">
      <c r="AK676" s="69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3200</v>
      </c>
    </row>
    <row r="677" spans="37:47" ht="16.5" x14ac:dyDescent="0.2">
      <c r="AK677" s="69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3600</v>
      </c>
    </row>
    <row r="678" spans="37:47" ht="16.5" x14ac:dyDescent="0.2">
      <c r="AK678" s="69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4000</v>
      </c>
    </row>
    <row r="679" spans="37:47" ht="16.5" x14ac:dyDescent="0.2">
      <c r="AK679" s="69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4800</v>
      </c>
    </row>
    <row r="680" spans="37:47" ht="16.5" x14ac:dyDescent="0.2">
      <c r="AK680" s="69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6800</v>
      </c>
    </row>
    <row r="681" spans="37:47" ht="16.5" x14ac:dyDescent="0.2">
      <c r="AK681" s="69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7950</v>
      </c>
    </row>
    <row r="682" spans="37:47" ht="16.5" x14ac:dyDescent="0.2">
      <c r="AK682" s="69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9100</v>
      </c>
    </row>
    <row r="683" spans="37:47" ht="16.5" x14ac:dyDescent="0.2">
      <c r="AK683" s="69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10250</v>
      </c>
    </row>
    <row r="684" spans="37:47" ht="16.5" x14ac:dyDescent="0.2">
      <c r="AK684" s="69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11400</v>
      </c>
    </row>
    <row r="685" spans="37:47" ht="16.5" x14ac:dyDescent="0.2">
      <c r="AK685" s="69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69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69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69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69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69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69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69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575</v>
      </c>
    </row>
    <row r="693" spans="37:47" ht="16.5" x14ac:dyDescent="0.2">
      <c r="AK693" s="69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770</v>
      </c>
    </row>
    <row r="694" spans="37:47" ht="16.5" x14ac:dyDescent="0.2">
      <c r="AK694" s="69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960</v>
      </c>
    </row>
    <row r="695" spans="37:47" ht="16.5" x14ac:dyDescent="0.2">
      <c r="AK695" s="69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1150</v>
      </c>
    </row>
    <row r="696" spans="37:47" ht="16.5" x14ac:dyDescent="0.2">
      <c r="AK696" s="69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2800</v>
      </c>
    </row>
    <row r="697" spans="37:47" ht="16.5" x14ac:dyDescent="0.2">
      <c r="AK697" s="69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3200</v>
      </c>
    </row>
    <row r="698" spans="37:47" ht="16.5" x14ac:dyDescent="0.2">
      <c r="AK698" s="69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3600</v>
      </c>
    </row>
    <row r="699" spans="37:47" ht="16.5" x14ac:dyDescent="0.2">
      <c r="AK699" s="69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4000</v>
      </c>
    </row>
    <row r="700" spans="37:47" ht="16.5" x14ac:dyDescent="0.2">
      <c r="AK700" s="69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4800</v>
      </c>
    </row>
    <row r="701" spans="37:47" ht="16.5" x14ac:dyDescent="0.2">
      <c r="AK701" s="69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6800</v>
      </c>
    </row>
    <row r="702" spans="37:47" ht="16.5" x14ac:dyDescent="0.2">
      <c r="AK702" s="69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7950</v>
      </c>
    </row>
    <row r="703" spans="37:47" ht="16.5" x14ac:dyDescent="0.2">
      <c r="AK703" s="69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9100</v>
      </c>
    </row>
    <row r="704" spans="37:47" ht="16.5" x14ac:dyDescent="0.2">
      <c r="AK704" s="69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10250</v>
      </c>
    </row>
    <row r="705" spans="37:47" ht="16.5" x14ac:dyDescent="0.2">
      <c r="AK705" s="69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11400</v>
      </c>
    </row>
    <row r="706" spans="37:47" ht="16.5" x14ac:dyDescent="0.2">
      <c r="AK706" s="69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69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69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69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69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69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69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69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575</v>
      </c>
    </row>
    <row r="714" spans="37:47" ht="16.5" x14ac:dyDescent="0.2">
      <c r="AK714" s="69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770</v>
      </c>
    </row>
    <row r="715" spans="37:47" ht="16.5" x14ac:dyDescent="0.2">
      <c r="AK715" s="69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960</v>
      </c>
    </row>
    <row r="716" spans="37:47" ht="16.5" x14ac:dyDescent="0.2">
      <c r="AK716" s="69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1150</v>
      </c>
    </row>
    <row r="717" spans="37:47" ht="16.5" x14ac:dyDescent="0.2">
      <c r="AK717" s="69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2800</v>
      </c>
    </row>
    <row r="718" spans="37:47" ht="16.5" x14ac:dyDescent="0.2">
      <c r="AK718" s="69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3200</v>
      </c>
    </row>
    <row r="719" spans="37:47" ht="16.5" x14ac:dyDescent="0.2">
      <c r="AK719" s="69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3600</v>
      </c>
    </row>
    <row r="720" spans="37:47" ht="16.5" x14ac:dyDescent="0.2">
      <c r="AK720" s="69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4000</v>
      </c>
    </row>
    <row r="721" spans="37:47" ht="16.5" x14ac:dyDescent="0.2">
      <c r="AK721" s="69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4800</v>
      </c>
    </row>
    <row r="722" spans="37:47" ht="16.5" x14ac:dyDescent="0.2">
      <c r="AK722" s="69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6800</v>
      </c>
    </row>
    <row r="723" spans="37:47" ht="16.5" x14ac:dyDescent="0.2">
      <c r="AK723" s="69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7950</v>
      </c>
    </row>
    <row r="724" spans="37:47" ht="16.5" x14ac:dyDescent="0.2">
      <c r="AK724" s="69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9100</v>
      </c>
    </row>
    <row r="725" spans="37:47" ht="16.5" x14ac:dyDescent="0.2">
      <c r="AK725" s="69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10250</v>
      </c>
    </row>
    <row r="726" spans="37:47" ht="16.5" x14ac:dyDescent="0.2">
      <c r="AK726" s="69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11400</v>
      </c>
    </row>
    <row r="727" spans="37:47" ht="16.5" x14ac:dyDescent="0.2">
      <c r="AK727" s="69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69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69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69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69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69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69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69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1345</v>
      </c>
    </row>
    <row r="735" spans="37:47" ht="16.5" x14ac:dyDescent="0.2">
      <c r="AK735" s="69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1790</v>
      </c>
    </row>
    <row r="736" spans="37:47" ht="16.5" x14ac:dyDescent="0.2">
      <c r="AK736" s="69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2240</v>
      </c>
    </row>
    <row r="737" spans="37:47" ht="16.5" x14ac:dyDescent="0.2">
      <c r="AK737" s="69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2690</v>
      </c>
    </row>
    <row r="738" spans="37:47" ht="16.5" x14ac:dyDescent="0.2">
      <c r="AK738" s="69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6520</v>
      </c>
    </row>
    <row r="739" spans="37:47" ht="16.5" x14ac:dyDescent="0.2">
      <c r="AK739" s="69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7460</v>
      </c>
    </row>
    <row r="740" spans="37:47" ht="16.5" x14ac:dyDescent="0.2">
      <c r="AK740" s="69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8400</v>
      </c>
    </row>
    <row r="741" spans="37:47" ht="16.5" x14ac:dyDescent="0.2">
      <c r="AK741" s="69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9320</v>
      </c>
    </row>
    <row r="742" spans="37:47" ht="16.5" x14ac:dyDescent="0.2">
      <c r="AK742" s="69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11200</v>
      </c>
    </row>
    <row r="743" spans="37:47" ht="16.5" x14ac:dyDescent="0.2">
      <c r="AK743" s="69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15950</v>
      </c>
    </row>
    <row r="744" spans="37:47" ht="16.5" x14ac:dyDescent="0.2">
      <c r="AK744" s="69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18600</v>
      </c>
    </row>
    <row r="745" spans="37:47" ht="16.5" x14ac:dyDescent="0.2">
      <c r="AK745" s="69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21250</v>
      </c>
    </row>
    <row r="746" spans="37:47" ht="16.5" x14ac:dyDescent="0.2">
      <c r="AK746" s="69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23950</v>
      </c>
    </row>
    <row r="747" spans="37:47" ht="16.5" x14ac:dyDescent="0.2">
      <c r="AK747" s="69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26600</v>
      </c>
    </row>
    <row r="748" spans="37:47" ht="16.5" x14ac:dyDescent="0.2">
      <c r="AK748" s="69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69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69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69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69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69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69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69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1345</v>
      </c>
    </row>
    <row r="756" spans="37:47" ht="16.5" x14ac:dyDescent="0.2">
      <c r="AK756" s="69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1790</v>
      </c>
    </row>
    <row r="757" spans="37:47" ht="16.5" x14ac:dyDescent="0.2">
      <c r="AK757" s="69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2240</v>
      </c>
    </row>
    <row r="758" spans="37:47" ht="16.5" x14ac:dyDescent="0.2">
      <c r="AK758" s="69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2690</v>
      </c>
    </row>
    <row r="759" spans="37:47" ht="16.5" x14ac:dyDescent="0.2">
      <c r="AK759" s="69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6520</v>
      </c>
    </row>
    <row r="760" spans="37:47" ht="16.5" x14ac:dyDescent="0.2">
      <c r="AK760" s="69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7460</v>
      </c>
    </row>
    <row r="761" spans="37:47" ht="16.5" x14ac:dyDescent="0.2">
      <c r="AK761" s="69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8400</v>
      </c>
    </row>
    <row r="762" spans="37:47" ht="16.5" x14ac:dyDescent="0.2">
      <c r="AK762" s="69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9320</v>
      </c>
    </row>
    <row r="763" spans="37:47" ht="16.5" x14ac:dyDescent="0.2">
      <c r="AK763" s="69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11200</v>
      </c>
    </row>
    <row r="764" spans="37:47" ht="16.5" x14ac:dyDescent="0.2">
      <c r="AK764" s="69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15950</v>
      </c>
    </row>
    <row r="765" spans="37:47" ht="16.5" x14ac:dyDescent="0.2">
      <c r="AK765" s="69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18600</v>
      </c>
    </row>
    <row r="766" spans="37:47" ht="16.5" x14ac:dyDescent="0.2">
      <c r="AK766" s="69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21250</v>
      </c>
    </row>
    <row r="767" spans="37:47" ht="16.5" x14ac:dyDescent="0.2">
      <c r="AK767" s="69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23950</v>
      </c>
    </row>
    <row r="768" spans="37:47" ht="16.5" x14ac:dyDescent="0.2">
      <c r="AK768" s="69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26600</v>
      </c>
    </row>
    <row r="769" spans="37:47" ht="16.5" x14ac:dyDescent="0.2">
      <c r="AK769" s="69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69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69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69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69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69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69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69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1345</v>
      </c>
    </row>
    <row r="777" spans="37:47" ht="16.5" x14ac:dyDescent="0.2">
      <c r="AK777" s="69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1790</v>
      </c>
    </row>
    <row r="778" spans="37:47" ht="16.5" x14ac:dyDescent="0.2">
      <c r="AK778" s="69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2240</v>
      </c>
    </row>
    <row r="779" spans="37:47" ht="16.5" x14ac:dyDescent="0.2">
      <c r="AK779" s="69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2690</v>
      </c>
    </row>
    <row r="780" spans="37:47" ht="16.5" x14ac:dyDescent="0.2">
      <c r="AK780" s="69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6520</v>
      </c>
    </row>
    <row r="781" spans="37:47" ht="16.5" x14ac:dyDescent="0.2">
      <c r="AK781" s="69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7460</v>
      </c>
    </row>
    <row r="782" spans="37:47" ht="16.5" x14ac:dyDescent="0.2">
      <c r="AK782" s="69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8400</v>
      </c>
    </row>
    <row r="783" spans="37:47" ht="16.5" x14ac:dyDescent="0.2">
      <c r="AK783" s="69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9320</v>
      </c>
    </row>
    <row r="784" spans="37:47" ht="16.5" x14ac:dyDescent="0.2">
      <c r="AK784" s="69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11200</v>
      </c>
    </row>
    <row r="785" spans="37:47" ht="16.5" x14ac:dyDescent="0.2">
      <c r="AK785" s="69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15950</v>
      </c>
    </row>
    <row r="786" spans="37:47" ht="16.5" x14ac:dyDescent="0.2">
      <c r="AK786" s="69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18600</v>
      </c>
    </row>
    <row r="787" spans="37:47" ht="16.5" x14ac:dyDescent="0.2">
      <c r="AK787" s="69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21250</v>
      </c>
    </row>
    <row r="788" spans="37:47" ht="16.5" x14ac:dyDescent="0.2">
      <c r="AK788" s="69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23950</v>
      </c>
    </row>
    <row r="789" spans="37:47" ht="16.5" x14ac:dyDescent="0.2">
      <c r="AK789" s="69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26600</v>
      </c>
    </row>
    <row r="790" spans="37:47" ht="16.5" x14ac:dyDescent="0.2">
      <c r="AK790" s="69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69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69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69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69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69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69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69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2885</v>
      </c>
    </row>
    <row r="798" spans="37:47" ht="16.5" x14ac:dyDescent="0.2">
      <c r="AK798" s="69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3850</v>
      </c>
    </row>
    <row r="799" spans="37:47" ht="16.5" x14ac:dyDescent="0.2">
      <c r="AK799" s="69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4810</v>
      </c>
    </row>
    <row r="800" spans="37:47" ht="16.5" x14ac:dyDescent="0.2">
      <c r="AK800" s="69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5770</v>
      </c>
    </row>
    <row r="801" spans="37:47" ht="16.5" x14ac:dyDescent="0.2">
      <c r="AK801" s="69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14000</v>
      </c>
    </row>
    <row r="802" spans="37:47" ht="16.5" x14ac:dyDescent="0.2">
      <c r="AK802" s="69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16000</v>
      </c>
    </row>
    <row r="803" spans="37:47" ht="16.5" x14ac:dyDescent="0.2">
      <c r="AK803" s="69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18000</v>
      </c>
    </row>
    <row r="804" spans="37:47" ht="16.5" x14ac:dyDescent="0.2">
      <c r="AK804" s="69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20000</v>
      </c>
    </row>
    <row r="805" spans="37:47" ht="16.5" x14ac:dyDescent="0.2">
      <c r="AK805" s="69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24000</v>
      </c>
    </row>
    <row r="806" spans="37:47" ht="16.5" x14ac:dyDescent="0.2">
      <c r="AK806" s="69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34200</v>
      </c>
    </row>
    <row r="807" spans="37:47" ht="16.5" x14ac:dyDescent="0.2">
      <c r="AK807" s="69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39900</v>
      </c>
    </row>
    <row r="808" spans="37:47" ht="16.5" x14ac:dyDescent="0.2">
      <c r="AK808" s="69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45600</v>
      </c>
    </row>
    <row r="809" spans="37:47" ht="16.5" x14ac:dyDescent="0.2">
      <c r="AK809" s="69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51300</v>
      </c>
    </row>
    <row r="810" spans="37:47" ht="16.5" x14ac:dyDescent="0.2">
      <c r="AK810" s="69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57000</v>
      </c>
    </row>
    <row r="811" spans="37:47" ht="16.5" x14ac:dyDescent="0.2">
      <c r="AK811" s="69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69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69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69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69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69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69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69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2885</v>
      </c>
    </row>
    <row r="819" spans="37:47" ht="16.5" x14ac:dyDescent="0.2">
      <c r="AK819" s="69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3850</v>
      </c>
    </row>
    <row r="820" spans="37:47" ht="16.5" x14ac:dyDescent="0.2">
      <c r="AK820" s="69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4810</v>
      </c>
    </row>
    <row r="821" spans="37:47" ht="16.5" x14ac:dyDescent="0.2">
      <c r="AK821" s="69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5770</v>
      </c>
    </row>
    <row r="822" spans="37:47" ht="16.5" x14ac:dyDescent="0.2">
      <c r="AK822" s="69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14000</v>
      </c>
    </row>
    <row r="823" spans="37:47" ht="16.5" x14ac:dyDescent="0.2">
      <c r="AK823" s="69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16000</v>
      </c>
    </row>
    <row r="824" spans="37:47" ht="16.5" x14ac:dyDescent="0.2">
      <c r="AK824" s="69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18000</v>
      </c>
    </row>
    <row r="825" spans="37:47" ht="16.5" x14ac:dyDescent="0.2">
      <c r="AK825" s="69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20000</v>
      </c>
    </row>
    <row r="826" spans="37:47" ht="16.5" x14ac:dyDescent="0.2">
      <c r="AK826" s="69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24000</v>
      </c>
    </row>
    <row r="827" spans="37:47" ht="16.5" x14ac:dyDescent="0.2">
      <c r="AK827" s="69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34200</v>
      </c>
    </row>
    <row r="828" spans="37:47" ht="16.5" x14ac:dyDescent="0.2">
      <c r="AK828" s="69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39900</v>
      </c>
    </row>
    <row r="829" spans="37:47" ht="16.5" x14ac:dyDescent="0.2">
      <c r="AK829" s="69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45600</v>
      </c>
    </row>
    <row r="830" spans="37:47" ht="16.5" x14ac:dyDescent="0.2">
      <c r="AK830" s="69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51300</v>
      </c>
    </row>
    <row r="831" spans="37:47" ht="16.5" x14ac:dyDescent="0.2">
      <c r="AK831" s="69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57000</v>
      </c>
    </row>
    <row r="832" spans="37:47" ht="16.5" x14ac:dyDescent="0.2">
      <c r="AK832" s="69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69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69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69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69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69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C72" sqref="C72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385</v>
      </c>
      <c r="E2" s="12" t="s">
        <v>599</v>
      </c>
    </row>
    <row r="3" spans="1:5" ht="16.5" x14ac:dyDescent="0.2">
      <c r="A3" s="13" t="s">
        <v>22</v>
      </c>
      <c r="B3" s="13">
        <v>1000</v>
      </c>
      <c r="C3" s="13"/>
      <c r="D3" s="44">
        <v>0.1</v>
      </c>
      <c r="E3" s="68"/>
    </row>
    <row r="4" spans="1:5" ht="16.5" x14ac:dyDescent="0.2">
      <c r="A4" s="34" t="s">
        <v>309</v>
      </c>
      <c r="B4" s="34"/>
      <c r="C4" s="34"/>
      <c r="D4" s="44"/>
      <c r="E4" s="68"/>
    </row>
    <row r="5" spans="1:5" ht="16.5" x14ac:dyDescent="0.2">
      <c r="A5" s="34" t="s">
        <v>310</v>
      </c>
      <c r="B5" s="34"/>
      <c r="C5" s="34"/>
      <c r="D5" s="44"/>
      <c r="E5" s="68"/>
    </row>
    <row r="6" spans="1:5" ht="16.5" x14ac:dyDescent="0.2">
      <c r="A6" s="34" t="s">
        <v>311</v>
      </c>
      <c r="B6" s="34"/>
      <c r="C6" s="34"/>
      <c r="D6" s="44"/>
      <c r="E6" s="68"/>
    </row>
    <row r="7" spans="1:5" ht="16.5" x14ac:dyDescent="0.2">
      <c r="A7" s="34" t="s">
        <v>312</v>
      </c>
      <c r="B7" s="34"/>
      <c r="C7" s="34"/>
      <c r="D7" s="44"/>
      <c r="E7" s="68"/>
    </row>
    <row r="8" spans="1:5" ht="16.5" x14ac:dyDescent="0.2">
      <c r="A8" s="34" t="s">
        <v>308</v>
      </c>
      <c r="B8" s="34"/>
      <c r="C8" s="34"/>
      <c r="D8" s="44"/>
      <c r="E8" s="68"/>
    </row>
    <row r="9" spans="1:5" ht="16.5" x14ac:dyDescent="0.2">
      <c r="A9" s="13" t="s">
        <v>17</v>
      </c>
      <c r="B9" s="13">
        <v>500</v>
      </c>
      <c r="C9" s="13"/>
      <c r="D9" s="44"/>
      <c r="E9" s="68"/>
    </row>
    <row r="10" spans="1:5" ht="16.5" x14ac:dyDescent="0.2">
      <c r="A10" s="13" t="s">
        <v>18</v>
      </c>
      <c r="B10" s="13">
        <v>1200</v>
      </c>
      <c r="C10" s="13"/>
      <c r="D10" s="44"/>
      <c r="E10" s="68"/>
    </row>
    <row r="11" spans="1:5" ht="16.5" x14ac:dyDescent="0.2">
      <c r="A11" s="13" t="s">
        <v>19</v>
      </c>
      <c r="B11" s="13">
        <v>3500</v>
      </c>
      <c r="C11" s="13"/>
      <c r="D11" s="44"/>
      <c r="E11" s="68"/>
    </row>
    <row r="12" spans="1:5" ht="16.5" x14ac:dyDescent="0.2">
      <c r="A12" s="13" t="s">
        <v>23</v>
      </c>
      <c r="B12" s="13"/>
      <c r="C12" s="13">
        <v>10</v>
      </c>
      <c r="D12" s="44"/>
      <c r="E12" s="68"/>
    </row>
    <row r="13" spans="1:5" ht="16.5" x14ac:dyDescent="0.2">
      <c r="A13" s="13" t="s">
        <v>24</v>
      </c>
      <c r="B13" s="13"/>
      <c r="C13" s="13">
        <v>1</v>
      </c>
      <c r="D13" s="44"/>
      <c r="E13" s="68"/>
    </row>
    <row r="14" spans="1:5" ht="16.5" x14ac:dyDescent="0.2">
      <c r="A14" s="13" t="s">
        <v>609</v>
      </c>
      <c r="B14" s="13"/>
      <c r="C14" s="13">
        <v>40</v>
      </c>
      <c r="D14" s="44"/>
      <c r="E14" s="68">
        <v>1</v>
      </c>
    </row>
    <row r="15" spans="1:5" ht="16.5" x14ac:dyDescent="0.2">
      <c r="A15" s="38" t="s">
        <v>610</v>
      </c>
      <c r="B15" s="13"/>
      <c r="C15" s="38">
        <v>40</v>
      </c>
      <c r="D15" s="44"/>
      <c r="E15" s="68">
        <v>1</v>
      </c>
    </row>
    <row r="16" spans="1:5" ht="16.5" x14ac:dyDescent="0.2">
      <c r="A16" s="38" t="s">
        <v>611</v>
      </c>
      <c r="B16" s="13"/>
      <c r="C16" s="13">
        <v>120</v>
      </c>
      <c r="D16" s="44"/>
      <c r="E16" s="68">
        <v>2</v>
      </c>
    </row>
    <row r="17" spans="1:5" ht="16.5" x14ac:dyDescent="0.2">
      <c r="A17" s="38" t="s">
        <v>612</v>
      </c>
      <c r="B17" s="38"/>
      <c r="C17" s="38">
        <v>40</v>
      </c>
      <c r="D17" s="44"/>
      <c r="E17" s="68">
        <v>1</v>
      </c>
    </row>
    <row r="18" spans="1:5" ht="16.5" x14ac:dyDescent="0.2">
      <c r="A18" s="38" t="s">
        <v>613</v>
      </c>
      <c r="B18" s="38"/>
      <c r="C18" s="38">
        <v>40</v>
      </c>
      <c r="D18" s="44"/>
      <c r="E18" s="68">
        <v>1</v>
      </c>
    </row>
    <row r="19" spans="1:5" ht="18" customHeight="1" x14ac:dyDescent="0.2">
      <c r="A19" s="38" t="s">
        <v>614</v>
      </c>
      <c r="B19" s="38"/>
      <c r="C19" s="65">
        <v>40</v>
      </c>
      <c r="D19" s="44"/>
      <c r="E19" s="68">
        <v>1</v>
      </c>
    </row>
    <row r="20" spans="1:5" ht="19.5" customHeight="1" x14ac:dyDescent="0.2">
      <c r="A20" s="38" t="s">
        <v>615</v>
      </c>
      <c r="B20" s="38"/>
      <c r="C20" s="65">
        <v>120</v>
      </c>
      <c r="D20" s="44"/>
      <c r="E20" s="68">
        <v>2</v>
      </c>
    </row>
    <row r="21" spans="1:5" ht="16.5" x14ac:dyDescent="0.2">
      <c r="A21" s="38" t="s">
        <v>616</v>
      </c>
      <c r="B21" s="38"/>
      <c r="C21" s="65">
        <v>280</v>
      </c>
      <c r="D21" s="44"/>
      <c r="E21" s="68">
        <v>3</v>
      </c>
    </row>
    <row r="22" spans="1:5" ht="16.5" x14ac:dyDescent="0.2">
      <c r="A22" s="38" t="s">
        <v>617</v>
      </c>
      <c r="B22" s="38"/>
      <c r="C22" s="38">
        <v>40</v>
      </c>
      <c r="D22" s="44"/>
      <c r="E22" s="68">
        <v>1</v>
      </c>
    </row>
    <row r="23" spans="1:5" ht="16.5" x14ac:dyDescent="0.2">
      <c r="A23" s="38" t="s">
        <v>618</v>
      </c>
      <c r="B23" s="38"/>
      <c r="C23" s="65">
        <v>120</v>
      </c>
      <c r="D23" s="44"/>
      <c r="E23" s="68">
        <v>2</v>
      </c>
    </row>
    <row r="24" spans="1:5" ht="16.5" x14ac:dyDescent="0.2">
      <c r="A24" s="38" t="s">
        <v>619</v>
      </c>
      <c r="B24" s="38"/>
      <c r="C24" s="65">
        <v>120</v>
      </c>
      <c r="D24" s="44"/>
      <c r="E24" s="68">
        <v>2</v>
      </c>
    </row>
    <row r="25" spans="1:5" ht="16.5" x14ac:dyDescent="0.2">
      <c r="A25" s="38" t="s">
        <v>620</v>
      </c>
      <c r="B25" s="38"/>
      <c r="C25" s="65">
        <v>280</v>
      </c>
      <c r="D25" s="44"/>
      <c r="E25" s="68">
        <v>3</v>
      </c>
    </row>
    <row r="26" spans="1:5" ht="16.5" x14ac:dyDescent="0.2">
      <c r="A26" s="38" t="s">
        <v>621</v>
      </c>
      <c r="B26" s="38"/>
      <c r="C26" s="38">
        <v>280</v>
      </c>
      <c r="D26" s="44"/>
      <c r="E26" s="68">
        <v>3</v>
      </c>
    </row>
    <row r="27" spans="1:5" ht="16.5" x14ac:dyDescent="0.2">
      <c r="A27" s="38" t="s">
        <v>622</v>
      </c>
      <c r="B27" s="38"/>
      <c r="C27" s="65">
        <v>600</v>
      </c>
      <c r="D27" s="44"/>
      <c r="E27" s="68">
        <v>4</v>
      </c>
    </row>
    <row r="28" spans="1:5" ht="16.5" x14ac:dyDescent="0.2">
      <c r="A28" s="38" t="s">
        <v>623</v>
      </c>
      <c r="B28" s="38"/>
      <c r="C28" s="65">
        <v>40</v>
      </c>
      <c r="D28" s="44"/>
      <c r="E28" s="68">
        <v>1</v>
      </c>
    </row>
    <row r="29" spans="1:5" ht="16.5" x14ac:dyDescent="0.2">
      <c r="A29" s="38" t="s">
        <v>624</v>
      </c>
      <c r="B29" s="38"/>
      <c r="C29" s="65">
        <v>120</v>
      </c>
      <c r="D29" s="44"/>
      <c r="E29" s="68">
        <v>2</v>
      </c>
    </row>
    <row r="30" spans="1:5" ht="16.5" x14ac:dyDescent="0.2">
      <c r="A30" s="38" t="s">
        <v>625</v>
      </c>
      <c r="B30" s="38"/>
      <c r="C30" s="38">
        <v>120</v>
      </c>
      <c r="D30" s="44"/>
      <c r="E30" s="68">
        <v>2</v>
      </c>
    </row>
    <row r="31" spans="1:5" ht="16.5" x14ac:dyDescent="0.2">
      <c r="A31" s="38" t="s">
        <v>626</v>
      </c>
      <c r="B31" s="38"/>
      <c r="C31" s="65">
        <v>280</v>
      </c>
      <c r="D31" s="44"/>
      <c r="E31" s="68">
        <v>3</v>
      </c>
    </row>
    <row r="32" spans="1:5" ht="16.5" x14ac:dyDescent="0.2">
      <c r="A32" s="38" t="s">
        <v>627</v>
      </c>
      <c r="B32" s="38"/>
      <c r="C32" s="65">
        <v>280</v>
      </c>
      <c r="D32" s="44"/>
      <c r="E32" s="68">
        <v>3</v>
      </c>
    </row>
    <row r="33" spans="1:5" ht="16.5" x14ac:dyDescent="0.2">
      <c r="A33" s="38" t="s">
        <v>628</v>
      </c>
      <c r="B33" s="38"/>
      <c r="C33" s="65">
        <v>600</v>
      </c>
      <c r="D33" s="44"/>
      <c r="E33" s="68">
        <v>4</v>
      </c>
    </row>
    <row r="34" spans="1:5" ht="16.5" x14ac:dyDescent="0.2">
      <c r="A34" s="38" t="s">
        <v>629</v>
      </c>
      <c r="B34" s="38"/>
      <c r="C34" s="65">
        <v>40</v>
      </c>
      <c r="D34" s="44"/>
      <c r="E34" s="68">
        <v>1</v>
      </c>
    </row>
    <row r="35" spans="1:5" ht="16.5" x14ac:dyDescent="0.2">
      <c r="A35" s="38" t="s">
        <v>630</v>
      </c>
      <c r="B35" s="38"/>
      <c r="C35" s="65">
        <v>120</v>
      </c>
      <c r="D35" s="44"/>
      <c r="E35" s="68">
        <v>2</v>
      </c>
    </row>
    <row r="36" spans="1:5" ht="16.5" x14ac:dyDescent="0.2">
      <c r="A36" s="38" t="s">
        <v>631</v>
      </c>
      <c r="B36" s="38"/>
      <c r="C36" s="65">
        <v>120</v>
      </c>
      <c r="D36" s="44"/>
      <c r="E36" s="68">
        <v>2</v>
      </c>
    </row>
    <row r="37" spans="1:5" ht="16.5" x14ac:dyDescent="0.2">
      <c r="A37" s="38" t="s">
        <v>632</v>
      </c>
      <c r="B37" s="38"/>
      <c r="C37" s="65">
        <v>280</v>
      </c>
      <c r="D37" s="44"/>
      <c r="E37" s="68">
        <v>3</v>
      </c>
    </row>
    <row r="38" spans="1:5" ht="16.5" x14ac:dyDescent="0.2">
      <c r="A38" s="38" t="s">
        <v>633</v>
      </c>
      <c r="B38" s="38"/>
      <c r="C38" s="65">
        <v>280</v>
      </c>
      <c r="D38" s="44"/>
      <c r="E38" s="68">
        <v>3</v>
      </c>
    </row>
    <row r="39" spans="1:5" ht="16.5" x14ac:dyDescent="0.2">
      <c r="A39" s="38" t="s">
        <v>634</v>
      </c>
      <c r="B39" s="38"/>
      <c r="C39" s="65">
        <v>600</v>
      </c>
      <c r="D39" s="44"/>
      <c r="E39" s="68">
        <v>4</v>
      </c>
    </row>
    <row r="40" spans="1:5" ht="16.5" x14ac:dyDescent="0.2">
      <c r="A40" s="38" t="s">
        <v>635</v>
      </c>
      <c r="B40" s="38"/>
      <c r="C40" s="65">
        <v>120</v>
      </c>
      <c r="D40" s="44"/>
      <c r="E40" s="68">
        <v>2</v>
      </c>
    </row>
    <row r="41" spans="1:5" ht="16.5" x14ac:dyDescent="0.2">
      <c r="A41" s="38" t="s">
        <v>636</v>
      </c>
      <c r="B41" s="38"/>
      <c r="C41" s="65">
        <v>120</v>
      </c>
      <c r="D41" s="44"/>
      <c r="E41" s="68">
        <v>2</v>
      </c>
    </row>
    <row r="42" spans="1:5" ht="16.5" x14ac:dyDescent="0.2">
      <c r="A42" s="38" t="s">
        <v>637</v>
      </c>
      <c r="B42" s="38"/>
      <c r="C42" s="65">
        <v>120</v>
      </c>
      <c r="D42" s="44"/>
      <c r="E42" s="68">
        <v>2</v>
      </c>
    </row>
    <row r="43" spans="1:5" ht="16.5" x14ac:dyDescent="0.2">
      <c r="A43" s="38" t="s">
        <v>638</v>
      </c>
      <c r="B43" s="38"/>
      <c r="C43" s="65">
        <v>280</v>
      </c>
      <c r="D43" s="44"/>
      <c r="E43" s="68">
        <v>3</v>
      </c>
    </row>
    <row r="44" spans="1:5" ht="16.5" x14ac:dyDescent="0.2">
      <c r="A44" s="73" t="s">
        <v>639</v>
      </c>
      <c r="B44" s="73"/>
      <c r="C44" s="73">
        <v>280</v>
      </c>
      <c r="D44" s="73"/>
      <c r="E44" s="73">
        <v>3</v>
      </c>
    </row>
    <row r="45" spans="1:5" ht="16.5" x14ac:dyDescent="0.2">
      <c r="A45" s="73" t="s">
        <v>640</v>
      </c>
      <c r="B45" s="73"/>
      <c r="C45" s="73">
        <v>280</v>
      </c>
      <c r="D45" s="73"/>
      <c r="E45" s="73">
        <v>3</v>
      </c>
    </row>
    <row r="46" spans="1:5" ht="16.5" x14ac:dyDescent="0.2">
      <c r="A46" s="73" t="s">
        <v>641</v>
      </c>
      <c r="B46" s="73"/>
      <c r="C46" s="73">
        <v>600</v>
      </c>
      <c r="D46" s="73"/>
      <c r="E46" s="73">
        <v>4</v>
      </c>
    </row>
    <row r="47" spans="1:5" ht="16.5" x14ac:dyDescent="0.2">
      <c r="A47" s="73" t="s">
        <v>642</v>
      </c>
      <c r="B47" s="73"/>
      <c r="C47" s="73">
        <v>600</v>
      </c>
      <c r="D47" s="73"/>
      <c r="E47" s="73">
        <v>4</v>
      </c>
    </row>
    <row r="48" spans="1:5" ht="16.5" x14ac:dyDescent="0.2">
      <c r="A48" s="73" t="s">
        <v>643</v>
      </c>
      <c r="B48" s="73"/>
      <c r="C48" s="73">
        <v>120</v>
      </c>
      <c r="D48" s="73"/>
      <c r="E48" s="73">
        <v>2</v>
      </c>
    </row>
    <row r="49" spans="1:5" ht="16.5" x14ac:dyDescent="0.2">
      <c r="A49" s="73" t="s">
        <v>644</v>
      </c>
      <c r="B49" s="73"/>
      <c r="C49" s="73">
        <v>120</v>
      </c>
      <c r="D49" s="73"/>
      <c r="E49" s="73">
        <v>2</v>
      </c>
    </row>
    <row r="50" spans="1:5" ht="16.5" x14ac:dyDescent="0.2">
      <c r="A50" s="73" t="s">
        <v>645</v>
      </c>
      <c r="B50" s="73"/>
      <c r="C50" s="73">
        <v>120</v>
      </c>
      <c r="D50" s="73"/>
      <c r="E50" s="73">
        <v>2</v>
      </c>
    </row>
    <row r="51" spans="1:5" ht="16.5" x14ac:dyDescent="0.2">
      <c r="A51" s="73" t="s">
        <v>646</v>
      </c>
      <c r="B51" s="73"/>
      <c r="C51" s="73">
        <v>280</v>
      </c>
      <c r="D51" s="73"/>
      <c r="E51" s="73">
        <v>3</v>
      </c>
    </row>
    <row r="52" spans="1:5" ht="16.5" x14ac:dyDescent="0.2">
      <c r="A52" s="73" t="s">
        <v>647</v>
      </c>
      <c r="B52" s="73"/>
      <c r="C52" s="73">
        <v>280</v>
      </c>
      <c r="D52" s="73"/>
      <c r="E52" s="73">
        <v>3</v>
      </c>
    </row>
    <row r="53" spans="1:5" ht="16.5" x14ac:dyDescent="0.2">
      <c r="A53" s="73" t="s">
        <v>648</v>
      </c>
      <c r="B53" s="73"/>
      <c r="C53" s="73">
        <v>280</v>
      </c>
      <c r="D53" s="73"/>
      <c r="E53" s="73">
        <v>3</v>
      </c>
    </row>
    <row r="54" spans="1:5" ht="16.5" x14ac:dyDescent="0.2">
      <c r="A54" s="73" t="s">
        <v>649</v>
      </c>
      <c r="B54" s="73"/>
      <c r="C54" s="73">
        <v>600</v>
      </c>
      <c r="D54" s="73"/>
      <c r="E54" s="73">
        <v>4</v>
      </c>
    </row>
    <row r="55" spans="1:5" ht="16.5" x14ac:dyDescent="0.2">
      <c r="A55" s="73" t="s">
        <v>650</v>
      </c>
      <c r="B55" s="73"/>
      <c r="C55" s="73">
        <v>600</v>
      </c>
      <c r="D55" s="73"/>
      <c r="E55" s="73">
        <v>4</v>
      </c>
    </row>
    <row r="56" spans="1:5" ht="15.75" customHeight="1" x14ac:dyDescent="0.2">
      <c r="A56" s="61" t="s">
        <v>555</v>
      </c>
      <c r="B56" s="61"/>
      <c r="C56" s="61">
        <v>150</v>
      </c>
      <c r="D56" s="61"/>
      <c r="E56" s="68"/>
    </row>
    <row r="57" spans="1:5" ht="16.5" x14ac:dyDescent="0.2">
      <c r="A57" s="17" t="s">
        <v>27</v>
      </c>
      <c r="B57" s="17"/>
      <c r="C57" s="17">
        <v>7</v>
      </c>
      <c r="D57" s="44"/>
      <c r="E57" s="68"/>
    </row>
    <row r="58" spans="1:5" ht="16.5" x14ac:dyDescent="0.2">
      <c r="A58" s="17" t="s">
        <v>28</v>
      </c>
      <c r="B58" s="17"/>
      <c r="C58" s="17">
        <v>35</v>
      </c>
      <c r="D58" s="44"/>
      <c r="E58" s="68"/>
    </row>
    <row r="59" spans="1:5" ht="16.5" x14ac:dyDescent="0.2">
      <c r="A59" s="17" t="s">
        <v>29</v>
      </c>
      <c r="B59" s="17"/>
      <c r="C59" s="17">
        <v>100</v>
      </c>
      <c r="D59" s="44"/>
      <c r="E59" s="68"/>
    </row>
    <row r="60" spans="1:5" ht="16.5" x14ac:dyDescent="0.2">
      <c r="A60" s="13" t="s">
        <v>30</v>
      </c>
      <c r="B60" s="13"/>
      <c r="C60" s="13">
        <v>10</v>
      </c>
      <c r="D60" s="44"/>
      <c r="E60" s="68"/>
    </row>
    <row r="61" spans="1:5" ht="16.5" x14ac:dyDescent="0.2">
      <c r="A61" s="13" t="s">
        <v>31</v>
      </c>
      <c r="B61" s="13"/>
      <c r="C61" s="13">
        <v>50</v>
      </c>
      <c r="D61" s="44"/>
      <c r="E61" s="68"/>
    </row>
    <row r="62" spans="1:5" ht="16.5" x14ac:dyDescent="0.2">
      <c r="A62" s="13" t="s">
        <v>32</v>
      </c>
      <c r="B62" s="13"/>
      <c r="C62" s="13">
        <v>200</v>
      </c>
      <c r="D62" s="44"/>
      <c r="E62" s="68"/>
    </row>
    <row r="63" spans="1:5" ht="16.5" x14ac:dyDescent="0.2">
      <c r="A63" s="13" t="s">
        <v>25</v>
      </c>
      <c r="B63" s="13"/>
      <c r="C63" s="13">
        <v>350</v>
      </c>
      <c r="D63" s="44"/>
      <c r="E63" s="68"/>
    </row>
    <row r="64" spans="1:5" ht="16.5" x14ac:dyDescent="0.2">
      <c r="A64" s="13" t="s">
        <v>26</v>
      </c>
      <c r="B64" s="13"/>
      <c r="C64" s="13">
        <v>75</v>
      </c>
      <c r="D64" s="44"/>
      <c r="E64" s="68"/>
    </row>
    <row r="65" spans="1:5" ht="16.5" x14ac:dyDescent="0.2">
      <c r="A65" s="13" t="s">
        <v>328</v>
      </c>
      <c r="B65" s="13">
        <v>2500</v>
      </c>
      <c r="C65" s="13">
        <v>2.5</v>
      </c>
      <c r="D65" s="44"/>
      <c r="E65" s="68"/>
    </row>
    <row r="66" spans="1:5" ht="16.5" x14ac:dyDescent="0.2">
      <c r="A66" s="13" t="s">
        <v>329</v>
      </c>
      <c r="B66" s="13">
        <v>5000</v>
      </c>
      <c r="C66" s="13">
        <v>5</v>
      </c>
      <c r="D66" s="44"/>
      <c r="E66" s="68"/>
    </row>
    <row r="67" spans="1:5" ht="16.5" x14ac:dyDescent="0.2">
      <c r="A67" s="13" t="s">
        <v>330</v>
      </c>
      <c r="B67" s="13">
        <v>20000</v>
      </c>
      <c r="C67" s="13">
        <v>20</v>
      </c>
      <c r="D67" s="44"/>
      <c r="E67" s="68"/>
    </row>
    <row r="68" spans="1:5" ht="16.5" x14ac:dyDescent="0.2">
      <c r="A68" s="26" t="s">
        <v>179</v>
      </c>
      <c r="B68" s="26"/>
      <c r="C68" s="26">
        <v>1</v>
      </c>
      <c r="D68" s="44"/>
      <c r="E68" s="68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21"/>
  <sheetViews>
    <sheetView workbookViewId="0">
      <selection activeCell="K24" sqref="K24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8.5" customWidth="1"/>
    <col min="15" max="15" width="7.75" customWidth="1"/>
    <col min="16" max="16" width="9" customWidth="1"/>
    <col min="17" max="17" width="8.25" customWidth="1"/>
    <col min="18" max="18" width="43.5" customWidth="1"/>
  </cols>
  <sheetData>
    <row r="3" spans="1:25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358</v>
      </c>
      <c r="L3" s="12" t="s">
        <v>103</v>
      </c>
      <c r="M3" s="12" t="s">
        <v>120</v>
      </c>
      <c r="N3" s="12" t="s">
        <v>872</v>
      </c>
      <c r="O3" s="12" t="s">
        <v>121</v>
      </c>
      <c r="P3" s="12" t="s">
        <v>122</v>
      </c>
      <c r="Q3" s="12" t="s">
        <v>123</v>
      </c>
      <c r="R3" s="12" t="s">
        <v>115</v>
      </c>
      <c r="S3" s="12" t="s">
        <v>164</v>
      </c>
      <c r="T3" s="12" t="s">
        <v>510</v>
      </c>
      <c r="V3" s="58" t="s">
        <v>501</v>
      </c>
      <c r="W3" s="58" t="s">
        <v>502</v>
      </c>
      <c r="X3" s="58" t="s">
        <v>503</v>
      </c>
      <c r="Y3" s="58" t="s">
        <v>504</v>
      </c>
    </row>
    <row r="4" spans="1:25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4">
        <v>1</v>
      </c>
      <c r="L4" s="26">
        <v>2</v>
      </c>
      <c r="M4" s="26">
        <v>1</v>
      </c>
      <c r="N4" s="94">
        <v>1</v>
      </c>
      <c r="O4" s="15">
        <f>ROUND((SUM($L$4:$L4)-SUM($M$4:$M4))/B$4,2)</f>
        <v>0.03</v>
      </c>
      <c r="P4" s="15">
        <f>ROUND((SUM($L$4:$L4)-SUM($M$4:$M4))/C$4,2)</f>
        <v>0.03</v>
      </c>
      <c r="Q4" s="15">
        <f>ROUND((SUM($L$4:$L4)-SUM($M$4:$M4))/D$4,2)</f>
        <v>0.02</v>
      </c>
      <c r="R4" s="26" t="s">
        <v>116</v>
      </c>
      <c r="S4" s="15">
        <f>P4</f>
        <v>0.03</v>
      </c>
      <c r="T4" s="15">
        <f>SUM(S$4:S4)</f>
        <v>0.03</v>
      </c>
      <c r="V4" s="60">
        <v>2</v>
      </c>
      <c r="W4" s="60">
        <v>0</v>
      </c>
      <c r="X4" s="60">
        <v>0</v>
      </c>
      <c r="Y4" s="60">
        <v>0</v>
      </c>
    </row>
    <row r="5" spans="1:25" ht="16.5" x14ac:dyDescent="0.2">
      <c r="I5" s="26">
        <v>2</v>
      </c>
      <c r="J5" s="26" t="s">
        <v>104</v>
      </c>
      <c r="K5" s="44">
        <v>10</v>
      </c>
      <c r="L5" s="26">
        <v>4</v>
      </c>
      <c r="M5" s="26">
        <v>1</v>
      </c>
      <c r="N5" s="94">
        <v>1</v>
      </c>
      <c r="O5" s="15">
        <f>ROUND((SUM($L$4:$L5)-SUM($M$4:$M5))/B$4,2)</f>
        <v>0.13</v>
      </c>
      <c r="P5" s="15">
        <f>ROUND((SUM($L$4:$L5)-SUM($M$4:$M5))/C$4,2)</f>
        <v>0.1</v>
      </c>
      <c r="Q5" s="15">
        <f>ROUND((SUM($L$4:$L5)-SUM($M$4:$M5))/D$4,2)</f>
        <v>0.08</v>
      </c>
      <c r="R5" s="26" t="s">
        <v>117</v>
      </c>
      <c r="S5" s="15">
        <f>P5-P4</f>
        <v>7.0000000000000007E-2</v>
      </c>
      <c r="T5" s="15">
        <f>SUM(S$4:S5)</f>
        <v>0.1</v>
      </c>
      <c r="V5" s="60">
        <v>4</v>
      </c>
      <c r="W5" s="60">
        <v>0</v>
      </c>
      <c r="X5" s="60">
        <v>0</v>
      </c>
      <c r="Y5" s="60">
        <v>0</v>
      </c>
    </row>
    <row r="6" spans="1:25" ht="17.25" x14ac:dyDescent="0.2">
      <c r="A6" s="12" t="s">
        <v>114</v>
      </c>
      <c r="I6" s="26">
        <v>3</v>
      </c>
      <c r="J6" s="26" t="s">
        <v>105</v>
      </c>
      <c r="K6" s="44">
        <v>20</v>
      </c>
      <c r="L6" s="26">
        <v>12</v>
      </c>
      <c r="M6" s="26"/>
      <c r="N6" s="94">
        <v>1</v>
      </c>
      <c r="O6" s="15">
        <f>ROUND((SUM($L$4:$L6)-SUM($M$4:$M6))/B$4,2)</f>
        <v>0.53</v>
      </c>
      <c r="P6" s="15">
        <f>ROUND((SUM($L$4:$L6)-SUM($M$4:$M6))/C$4,2)</f>
        <v>0.4</v>
      </c>
      <c r="Q6" s="15">
        <f>ROUND((SUM($L$4:$L6)-SUM($M$4:$M6))/D$4,2)</f>
        <v>0.32</v>
      </c>
      <c r="R6" s="26" t="s">
        <v>118</v>
      </c>
      <c r="S6" s="15">
        <f t="shared" ref="S6:S18" si="0">P6-P5</f>
        <v>0.30000000000000004</v>
      </c>
      <c r="T6" s="15">
        <f>SUM(S$4:S6)</f>
        <v>0.4</v>
      </c>
      <c r="V6" s="60">
        <v>7</v>
      </c>
      <c r="W6" s="60">
        <v>0</v>
      </c>
      <c r="X6" s="60">
        <v>0</v>
      </c>
      <c r="Y6" s="60">
        <v>0</v>
      </c>
    </row>
    <row r="7" spans="1:25" ht="18" customHeight="1" x14ac:dyDescent="0.2">
      <c r="A7" s="26">
        <v>20</v>
      </c>
      <c r="I7" s="26">
        <v>4</v>
      </c>
      <c r="J7" s="26" t="s">
        <v>106</v>
      </c>
      <c r="K7" s="44">
        <v>30</v>
      </c>
      <c r="L7" s="26">
        <v>24</v>
      </c>
      <c r="M7" s="26"/>
      <c r="N7" s="94">
        <v>1.5</v>
      </c>
      <c r="O7" s="15">
        <f>ROUND((SUM($L$4:$L7)-SUM($M$4:$M7))/B$4,2)</f>
        <v>1.33</v>
      </c>
      <c r="P7" s="15">
        <f>ROUND((SUM($L$4:$L7)-SUM($M$4:$M7))/C$4,2)</f>
        <v>1</v>
      </c>
      <c r="Q7" s="15">
        <f>ROUND((SUM($L$4:$L7)-SUM($M$4:$M7))/D$4,2)</f>
        <v>0.8</v>
      </c>
      <c r="R7" s="26" t="s">
        <v>119</v>
      </c>
      <c r="S7" s="15">
        <f t="shared" si="0"/>
        <v>0.6</v>
      </c>
      <c r="T7" s="15">
        <f>SUM(S$4:S7)</f>
        <v>1</v>
      </c>
      <c r="V7" s="60">
        <v>10</v>
      </c>
      <c r="W7" s="60">
        <v>4</v>
      </c>
      <c r="X7" s="60">
        <v>0</v>
      </c>
      <c r="Y7" s="60">
        <v>0</v>
      </c>
    </row>
    <row r="8" spans="1:25" ht="16.5" x14ac:dyDescent="0.2">
      <c r="A8" s="26">
        <v>30</v>
      </c>
      <c r="I8" s="26">
        <v>5</v>
      </c>
      <c r="J8" s="26" t="s">
        <v>107</v>
      </c>
      <c r="K8" s="44">
        <v>40</v>
      </c>
      <c r="L8" s="26">
        <v>40</v>
      </c>
      <c r="M8" s="26"/>
      <c r="N8" s="94">
        <v>2</v>
      </c>
      <c r="O8" s="15">
        <f>ROUND((SUM($L$4:$L8)-SUM($M$4:$M8))/B$4,2)</f>
        <v>2.67</v>
      </c>
      <c r="P8" s="15">
        <f>ROUND((SUM($L$4:$L8)-SUM($M$4:$M8))/C$4,2)</f>
        <v>2</v>
      </c>
      <c r="Q8" s="15">
        <f>ROUND((SUM($L$4:$L8)-SUM($M$4:$M8))/D$4,2)</f>
        <v>1.6</v>
      </c>
      <c r="R8" s="26"/>
      <c r="S8" s="15">
        <f t="shared" si="0"/>
        <v>1</v>
      </c>
      <c r="T8" s="15">
        <f>SUM(S$4:S8)</f>
        <v>2</v>
      </c>
      <c r="V8" s="60">
        <v>20</v>
      </c>
      <c r="W8" s="60">
        <v>10</v>
      </c>
      <c r="X8" s="60">
        <v>5</v>
      </c>
      <c r="Y8" s="60">
        <v>5</v>
      </c>
    </row>
    <row r="9" spans="1:25" ht="16.5" x14ac:dyDescent="0.2">
      <c r="A9" s="26">
        <v>30</v>
      </c>
      <c r="I9" s="26">
        <v>6</v>
      </c>
      <c r="J9" s="26" t="s">
        <v>124</v>
      </c>
      <c r="K9" s="44">
        <v>50</v>
      </c>
      <c r="L9" s="26">
        <v>60</v>
      </c>
      <c r="M9" s="26"/>
      <c r="N9" s="94">
        <v>2.25</v>
      </c>
      <c r="O9" s="15">
        <f>ROUND((SUM($L$4:$L9)-SUM($M$4:$M9))/B$4,2)</f>
        <v>4.67</v>
      </c>
      <c r="P9" s="15">
        <f>ROUND((SUM($L$4:$L9)-SUM($M$4:$M9))/C$4,2)</f>
        <v>3.5</v>
      </c>
      <c r="Q9" s="15">
        <f>ROUND((SUM($L$4:$L9)-SUM($M$4:$M9))/D$4,2)</f>
        <v>2.8</v>
      </c>
      <c r="R9" s="26"/>
      <c r="S9" s="15">
        <f t="shared" si="0"/>
        <v>1.5</v>
      </c>
      <c r="T9" s="15">
        <f>SUM(S$4:S9)</f>
        <v>3.5</v>
      </c>
      <c r="V9" s="60">
        <v>35</v>
      </c>
      <c r="W9" s="60">
        <v>20</v>
      </c>
      <c r="X9" s="60">
        <v>10</v>
      </c>
      <c r="Y9" s="60">
        <v>10</v>
      </c>
    </row>
    <row r="10" spans="1:25" ht="16.5" x14ac:dyDescent="0.2">
      <c r="A10" s="26">
        <v>40</v>
      </c>
      <c r="I10" s="26">
        <v>7</v>
      </c>
      <c r="J10" s="26" t="s">
        <v>125</v>
      </c>
      <c r="K10" s="44">
        <v>60</v>
      </c>
      <c r="L10" s="26">
        <v>80</v>
      </c>
      <c r="M10" s="26"/>
      <c r="N10" s="94">
        <v>2.5</v>
      </c>
      <c r="O10" s="15">
        <f>ROUND((SUM($L$4:$L10)-SUM($M$4:$M10))/B$4,2)</f>
        <v>7.33</v>
      </c>
      <c r="P10" s="15">
        <f>ROUND((SUM($L$4:$L10)-SUM($M$4:$M10))/C$4,2)</f>
        <v>5.5</v>
      </c>
      <c r="Q10" s="15">
        <f>ROUND((SUM($L$4:$L10)-SUM($M$4:$M10))/D$4,2)</f>
        <v>4.4000000000000004</v>
      </c>
      <c r="R10" s="26"/>
      <c r="S10" s="15">
        <f t="shared" si="0"/>
        <v>2</v>
      </c>
      <c r="T10" s="15">
        <f>SUM(S$4:S10)</f>
        <v>5.5</v>
      </c>
      <c r="V10" s="60">
        <v>50</v>
      </c>
      <c r="W10" s="60">
        <v>30</v>
      </c>
      <c r="X10" s="60">
        <v>15</v>
      </c>
      <c r="Y10" s="60">
        <v>15</v>
      </c>
    </row>
    <row r="11" spans="1:25" ht="16.5" x14ac:dyDescent="0.2">
      <c r="A11" s="26">
        <v>40</v>
      </c>
      <c r="I11" s="26">
        <v>8</v>
      </c>
      <c r="J11" s="26" t="s">
        <v>126</v>
      </c>
      <c r="K11" s="44">
        <v>70</v>
      </c>
      <c r="L11" s="26">
        <v>100</v>
      </c>
      <c r="M11" s="26"/>
      <c r="N11" s="94">
        <v>2.75</v>
      </c>
      <c r="O11" s="15">
        <f>ROUND((SUM($L$4:$L11)-SUM($M$4:$M11))/B$4,2)</f>
        <v>10.67</v>
      </c>
      <c r="P11" s="15">
        <f>ROUND((SUM($L$4:$L11)-SUM($M$4:$M11))/C$4,2)</f>
        <v>8</v>
      </c>
      <c r="Q11" s="15">
        <f>ROUND((SUM($L$4:$L11)-SUM($M$4:$M11))/D$4,2)</f>
        <v>6.4</v>
      </c>
      <c r="R11" s="26"/>
      <c r="S11" s="15">
        <f t="shared" si="0"/>
        <v>2.5</v>
      </c>
      <c r="T11" s="15">
        <f>SUM(S$4:S11)</f>
        <v>8</v>
      </c>
      <c r="V11" s="60">
        <v>65</v>
      </c>
      <c r="W11" s="60">
        <v>40</v>
      </c>
      <c r="X11" s="60">
        <v>20</v>
      </c>
      <c r="Y11" s="60">
        <v>20</v>
      </c>
    </row>
    <row r="12" spans="1:25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4">
        <v>80</v>
      </c>
      <c r="L12" s="26">
        <v>150</v>
      </c>
      <c r="M12" s="26"/>
      <c r="N12" s="94">
        <v>3</v>
      </c>
      <c r="O12" s="15">
        <f>ROUND((SUM($L$4:$L12)-SUM($M$4:$M12))/B$4,2)</f>
        <v>15.67</v>
      </c>
      <c r="P12" s="15">
        <f>ROUND((SUM($L$4:$L12)-SUM($M$4:$M12))/C$4,2)</f>
        <v>11.75</v>
      </c>
      <c r="Q12" s="15">
        <f>ROUND((SUM($L$4:$L12)-SUM($M$4:$M12))/D$4,2)</f>
        <v>9.4</v>
      </c>
      <c r="R12" s="26"/>
      <c r="S12" s="15">
        <f t="shared" si="0"/>
        <v>3.75</v>
      </c>
      <c r="T12" s="15">
        <f>SUM(S$4:S12)</f>
        <v>11.75</v>
      </c>
      <c r="V12" s="60">
        <v>80</v>
      </c>
      <c r="W12" s="60">
        <v>55</v>
      </c>
      <c r="X12" s="60">
        <v>30</v>
      </c>
      <c r="Y12" s="60">
        <v>30</v>
      </c>
    </row>
    <row r="13" spans="1:25" ht="16.5" x14ac:dyDescent="0.2">
      <c r="A13" s="26">
        <v>60</v>
      </c>
      <c r="I13" s="26">
        <v>10</v>
      </c>
      <c r="J13" s="26" t="s">
        <v>128</v>
      </c>
      <c r="K13" s="44">
        <v>90</v>
      </c>
      <c r="L13" s="26">
        <v>250</v>
      </c>
      <c r="M13" s="26"/>
      <c r="N13" s="94">
        <v>3</v>
      </c>
      <c r="O13" s="15">
        <f>ROUND((SUM($L$4:$L13)-SUM($M$4:$M13))/B$4,2)</f>
        <v>24</v>
      </c>
      <c r="P13" s="15">
        <f>ROUND((SUM($L$4:$L13)-SUM($M$4:$M13))/C$4,2)</f>
        <v>18</v>
      </c>
      <c r="Q13" s="15">
        <f>ROUND((SUM($L$4:$L13)-SUM($M$4:$M13))/D$4,2)</f>
        <v>14.4</v>
      </c>
      <c r="R13" s="26"/>
      <c r="S13" s="15">
        <f t="shared" si="0"/>
        <v>6.25</v>
      </c>
      <c r="T13" s="15">
        <f>SUM(S$4:S13)</f>
        <v>18</v>
      </c>
      <c r="V13" s="60">
        <v>100</v>
      </c>
      <c r="W13" s="60">
        <v>70</v>
      </c>
      <c r="X13" s="60">
        <v>45</v>
      </c>
      <c r="Y13" s="60">
        <v>45</v>
      </c>
    </row>
    <row r="14" spans="1:25" ht="16.5" x14ac:dyDescent="0.2">
      <c r="A14" s="26">
        <v>80</v>
      </c>
      <c r="I14" s="26">
        <v>11</v>
      </c>
      <c r="J14" s="26" t="s">
        <v>129</v>
      </c>
      <c r="K14" s="44">
        <v>100</v>
      </c>
      <c r="L14" s="26">
        <v>400</v>
      </c>
      <c r="M14" s="26"/>
      <c r="N14" s="94">
        <v>3</v>
      </c>
      <c r="O14" s="15">
        <f>ROUND((SUM($L$4:$L14)-SUM($M$4:$M14))/B$4,2)</f>
        <v>37.33</v>
      </c>
      <c r="P14" s="15">
        <f>ROUND((SUM($L$4:$L14)-SUM($M$4:$M14))/C$4,2)</f>
        <v>28</v>
      </c>
      <c r="Q14" s="15">
        <f>ROUND((SUM($L$4:$L14)-SUM($M$4:$M14))/D$4,2)</f>
        <v>22.4</v>
      </c>
      <c r="R14" s="26"/>
      <c r="S14" s="15">
        <f t="shared" si="0"/>
        <v>10</v>
      </c>
      <c r="T14" s="15">
        <f>SUM(S$4:S14)</f>
        <v>28</v>
      </c>
      <c r="V14" s="60">
        <v>0</v>
      </c>
      <c r="W14" s="60">
        <v>85</v>
      </c>
      <c r="X14" s="60">
        <v>60</v>
      </c>
      <c r="Y14" s="60">
        <v>60</v>
      </c>
    </row>
    <row r="15" spans="1:25" ht="16.5" x14ac:dyDescent="0.2">
      <c r="A15" s="26">
        <v>90</v>
      </c>
      <c r="I15" s="26">
        <v>12</v>
      </c>
      <c r="J15" s="26" t="s">
        <v>130</v>
      </c>
      <c r="K15" s="44">
        <v>110</v>
      </c>
      <c r="L15" s="26">
        <v>550</v>
      </c>
      <c r="M15" s="26"/>
      <c r="N15" s="94">
        <v>3</v>
      </c>
      <c r="O15" s="15">
        <f>ROUND((SUM($L$4:$L15)-SUM($M$4:$M15))/B$4,2)</f>
        <v>55.67</v>
      </c>
      <c r="P15" s="15">
        <f>ROUND((SUM($L$4:$L15)-SUM($M$4:$M15))/C$4,2)</f>
        <v>41.75</v>
      </c>
      <c r="Q15" s="15">
        <f>ROUND((SUM($L$4:$L15)-SUM($M$4:$M15))/D$4,2)</f>
        <v>33.4</v>
      </c>
      <c r="R15" s="26"/>
      <c r="S15" s="15">
        <f t="shared" si="0"/>
        <v>13.75</v>
      </c>
      <c r="T15" s="15">
        <f>SUM(S$4:S15)</f>
        <v>41.75</v>
      </c>
      <c r="V15" s="60">
        <v>0</v>
      </c>
      <c r="W15" s="60">
        <v>100</v>
      </c>
      <c r="X15" s="60">
        <v>80</v>
      </c>
      <c r="Y15" s="60">
        <v>80</v>
      </c>
    </row>
    <row r="16" spans="1:25" ht="16.5" x14ac:dyDescent="0.2">
      <c r="A16" s="26">
        <v>100</v>
      </c>
      <c r="I16" s="26">
        <v>13</v>
      </c>
      <c r="J16" s="26" t="s">
        <v>131</v>
      </c>
      <c r="K16" s="44">
        <v>120</v>
      </c>
      <c r="L16" s="26">
        <v>700</v>
      </c>
      <c r="M16" s="26"/>
      <c r="N16" s="94">
        <v>3</v>
      </c>
      <c r="O16" s="15">
        <f>ROUND((SUM($L$4:$L16)-SUM($M$4:$M16))/B$4,2)</f>
        <v>79</v>
      </c>
      <c r="P16" s="15">
        <f>ROUND((SUM($L$4:$L16)-SUM($M$4:$M16))/C$4,2)</f>
        <v>59.25</v>
      </c>
      <c r="Q16" s="15">
        <f>ROUND((SUM($L$4:$L16)-SUM($M$4:$M16))/D$4,2)</f>
        <v>47.4</v>
      </c>
      <c r="R16" s="26"/>
      <c r="S16" s="15">
        <f t="shared" si="0"/>
        <v>17.5</v>
      </c>
      <c r="T16" s="15">
        <f>SUM(S$4:S16)</f>
        <v>59.25</v>
      </c>
      <c r="V16" s="60">
        <v>0</v>
      </c>
      <c r="W16" s="60">
        <v>0</v>
      </c>
      <c r="X16" s="60">
        <v>100</v>
      </c>
      <c r="Y16" s="60">
        <v>100</v>
      </c>
    </row>
    <row r="17" spans="1:25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4">
        <v>130</v>
      </c>
      <c r="L17" s="26">
        <v>1000</v>
      </c>
      <c r="M17" s="26"/>
      <c r="N17" s="94">
        <v>3</v>
      </c>
      <c r="O17" s="15">
        <f>ROUND((SUM($L$4:$L17)-SUM($M$4:$M17))/B$4,2)</f>
        <v>112.33</v>
      </c>
      <c r="P17" s="15">
        <f>ROUND((SUM($L$4:$L17)-SUM($M$4:$M17))/C$4,2)</f>
        <v>84.25</v>
      </c>
      <c r="Q17" s="15">
        <f>ROUND((SUM($L$4:$L17)-SUM($M$4:$M17))/D$4,2)</f>
        <v>67.400000000000006</v>
      </c>
      <c r="R17" s="26"/>
      <c r="S17" s="15">
        <f t="shared" si="0"/>
        <v>25</v>
      </c>
      <c r="T17" s="15">
        <f>SUM(S$4:S17)</f>
        <v>84.25</v>
      </c>
      <c r="V17" s="60">
        <v>0</v>
      </c>
      <c r="W17" s="60">
        <v>0</v>
      </c>
      <c r="X17" s="60">
        <v>0</v>
      </c>
      <c r="Y17" s="60">
        <v>0</v>
      </c>
    </row>
    <row r="18" spans="1:25" ht="16.5" x14ac:dyDescent="0.2">
      <c r="A18" s="16"/>
      <c r="I18" s="26">
        <v>15</v>
      </c>
      <c r="J18" s="26" t="s">
        <v>133</v>
      </c>
      <c r="K18" s="44">
        <v>140</v>
      </c>
      <c r="L18" s="26">
        <v>1500</v>
      </c>
      <c r="M18" s="26"/>
      <c r="N18" s="94">
        <v>3</v>
      </c>
      <c r="O18" s="15">
        <f>ROUND((SUM($L$4:$L18)-SUM($M$4:$M18))/B$4,2)</f>
        <v>162.33000000000001</v>
      </c>
      <c r="P18" s="15">
        <f>ROUND((SUM($L$4:$L18)-SUM($M$4:$M18))/C$4,2)</f>
        <v>121.75</v>
      </c>
      <c r="Q18" s="15">
        <f>ROUND((SUM($L$4:$L18)-SUM($M$4:$M18))/D$4,2)</f>
        <v>97.4</v>
      </c>
      <c r="R18" s="26"/>
      <c r="S18" s="15">
        <f t="shared" si="0"/>
        <v>37.5</v>
      </c>
      <c r="T18" s="15">
        <f>SUM(S$4:S18)</f>
        <v>121.75</v>
      </c>
      <c r="V18" s="60">
        <v>0</v>
      </c>
      <c r="W18" s="60">
        <v>0</v>
      </c>
      <c r="X18" s="60">
        <v>0</v>
      </c>
      <c r="Y18" s="60">
        <v>0</v>
      </c>
    </row>
    <row r="19" spans="1:25" x14ac:dyDescent="0.2">
      <c r="A19" s="16"/>
    </row>
    <row r="20" spans="1:25" x14ac:dyDescent="0.2">
      <c r="A20" s="16"/>
    </row>
    <row r="21" spans="1:25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J18" sqref="J18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16" t="s">
        <v>138</v>
      </c>
      <c r="B3" s="116"/>
      <c r="C3" s="116"/>
      <c r="D3" s="116"/>
      <c r="E3" s="116"/>
      <c r="F3" s="116"/>
      <c r="G3" s="116"/>
      <c r="H3" s="116"/>
      <c r="I3" s="116"/>
      <c r="K3" s="115" t="s">
        <v>147</v>
      </c>
      <c r="L3" s="115"/>
      <c r="M3" s="115"/>
      <c r="N3" s="115"/>
      <c r="O3" s="115"/>
      <c r="P3" s="115"/>
      <c r="Q3" s="115"/>
      <c r="R3" s="115"/>
      <c r="S3" s="115"/>
      <c r="T3" s="115"/>
      <c r="V3" s="115" t="s">
        <v>153</v>
      </c>
      <c r="W3" s="115"/>
      <c r="X3" s="115"/>
      <c r="Y3" s="115"/>
      <c r="Z3" s="115"/>
      <c r="AA3" s="115"/>
      <c r="AB3" s="115"/>
      <c r="AC3" s="115"/>
      <c r="AD3" s="115"/>
      <c r="AE3" s="115"/>
      <c r="AH3" s="116" t="s">
        <v>135</v>
      </c>
      <c r="AI3" s="116"/>
      <c r="AJ3" s="116"/>
      <c r="AK3" s="116"/>
      <c r="AL3" s="116"/>
      <c r="AM3" s="116"/>
      <c r="AP3" s="115" t="s">
        <v>733</v>
      </c>
      <c r="AQ3" s="115"/>
      <c r="AR3" s="115"/>
      <c r="AS3" s="115"/>
      <c r="AT3" s="115"/>
      <c r="AU3" s="115"/>
      <c r="AX3" s="115" t="s">
        <v>40</v>
      </c>
      <c r="AY3" s="115"/>
      <c r="AZ3" s="115"/>
      <c r="BA3" s="115"/>
      <c r="BB3" s="115"/>
      <c r="BC3" s="115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8">
        <v>0</v>
      </c>
      <c r="T5" s="38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8"/>
      <c r="AE5" s="38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8">
        <v>60</v>
      </c>
      <c r="T6" s="38">
        <f>INDEX($H$6:$H$20,K6)*S6</f>
        <v>1500</v>
      </c>
      <c r="V6" s="26">
        <v>1</v>
      </c>
      <c r="W6" s="26">
        <v>8</v>
      </c>
      <c r="X6" s="74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8">
        <v>120</v>
      </c>
      <c r="AE6" s="38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4">
        <v>45</v>
      </c>
      <c r="R7" s="26">
        <f t="shared" ref="R7:R20" si="12">INDEX($H$6:$H$20,K7)*Q7</f>
        <v>1890</v>
      </c>
      <c r="S7" s="38">
        <v>90</v>
      </c>
      <c r="T7" s="38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4">
        <v>90</v>
      </c>
      <c r="AC7" s="26">
        <f t="shared" ref="AC7:AC20" si="16">INDEX($H$6:$H$20,V7)*AB7</f>
        <v>3780</v>
      </c>
      <c r="AD7" s="38">
        <v>180</v>
      </c>
      <c r="AE7" s="38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8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4">
        <v>45</v>
      </c>
      <c r="R8" s="26">
        <f t="shared" si="12"/>
        <v>3150</v>
      </c>
      <c r="S8" s="38">
        <v>120</v>
      </c>
      <c r="T8" s="38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4">
        <v>90</v>
      </c>
      <c r="AC8" s="26">
        <f t="shared" si="16"/>
        <v>6300</v>
      </c>
      <c r="AD8" s="38">
        <v>240</v>
      </c>
      <c r="AE8" s="38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8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8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4">
        <v>45</v>
      </c>
      <c r="R9" s="26">
        <f t="shared" si="12"/>
        <v>4680</v>
      </c>
      <c r="S9" s="38">
        <v>120</v>
      </c>
      <c r="T9" s="38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4">
        <v>90</v>
      </c>
      <c r="AC9" s="26">
        <f t="shared" si="16"/>
        <v>9360</v>
      </c>
      <c r="AD9" s="38">
        <v>240</v>
      </c>
      <c r="AE9" s="38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4">
        <v>45</v>
      </c>
      <c r="R10" s="26">
        <f t="shared" si="12"/>
        <v>6480</v>
      </c>
      <c r="S10" s="38">
        <v>150</v>
      </c>
      <c r="T10" s="38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4">
        <v>90</v>
      </c>
      <c r="AC10" s="26">
        <f t="shared" si="16"/>
        <v>12960</v>
      </c>
      <c r="AD10" s="38">
        <v>300</v>
      </c>
      <c r="AE10" s="38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4">
        <v>45</v>
      </c>
      <c r="R11" s="26">
        <f t="shared" si="12"/>
        <v>9000</v>
      </c>
      <c r="S11" s="38">
        <v>150</v>
      </c>
      <c r="T11" s="38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4">
        <v>90</v>
      </c>
      <c r="AC11" s="26">
        <f t="shared" si="16"/>
        <v>18000</v>
      </c>
      <c r="AD11" s="38">
        <v>300</v>
      </c>
      <c r="AE11" s="38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7">
        <v>7</v>
      </c>
      <c r="AY11" s="67">
        <v>1</v>
      </c>
      <c r="AZ11" s="67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4">
        <v>45</v>
      </c>
      <c r="R12" s="26">
        <f t="shared" si="12"/>
        <v>12375</v>
      </c>
      <c r="S12" s="38">
        <v>150</v>
      </c>
      <c r="T12" s="38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4">
        <v>90</v>
      </c>
      <c r="AC12" s="26">
        <f t="shared" si="16"/>
        <v>24750</v>
      </c>
      <c r="AD12" s="38">
        <v>300</v>
      </c>
      <c r="AE12" s="38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7">
        <v>8</v>
      </c>
      <c r="AQ12" s="67">
        <v>1</v>
      </c>
      <c r="AR12" s="67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7">
        <v>8</v>
      </c>
      <c r="AY12" s="67">
        <v>1</v>
      </c>
      <c r="AZ12" s="67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4">
        <v>45</v>
      </c>
      <c r="R13" s="26">
        <f t="shared" si="12"/>
        <v>16200</v>
      </c>
      <c r="S13" s="38">
        <v>150</v>
      </c>
      <c r="T13" s="38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4">
        <v>90</v>
      </c>
      <c r="AC13" s="26">
        <f t="shared" si="16"/>
        <v>32400</v>
      </c>
      <c r="AD13" s="38">
        <v>300</v>
      </c>
      <c r="AE13" s="38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7">
        <v>9</v>
      </c>
      <c r="AQ13" s="67">
        <v>1</v>
      </c>
      <c r="AR13" s="67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7">
        <v>9</v>
      </c>
      <c r="AY13" s="67">
        <v>1</v>
      </c>
      <c r="AZ13" s="67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4">
        <v>45</v>
      </c>
      <c r="R14" s="26">
        <f t="shared" si="12"/>
        <v>21060</v>
      </c>
      <c r="S14" s="38">
        <v>150</v>
      </c>
      <c r="T14" s="38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4">
        <v>90</v>
      </c>
      <c r="AC14" s="26">
        <f t="shared" si="16"/>
        <v>42120</v>
      </c>
      <c r="AD14" s="38">
        <v>300</v>
      </c>
      <c r="AE14" s="38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7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4">
        <v>45</v>
      </c>
      <c r="R15" s="26">
        <f t="shared" si="12"/>
        <v>27720</v>
      </c>
      <c r="S15" s="38">
        <v>150</v>
      </c>
      <c r="T15" s="38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4">
        <v>90</v>
      </c>
      <c r="AC15" s="26">
        <f t="shared" si="16"/>
        <v>55440</v>
      </c>
      <c r="AD15" s="38">
        <v>300</v>
      </c>
      <c r="AE15" s="38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7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8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4">
        <v>45</v>
      </c>
      <c r="R16" s="26">
        <f t="shared" si="12"/>
        <v>35775</v>
      </c>
      <c r="S16" s="38">
        <v>150</v>
      </c>
      <c r="T16" s="38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4">
        <v>90</v>
      </c>
      <c r="AC16" s="26">
        <f t="shared" si="16"/>
        <v>71550</v>
      </c>
      <c r="AD16" s="38">
        <v>300</v>
      </c>
      <c r="AE16" s="38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7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4">
        <v>45</v>
      </c>
      <c r="R17" s="26">
        <f t="shared" si="12"/>
        <v>46800</v>
      </c>
      <c r="S17" s="38">
        <v>150</v>
      </c>
      <c r="T17" s="38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4">
        <v>90</v>
      </c>
      <c r="AC17" s="26">
        <f t="shared" si="16"/>
        <v>93600</v>
      </c>
      <c r="AD17" s="38">
        <v>300</v>
      </c>
      <c r="AE17" s="38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7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4">
        <v>45</v>
      </c>
      <c r="R18" s="26">
        <f t="shared" si="12"/>
        <v>61200</v>
      </c>
      <c r="S18" s="38">
        <v>150</v>
      </c>
      <c r="T18" s="38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4">
        <v>90</v>
      </c>
      <c r="AC18" s="26">
        <f t="shared" si="16"/>
        <v>122400</v>
      </c>
      <c r="AD18" s="38">
        <v>300</v>
      </c>
      <c r="AE18" s="38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7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4">
        <v>45</v>
      </c>
      <c r="R19" s="26">
        <f t="shared" si="12"/>
        <v>81000</v>
      </c>
      <c r="S19" s="38">
        <v>150</v>
      </c>
      <c r="T19" s="38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4">
        <v>90</v>
      </c>
      <c r="AC19" s="26">
        <f t="shared" si="16"/>
        <v>162000</v>
      </c>
      <c r="AD19" s="38">
        <v>300</v>
      </c>
      <c r="AE19" s="38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7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4">
        <v>45</v>
      </c>
      <c r="R20" s="26">
        <f t="shared" si="12"/>
        <v>112500</v>
      </c>
      <c r="S20" s="38">
        <v>150</v>
      </c>
      <c r="T20" s="38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4">
        <v>90</v>
      </c>
      <c r="AC20" s="26">
        <f t="shared" si="16"/>
        <v>225000</v>
      </c>
      <c r="AD20" s="38">
        <v>300</v>
      </c>
      <c r="AE20" s="38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7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7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7">
        <v>1.5</v>
      </c>
      <c r="N22" s="57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7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15" t="s">
        <v>470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56"/>
      <c r="M23" s="115" t="s">
        <v>471</v>
      </c>
      <c r="N23" s="115"/>
      <c r="O23" s="115"/>
      <c r="P23" s="115"/>
      <c r="Q23" s="115"/>
      <c r="R23" s="115"/>
      <c r="S23" s="115"/>
      <c r="T23" s="115"/>
      <c r="U23" s="115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7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452</v>
      </c>
      <c r="B24" s="12" t="s">
        <v>453</v>
      </c>
      <c r="C24" s="12" t="s">
        <v>454</v>
      </c>
      <c r="D24" s="35" t="s">
        <v>461</v>
      </c>
      <c r="E24" s="35" t="s">
        <v>462</v>
      </c>
      <c r="F24" s="12" t="s">
        <v>455</v>
      </c>
      <c r="G24" s="12" t="s">
        <v>456</v>
      </c>
      <c r="H24" s="12" t="s">
        <v>457</v>
      </c>
      <c r="I24" s="12" t="s">
        <v>458</v>
      </c>
      <c r="J24" s="12" t="s">
        <v>459</v>
      </c>
      <c r="K24" s="12" t="s">
        <v>460</v>
      </c>
      <c r="L24" s="56"/>
      <c r="M24" s="58" t="s">
        <v>472</v>
      </c>
      <c r="N24" s="12" t="s">
        <v>461</v>
      </c>
      <c r="O24" s="12" t="s">
        <v>462</v>
      </c>
      <c r="P24" s="12" t="s">
        <v>455</v>
      </c>
      <c r="Q24" s="12" t="s">
        <v>456</v>
      </c>
      <c r="R24" s="12" t="s">
        <v>457</v>
      </c>
      <c r="S24" s="12" t="s">
        <v>458</v>
      </c>
      <c r="T24" s="12" t="s">
        <v>459</v>
      </c>
      <c r="U24" s="12" t="s">
        <v>460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7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5">
        <v>1</v>
      </c>
      <c r="B25" s="55">
        <f>INDEX($A$6:$A$20,INT((A25-1)/3)+1)</f>
        <v>1</v>
      </c>
      <c r="C25" s="55">
        <f>MOD(A25-1,3)+1</f>
        <v>1</v>
      </c>
      <c r="D25" s="55">
        <v>60</v>
      </c>
      <c r="E25" s="55">
        <v>90</v>
      </c>
      <c r="F25" s="55" t="s">
        <v>463</v>
      </c>
      <c r="G25" s="55">
        <f t="shared" ref="G25:G69" si="28">INDEX($E$5:$E$20,B25)*D25</f>
        <v>240</v>
      </c>
      <c r="H25" s="55" t="s">
        <v>464</v>
      </c>
      <c r="I25" s="55">
        <f>INT(INDEX(挂机升级突破!$F$8:$F$22,章节关卡!$B25)*章节关卡!E25/6)</f>
        <v>3</v>
      </c>
      <c r="J25" s="55" t="s">
        <v>469</v>
      </c>
      <c r="K25" s="55">
        <v>20</v>
      </c>
      <c r="L25" s="16"/>
      <c r="M25" s="55">
        <f t="shared" ref="M25:M66" si="29">B25+1</f>
        <v>2</v>
      </c>
      <c r="N25" s="55">
        <f t="shared" ref="N25:N66" si="30">D25*M$22</f>
        <v>90</v>
      </c>
      <c r="O25" s="55">
        <f t="shared" ref="O25:O66" si="31">E25*N$22</f>
        <v>135</v>
      </c>
      <c r="P25" s="55" t="s">
        <v>463</v>
      </c>
      <c r="Q25" s="55">
        <f t="shared" ref="Q25:Q69" si="32">INDEX($E$5:$E$20,B25)*N25</f>
        <v>360</v>
      </c>
      <c r="R25" s="55" t="s">
        <v>464</v>
      </c>
      <c r="S25" s="55">
        <f>INT(INDEX(挂机升级突破!$F$8:$F$22,章节关卡!$B25)*章节关卡!O25/6)</f>
        <v>5</v>
      </c>
      <c r="T25" s="55" t="s">
        <v>473</v>
      </c>
      <c r="U25" s="55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7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5">
        <v>2</v>
      </c>
      <c r="B26" s="55">
        <f t="shared" ref="B26:B69" si="33">INDEX($A$6:$A$20,INT((A26-1)/3)+1)</f>
        <v>1</v>
      </c>
      <c r="C26" s="55">
        <f t="shared" ref="C26:C69" si="34">MOD(A26-1,3)+1</f>
        <v>2</v>
      </c>
      <c r="D26" s="55">
        <v>120</v>
      </c>
      <c r="E26" s="55">
        <v>180</v>
      </c>
      <c r="F26" s="55" t="s">
        <v>463</v>
      </c>
      <c r="G26" s="55">
        <f t="shared" si="28"/>
        <v>480</v>
      </c>
      <c r="H26" s="55" t="s">
        <v>464</v>
      </c>
      <c r="I26" s="55">
        <f>INT(INDEX(挂机升级突破!$F$8:$F$22,章节关卡!$B26)*章节关卡!E26/6)</f>
        <v>7</v>
      </c>
      <c r="J26" s="55" t="s">
        <v>469</v>
      </c>
      <c r="K26" s="55">
        <v>30</v>
      </c>
      <c r="L26" s="16"/>
      <c r="M26" s="55">
        <f t="shared" si="29"/>
        <v>2</v>
      </c>
      <c r="N26" s="55">
        <f t="shared" si="30"/>
        <v>180</v>
      </c>
      <c r="O26" s="55">
        <f t="shared" si="31"/>
        <v>270</v>
      </c>
      <c r="P26" s="55" t="s">
        <v>463</v>
      </c>
      <c r="Q26" s="55">
        <f t="shared" si="32"/>
        <v>720</v>
      </c>
      <c r="R26" s="55" t="s">
        <v>464</v>
      </c>
      <c r="S26" s="55">
        <f>INT(INDEX(挂机升级突破!$F$8:$F$22,章节关卡!$B26)*章节关卡!O26/6)</f>
        <v>11</v>
      </c>
      <c r="T26" s="55" t="s">
        <v>474</v>
      </c>
      <c r="U26" s="55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7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5">
        <v>3</v>
      </c>
      <c r="B27" s="55">
        <f t="shared" si="33"/>
        <v>1</v>
      </c>
      <c r="C27" s="55">
        <f t="shared" si="34"/>
        <v>3</v>
      </c>
      <c r="D27" s="55">
        <v>180</v>
      </c>
      <c r="E27" s="55">
        <v>270</v>
      </c>
      <c r="F27" s="55" t="s">
        <v>463</v>
      </c>
      <c r="G27" s="55">
        <f t="shared" si="28"/>
        <v>720</v>
      </c>
      <c r="H27" s="55" t="s">
        <v>464</v>
      </c>
      <c r="I27" s="55">
        <f>INT(INDEX(挂机升级突破!$F$8:$F$22,章节关卡!$B27)*章节关卡!E27/6)</f>
        <v>11</v>
      </c>
      <c r="J27" s="55" t="s">
        <v>474</v>
      </c>
      <c r="K27" s="55">
        <v>1</v>
      </c>
      <c r="L27" s="16"/>
      <c r="M27" s="55">
        <f t="shared" si="29"/>
        <v>2</v>
      </c>
      <c r="N27" s="55">
        <f t="shared" si="30"/>
        <v>270</v>
      </c>
      <c r="O27" s="55">
        <f t="shared" si="31"/>
        <v>405</v>
      </c>
      <c r="P27" s="55" t="s">
        <v>463</v>
      </c>
      <c r="Q27" s="55">
        <f t="shared" si="32"/>
        <v>1080</v>
      </c>
      <c r="R27" s="55" t="s">
        <v>464</v>
      </c>
      <c r="S27" s="55">
        <f>INT(INDEX(挂机升级突破!$F$8:$F$22,章节关卡!$B27)*章节关卡!O27/6)</f>
        <v>16</v>
      </c>
      <c r="T27" s="55" t="s">
        <v>474</v>
      </c>
      <c r="U27" s="55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7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5">
        <v>4</v>
      </c>
      <c r="B28" s="55">
        <f t="shared" si="33"/>
        <v>2</v>
      </c>
      <c r="C28" s="55">
        <f t="shared" si="34"/>
        <v>1</v>
      </c>
      <c r="D28" s="55">
        <v>60</v>
      </c>
      <c r="E28" s="55">
        <v>90</v>
      </c>
      <c r="F28" s="55" t="s">
        <v>463</v>
      </c>
      <c r="G28" s="55">
        <f t="shared" si="28"/>
        <v>600</v>
      </c>
      <c r="H28" s="55" t="s">
        <v>464</v>
      </c>
      <c r="I28" s="55">
        <f>INT(INDEX(挂机升级突破!$F$8:$F$22,章节关卡!$B28)*章节关卡!E28/6)</f>
        <v>7</v>
      </c>
      <c r="J28" s="55" t="s">
        <v>469</v>
      </c>
      <c r="K28" s="55">
        <v>20</v>
      </c>
      <c r="L28" s="16"/>
      <c r="M28" s="55">
        <f t="shared" si="29"/>
        <v>3</v>
      </c>
      <c r="N28" s="55">
        <f t="shared" si="30"/>
        <v>90</v>
      </c>
      <c r="O28" s="55">
        <f t="shared" si="31"/>
        <v>135</v>
      </c>
      <c r="P28" s="55" t="s">
        <v>463</v>
      </c>
      <c r="Q28" s="55">
        <f t="shared" si="32"/>
        <v>900</v>
      </c>
      <c r="R28" s="55" t="s">
        <v>464</v>
      </c>
      <c r="S28" s="55">
        <f>INT(INDEX(挂机升级突破!$F$8:$F$22,章节关卡!$B28)*章节关卡!O28/6)</f>
        <v>11</v>
      </c>
      <c r="T28" s="55" t="s">
        <v>473</v>
      </c>
      <c r="U28" s="55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7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5">
        <v>5</v>
      </c>
      <c r="B29" s="55">
        <f t="shared" si="33"/>
        <v>2</v>
      </c>
      <c r="C29" s="55">
        <f t="shared" si="34"/>
        <v>2</v>
      </c>
      <c r="D29" s="55">
        <v>120</v>
      </c>
      <c r="E29" s="55">
        <v>180</v>
      </c>
      <c r="F29" s="55" t="s">
        <v>463</v>
      </c>
      <c r="G29" s="55">
        <f t="shared" si="28"/>
        <v>1200</v>
      </c>
      <c r="H29" s="55" t="s">
        <v>464</v>
      </c>
      <c r="I29" s="55">
        <f>INT(INDEX(挂机升级突破!$F$8:$F$22,章节关卡!$B29)*章节关卡!E29/6)</f>
        <v>15</v>
      </c>
      <c r="J29" s="55" t="s">
        <v>469</v>
      </c>
      <c r="K29" s="55">
        <v>30</v>
      </c>
      <c r="L29" s="16"/>
      <c r="M29" s="55">
        <f t="shared" si="29"/>
        <v>3</v>
      </c>
      <c r="N29" s="55">
        <f t="shared" si="30"/>
        <v>180</v>
      </c>
      <c r="O29" s="55">
        <f t="shared" si="31"/>
        <v>270</v>
      </c>
      <c r="P29" s="55" t="s">
        <v>463</v>
      </c>
      <c r="Q29" s="55">
        <f t="shared" si="32"/>
        <v>1800</v>
      </c>
      <c r="R29" s="55" t="s">
        <v>464</v>
      </c>
      <c r="S29" s="55">
        <f>INT(INDEX(挂机升级突破!$F$8:$F$22,章节关卡!$B29)*章节关卡!O29/6)</f>
        <v>22</v>
      </c>
      <c r="T29" s="55" t="s">
        <v>474</v>
      </c>
      <c r="U29" s="55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7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5">
        <v>6</v>
      </c>
      <c r="B30" s="55">
        <f t="shared" si="33"/>
        <v>2</v>
      </c>
      <c r="C30" s="55">
        <f t="shared" si="34"/>
        <v>3</v>
      </c>
      <c r="D30" s="55">
        <v>180</v>
      </c>
      <c r="E30" s="55">
        <v>270</v>
      </c>
      <c r="F30" s="55" t="s">
        <v>463</v>
      </c>
      <c r="G30" s="55">
        <f t="shared" si="28"/>
        <v>1800</v>
      </c>
      <c r="H30" s="55" t="s">
        <v>464</v>
      </c>
      <c r="I30" s="55">
        <f>INT(INDEX(挂机升级突破!$F$8:$F$22,章节关卡!$B30)*章节关卡!E30/6)</f>
        <v>22</v>
      </c>
      <c r="J30" s="55" t="s">
        <v>474</v>
      </c>
      <c r="K30" s="55">
        <v>1</v>
      </c>
      <c r="L30" s="16"/>
      <c r="M30" s="55">
        <f t="shared" si="29"/>
        <v>3</v>
      </c>
      <c r="N30" s="55">
        <f t="shared" si="30"/>
        <v>270</v>
      </c>
      <c r="O30" s="55">
        <f t="shared" si="31"/>
        <v>405</v>
      </c>
      <c r="P30" s="55" t="s">
        <v>463</v>
      </c>
      <c r="Q30" s="55">
        <f t="shared" si="32"/>
        <v>2700</v>
      </c>
      <c r="R30" s="55" t="s">
        <v>464</v>
      </c>
      <c r="S30" s="55">
        <f>INT(INDEX(挂机升级突破!$F$8:$F$22,章节关卡!$B30)*章节关卡!O30/6)</f>
        <v>33</v>
      </c>
      <c r="T30" s="55" t="s">
        <v>474</v>
      </c>
      <c r="U30" s="55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7">
        <v>26</v>
      </c>
      <c r="AQ30" s="67">
        <v>3</v>
      </c>
      <c r="AR30" s="67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7">
        <v>23</v>
      </c>
      <c r="AY30" s="67">
        <v>3</v>
      </c>
      <c r="AZ30" s="67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5">
        <v>7</v>
      </c>
      <c r="B31" s="55">
        <f t="shared" si="33"/>
        <v>3</v>
      </c>
      <c r="C31" s="55">
        <f t="shared" si="34"/>
        <v>1</v>
      </c>
      <c r="D31" s="55">
        <v>90</v>
      </c>
      <c r="E31" s="55">
        <v>135</v>
      </c>
      <c r="F31" s="55" t="s">
        <v>463</v>
      </c>
      <c r="G31" s="55">
        <f t="shared" si="28"/>
        <v>1350</v>
      </c>
      <c r="H31" s="55" t="s">
        <v>464</v>
      </c>
      <c r="I31" s="55">
        <f>INT(INDEX(挂机升级突破!$F$8:$F$22,章节关卡!$B31)*章节关卡!E31/6)</f>
        <v>16</v>
      </c>
      <c r="J31" s="55" t="s">
        <v>469</v>
      </c>
      <c r="K31" s="55">
        <v>30</v>
      </c>
      <c r="L31" s="16"/>
      <c r="M31" s="55">
        <f t="shared" si="29"/>
        <v>4</v>
      </c>
      <c r="N31" s="55">
        <f t="shared" si="30"/>
        <v>135</v>
      </c>
      <c r="O31" s="55">
        <f t="shared" si="31"/>
        <v>202.5</v>
      </c>
      <c r="P31" s="55" t="s">
        <v>463</v>
      </c>
      <c r="Q31" s="55">
        <f t="shared" si="32"/>
        <v>2025</v>
      </c>
      <c r="R31" s="55" t="s">
        <v>464</v>
      </c>
      <c r="S31" s="55">
        <f>INT(INDEX(挂机升级突破!$F$8:$F$22,章节关卡!$B31)*章节关卡!O31/6)</f>
        <v>25</v>
      </c>
      <c r="T31" s="55" t="s">
        <v>473</v>
      </c>
      <c r="U31" s="55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7">
        <v>27</v>
      </c>
      <c r="AQ31" s="67">
        <v>3</v>
      </c>
      <c r="AR31" s="67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7">
        <v>24</v>
      </c>
      <c r="AY31" s="67">
        <v>3</v>
      </c>
      <c r="AZ31" s="67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5">
        <v>8</v>
      </c>
      <c r="B32" s="55">
        <f t="shared" si="33"/>
        <v>3</v>
      </c>
      <c r="C32" s="55">
        <f t="shared" si="34"/>
        <v>2</v>
      </c>
      <c r="D32" s="55">
        <v>150</v>
      </c>
      <c r="E32" s="55">
        <v>225</v>
      </c>
      <c r="F32" s="55" t="s">
        <v>463</v>
      </c>
      <c r="G32" s="55">
        <f t="shared" si="28"/>
        <v>2250</v>
      </c>
      <c r="H32" s="55" t="s">
        <v>464</v>
      </c>
      <c r="I32" s="55">
        <f>INT(INDEX(挂机升级突破!$F$8:$F$22,章节关卡!$B32)*章节关卡!E32/6)</f>
        <v>28</v>
      </c>
      <c r="J32" s="55" t="s">
        <v>469</v>
      </c>
      <c r="K32" s="55">
        <v>40</v>
      </c>
      <c r="L32" s="16"/>
      <c r="M32" s="55">
        <f t="shared" si="29"/>
        <v>4</v>
      </c>
      <c r="N32" s="55">
        <f t="shared" si="30"/>
        <v>225</v>
      </c>
      <c r="O32" s="55">
        <f t="shared" si="31"/>
        <v>337.5</v>
      </c>
      <c r="P32" s="55" t="s">
        <v>463</v>
      </c>
      <c r="Q32" s="55">
        <f t="shared" si="32"/>
        <v>3375</v>
      </c>
      <c r="R32" s="55" t="s">
        <v>464</v>
      </c>
      <c r="S32" s="55">
        <f>INT(INDEX(挂机升级突破!$F$8:$F$22,章节关卡!$B32)*章节关卡!O32/6)</f>
        <v>42</v>
      </c>
      <c r="T32" s="55" t="s">
        <v>474</v>
      </c>
      <c r="U32" s="55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7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7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5">
        <v>9</v>
      </c>
      <c r="B33" s="55">
        <f t="shared" si="33"/>
        <v>3</v>
      </c>
      <c r="C33" s="55">
        <f t="shared" si="34"/>
        <v>3</v>
      </c>
      <c r="D33" s="55">
        <v>210</v>
      </c>
      <c r="E33" s="55">
        <v>315</v>
      </c>
      <c r="F33" s="55" t="s">
        <v>463</v>
      </c>
      <c r="G33" s="55">
        <f t="shared" si="28"/>
        <v>3150</v>
      </c>
      <c r="H33" s="55" t="s">
        <v>464</v>
      </c>
      <c r="I33" s="55">
        <f>INT(INDEX(挂机升级突破!$F$8:$F$22,章节关卡!$B33)*章节关卡!E33/6)</f>
        <v>39</v>
      </c>
      <c r="J33" s="55" t="s">
        <v>474</v>
      </c>
      <c r="K33" s="55">
        <v>1</v>
      </c>
      <c r="L33" s="16"/>
      <c r="M33" s="55">
        <f t="shared" si="29"/>
        <v>4</v>
      </c>
      <c r="N33" s="55">
        <f t="shared" si="30"/>
        <v>315</v>
      </c>
      <c r="O33" s="55">
        <f t="shared" si="31"/>
        <v>472.5</v>
      </c>
      <c r="P33" s="55" t="s">
        <v>463</v>
      </c>
      <c r="Q33" s="55">
        <f t="shared" si="32"/>
        <v>4725</v>
      </c>
      <c r="R33" s="55" t="s">
        <v>464</v>
      </c>
      <c r="S33" s="55">
        <f>INT(INDEX(挂机升级突破!$F$8:$F$22,章节关卡!$B33)*章节关卡!O33/6)</f>
        <v>59</v>
      </c>
      <c r="T33" s="55" t="s">
        <v>474</v>
      </c>
      <c r="U33" s="55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7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7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5">
        <v>10</v>
      </c>
      <c r="B34" s="55">
        <f t="shared" si="33"/>
        <v>4</v>
      </c>
      <c r="C34" s="55">
        <f t="shared" si="34"/>
        <v>1</v>
      </c>
      <c r="D34" s="55">
        <v>90</v>
      </c>
      <c r="E34" s="55">
        <v>135</v>
      </c>
      <c r="F34" s="55" t="s">
        <v>463</v>
      </c>
      <c r="G34" s="55">
        <f t="shared" si="28"/>
        <v>1800</v>
      </c>
      <c r="H34" s="55" t="s">
        <v>465</v>
      </c>
      <c r="I34" s="55">
        <f>INT(INDEX(挂机升级突破!$G$8:$G$22,章节关卡!$B34)*章节关卡!E34/6)</f>
        <v>5</v>
      </c>
      <c r="J34" s="55" t="s">
        <v>469</v>
      </c>
      <c r="K34" s="55">
        <v>30</v>
      </c>
      <c r="L34" s="16"/>
      <c r="M34" s="55">
        <f t="shared" si="29"/>
        <v>5</v>
      </c>
      <c r="N34" s="55">
        <f t="shared" si="30"/>
        <v>135</v>
      </c>
      <c r="O34" s="55">
        <f t="shared" si="31"/>
        <v>202.5</v>
      </c>
      <c r="P34" s="55" t="s">
        <v>463</v>
      </c>
      <c r="Q34" s="55">
        <f t="shared" si="32"/>
        <v>2700</v>
      </c>
      <c r="R34" s="55" t="s">
        <v>465</v>
      </c>
      <c r="S34" s="55">
        <f>INT(INDEX(挂机升级突破!$G$8:$G$22,章节关卡!$B34)*章节关卡!O34/6)</f>
        <v>8</v>
      </c>
      <c r="T34" s="55" t="s">
        <v>473</v>
      </c>
      <c r="U34" s="55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7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7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5">
        <v>11</v>
      </c>
      <c r="B35" s="55">
        <f t="shared" si="33"/>
        <v>4</v>
      </c>
      <c r="C35" s="55">
        <f t="shared" si="34"/>
        <v>2</v>
      </c>
      <c r="D35" s="55">
        <v>150</v>
      </c>
      <c r="E35" s="55">
        <v>225</v>
      </c>
      <c r="F35" s="55" t="s">
        <v>463</v>
      </c>
      <c r="G35" s="55">
        <f t="shared" si="28"/>
        <v>3000</v>
      </c>
      <c r="H35" s="55" t="s">
        <v>465</v>
      </c>
      <c r="I35" s="55">
        <f>INT(INDEX(挂机升级突破!$G$8:$G$22,章节关卡!$B35)*章节关卡!E35/6)</f>
        <v>9</v>
      </c>
      <c r="J35" s="55" t="s">
        <v>469</v>
      </c>
      <c r="K35" s="55">
        <v>40</v>
      </c>
      <c r="L35" s="16"/>
      <c r="M35" s="55">
        <f t="shared" si="29"/>
        <v>5</v>
      </c>
      <c r="N35" s="55">
        <f t="shared" si="30"/>
        <v>225</v>
      </c>
      <c r="O35" s="55">
        <f t="shared" si="31"/>
        <v>337.5</v>
      </c>
      <c r="P35" s="55" t="s">
        <v>463</v>
      </c>
      <c r="Q35" s="55">
        <f t="shared" si="32"/>
        <v>4500</v>
      </c>
      <c r="R35" s="55" t="s">
        <v>465</v>
      </c>
      <c r="S35" s="55">
        <f>INT(INDEX(挂机升级突破!$G$8:$G$22,章节关卡!$B35)*章节关卡!O35/6)</f>
        <v>14</v>
      </c>
      <c r="T35" s="55" t="s">
        <v>474</v>
      </c>
      <c r="U35" s="55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7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7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5">
        <v>12</v>
      </c>
      <c r="B36" s="55">
        <f t="shared" si="33"/>
        <v>4</v>
      </c>
      <c r="C36" s="55">
        <f t="shared" si="34"/>
        <v>3</v>
      </c>
      <c r="D36" s="55">
        <v>210</v>
      </c>
      <c r="E36" s="55">
        <v>315</v>
      </c>
      <c r="F36" s="55" t="s">
        <v>463</v>
      </c>
      <c r="G36" s="55">
        <f t="shared" si="28"/>
        <v>4200</v>
      </c>
      <c r="H36" s="55" t="s">
        <v>465</v>
      </c>
      <c r="I36" s="55">
        <f>INT(INDEX(挂机升级突破!$G$8:$G$22,章节关卡!$B36)*章节关卡!E36/6)</f>
        <v>13</v>
      </c>
      <c r="J36" s="55" t="s">
        <v>474</v>
      </c>
      <c r="K36" s="55">
        <v>1</v>
      </c>
      <c r="L36" s="16"/>
      <c r="M36" s="55">
        <f t="shared" si="29"/>
        <v>5</v>
      </c>
      <c r="N36" s="55">
        <f t="shared" si="30"/>
        <v>315</v>
      </c>
      <c r="O36" s="55">
        <f t="shared" si="31"/>
        <v>472.5</v>
      </c>
      <c r="P36" s="55" t="s">
        <v>463</v>
      </c>
      <c r="Q36" s="55">
        <f t="shared" si="32"/>
        <v>6300</v>
      </c>
      <c r="R36" s="55" t="s">
        <v>465</v>
      </c>
      <c r="S36" s="55">
        <f>INT(INDEX(挂机升级突破!$G$8:$G$22,章节关卡!$B36)*章节关卡!O36/6)</f>
        <v>19</v>
      </c>
      <c r="T36" s="55" t="s">
        <v>474</v>
      </c>
      <c r="U36" s="55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7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7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5">
        <v>13</v>
      </c>
      <c r="B37" s="55">
        <f t="shared" si="33"/>
        <v>5</v>
      </c>
      <c r="C37" s="55">
        <f t="shared" si="34"/>
        <v>1</v>
      </c>
      <c r="D37" s="55">
        <v>120</v>
      </c>
      <c r="E37" s="55">
        <v>180</v>
      </c>
      <c r="F37" s="55" t="s">
        <v>463</v>
      </c>
      <c r="G37" s="55">
        <f t="shared" si="28"/>
        <v>3000</v>
      </c>
      <c r="H37" s="55" t="s">
        <v>465</v>
      </c>
      <c r="I37" s="55">
        <f>INT(INDEX(挂机升级突破!$G$8:$G$22,章节关卡!$B37)*章节关卡!E37/6)</f>
        <v>15</v>
      </c>
      <c r="J37" s="55" t="s">
        <v>469</v>
      </c>
      <c r="K37" s="55">
        <v>40</v>
      </c>
      <c r="L37" s="16"/>
      <c r="M37" s="55">
        <f t="shared" si="29"/>
        <v>6</v>
      </c>
      <c r="N37" s="55">
        <f t="shared" si="30"/>
        <v>180</v>
      </c>
      <c r="O37" s="55">
        <f t="shared" si="31"/>
        <v>270</v>
      </c>
      <c r="P37" s="55" t="s">
        <v>463</v>
      </c>
      <c r="Q37" s="55">
        <f t="shared" si="32"/>
        <v>4500</v>
      </c>
      <c r="R37" s="55" t="s">
        <v>465</v>
      </c>
      <c r="S37" s="55">
        <f>INT(INDEX(挂机升级突破!$G$8:$G$22,章节关卡!$B37)*章节关卡!O37/6)</f>
        <v>22</v>
      </c>
      <c r="T37" s="55" t="s">
        <v>473</v>
      </c>
      <c r="U37" s="55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7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7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5">
        <v>14</v>
      </c>
      <c r="B38" s="55">
        <f t="shared" si="33"/>
        <v>5</v>
      </c>
      <c r="C38" s="55">
        <f t="shared" si="34"/>
        <v>2</v>
      </c>
      <c r="D38" s="55">
        <v>240</v>
      </c>
      <c r="E38" s="55">
        <v>360</v>
      </c>
      <c r="F38" s="55" t="s">
        <v>463</v>
      </c>
      <c r="G38" s="55">
        <f t="shared" si="28"/>
        <v>6000</v>
      </c>
      <c r="H38" s="55" t="s">
        <v>465</v>
      </c>
      <c r="I38" s="55">
        <f>INT(INDEX(挂机升级突破!$G$8:$G$22,章节关卡!$B38)*章节关卡!E38/6)</f>
        <v>30</v>
      </c>
      <c r="J38" s="55" t="s">
        <v>469</v>
      </c>
      <c r="K38" s="55">
        <v>60</v>
      </c>
      <c r="L38" s="16"/>
      <c r="M38" s="55">
        <f t="shared" si="29"/>
        <v>6</v>
      </c>
      <c r="N38" s="55">
        <f t="shared" si="30"/>
        <v>360</v>
      </c>
      <c r="O38" s="55">
        <f t="shared" si="31"/>
        <v>540</v>
      </c>
      <c r="P38" s="55" t="s">
        <v>463</v>
      </c>
      <c r="Q38" s="55">
        <f t="shared" si="32"/>
        <v>9000</v>
      </c>
      <c r="R38" s="55" t="s">
        <v>465</v>
      </c>
      <c r="S38" s="55">
        <f>INT(INDEX(挂机升级突破!$G$8:$G$22,章节关卡!$B38)*章节关卡!O38/6)</f>
        <v>45</v>
      </c>
      <c r="T38" s="55" t="s">
        <v>474</v>
      </c>
      <c r="U38" s="55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7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7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5">
        <v>15</v>
      </c>
      <c r="B39" s="55">
        <f t="shared" si="33"/>
        <v>5</v>
      </c>
      <c r="C39" s="55">
        <f t="shared" si="34"/>
        <v>3</v>
      </c>
      <c r="D39" s="55">
        <v>360</v>
      </c>
      <c r="E39" s="55">
        <v>540</v>
      </c>
      <c r="F39" s="55" t="s">
        <v>463</v>
      </c>
      <c r="G39" s="55">
        <f t="shared" si="28"/>
        <v>9000</v>
      </c>
      <c r="H39" s="55" t="s">
        <v>465</v>
      </c>
      <c r="I39" s="55">
        <f>INT(INDEX(挂机升级突破!$G$8:$G$22,章节关卡!$B39)*章节关卡!E39/6)</f>
        <v>45</v>
      </c>
      <c r="J39" s="55" t="s">
        <v>474</v>
      </c>
      <c r="K39" s="55">
        <v>1</v>
      </c>
      <c r="L39" s="16"/>
      <c r="M39" s="55">
        <f t="shared" si="29"/>
        <v>6</v>
      </c>
      <c r="N39" s="55">
        <f t="shared" si="30"/>
        <v>540</v>
      </c>
      <c r="O39" s="55">
        <f t="shared" si="31"/>
        <v>810</v>
      </c>
      <c r="P39" s="55" t="s">
        <v>463</v>
      </c>
      <c r="Q39" s="55">
        <f t="shared" si="32"/>
        <v>13500</v>
      </c>
      <c r="R39" s="55" t="s">
        <v>465</v>
      </c>
      <c r="S39" s="55">
        <f>INT(INDEX(挂机升级突破!$G$8:$G$22,章节关卡!$B39)*章节关卡!O39/6)</f>
        <v>67</v>
      </c>
      <c r="T39" s="55" t="s">
        <v>474</v>
      </c>
      <c r="U39" s="55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7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7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5">
        <v>16</v>
      </c>
      <c r="B40" s="55">
        <f t="shared" si="33"/>
        <v>6</v>
      </c>
      <c r="C40" s="55">
        <f t="shared" si="34"/>
        <v>1</v>
      </c>
      <c r="D40" s="55">
        <v>120</v>
      </c>
      <c r="E40" s="55">
        <v>180</v>
      </c>
      <c r="F40" s="55" t="s">
        <v>463</v>
      </c>
      <c r="G40" s="55">
        <f t="shared" si="28"/>
        <v>3840</v>
      </c>
      <c r="H40" s="55" t="s">
        <v>465</v>
      </c>
      <c r="I40" s="55">
        <f>INT(INDEX(挂机升级突破!$G$8:$G$22,章节关卡!$B40)*章节关卡!E40/6)</f>
        <v>22</v>
      </c>
      <c r="J40" s="55" t="s">
        <v>469</v>
      </c>
      <c r="K40" s="55">
        <v>40</v>
      </c>
      <c r="L40" s="16"/>
      <c r="M40" s="55">
        <f t="shared" si="29"/>
        <v>7</v>
      </c>
      <c r="N40" s="55">
        <f t="shared" si="30"/>
        <v>180</v>
      </c>
      <c r="O40" s="55">
        <f t="shared" si="31"/>
        <v>270</v>
      </c>
      <c r="P40" s="55" t="s">
        <v>463</v>
      </c>
      <c r="Q40" s="55">
        <f t="shared" si="32"/>
        <v>5760</v>
      </c>
      <c r="R40" s="55" t="s">
        <v>465</v>
      </c>
      <c r="S40" s="55">
        <f>INT(INDEX(挂机升级突破!$G$8:$G$22,章节关卡!$B40)*章节关卡!O40/6)</f>
        <v>33</v>
      </c>
      <c r="T40" s="55" t="s">
        <v>473</v>
      </c>
      <c r="U40" s="55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7">
        <v>36</v>
      </c>
      <c r="AQ40" s="67">
        <v>4</v>
      </c>
      <c r="AR40" s="67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7">
        <v>33</v>
      </c>
      <c r="AY40" s="67">
        <v>4</v>
      </c>
      <c r="AZ40" s="67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5">
        <v>17</v>
      </c>
      <c r="B41" s="55">
        <f t="shared" si="33"/>
        <v>6</v>
      </c>
      <c r="C41" s="55">
        <f t="shared" si="34"/>
        <v>2</v>
      </c>
      <c r="D41" s="55">
        <v>240</v>
      </c>
      <c r="E41" s="55">
        <v>360</v>
      </c>
      <c r="F41" s="55" t="s">
        <v>463</v>
      </c>
      <c r="G41" s="55">
        <f t="shared" si="28"/>
        <v>7680</v>
      </c>
      <c r="H41" s="55" t="s">
        <v>465</v>
      </c>
      <c r="I41" s="55">
        <f>INT(INDEX(挂机升级突破!$G$8:$G$22,章节关卡!$B41)*章节关卡!E41/6)</f>
        <v>45</v>
      </c>
      <c r="J41" s="55" t="s">
        <v>469</v>
      </c>
      <c r="K41" s="55">
        <v>60</v>
      </c>
      <c r="M41" s="55">
        <f t="shared" si="29"/>
        <v>7</v>
      </c>
      <c r="N41" s="55">
        <f t="shared" si="30"/>
        <v>360</v>
      </c>
      <c r="O41" s="55">
        <f t="shared" si="31"/>
        <v>540</v>
      </c>
      <c r="P41" s="55" t="s">
        <v>463</v>
      </c>
      <c r="Q41" s="55">
        <f t="shared" si="32"/>
        <v>11520</v>
      </c>
      <c r="R41" s="55" t="s">
        <v>465</v>
      </c>
      <c r="S41" s="55">
        <f>INT(INDEX(挂机升级突破!$G$8:$G$22,章节关卡!$B41)*章节关卡!O41/6)</f>
        <v>67</v>
      </c>
      <c r="T41" s="55" t="s">
        <v>474</v>
      </c>
      <c r="U41" s="55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7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7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5">
        <v>18</v>
      </c>
      <c r="B42" s="55">
        <f t="shared" si="33"/>
        <v>6</v>
      </c>
      <c r="C42" s="55">
        <f t="shared" si="34"/>
        <v>3</v>
      </c>
      <c r="D42" s="55">
        <v>360</v>
      </c>
      <c r="E42" s="55">
        <v>540</v>
      </c>
      <c r="F42" s="55" t="s">
        <v>463</v>
      </c>
      <c r="G42" s="55">
        <f t="shared" si="28"/>
        <v>11520</v>
      </c>
      <c r="H42" s="55" t="s">
        <v>465</v>
      </c>
      <c r="I42" s="55">
        <f>INT(INDEX(挂机升级突破!$G$8:$G$22,章节关卡!$B42)*章节关卡!E42/6)</f>
        <v>67</v>
      </c>
      <c r="J42" s="55" t="s">
        <v>474</v>
      </c>
      <c r="K42" s="55">
        <v>1</v>
      </c>
      <c r="M42" s="55">
        <f t="shared" si="29"/>
        <v>7</v>
      </c>
      <c r="N42" s="55">
        <f t="shared" si="30"/>
        <v>540</v>
      </c>
      <c r="O42" s="55">
        <f t="shared" si="31"/>
        <v>810</v>
      </c>
      <c r="P42" s="55" t="s">
        <v>463</v>
      </c>
      <c r="Q42" s="55">
        <f t="shared" si="32"/>
        <v>17280</v>
      </c>
      <c r="R42" s="55" t="s">
        <v>465</v>
      </c>
      <c r="S42" s="55">
        <f>INT(INDEX(挂机升级突破!$G$8:$G$22,章节关卡!$B42)*章节关卡!O42/6)</f>
        <v>101</v>
      </c>
      <c r="T42" s="55" t="s">
        <v>474</v>
      </c>
      <c r="U42" s="55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7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7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5">
        <v>19</v>
      </c>
      <c r="B43" s="55">
        <f t="shared" si="33"/>
        <v>7</v>
      </c>
      <c r="C43" s="55">
        <f t="shared" si="34"/>
        <v>1</v>
      </c>
      <c r="D43" s="55">
        <v>120</v>
      </c>
      <c r="E43" s="55">
        <v>180</v>
      </c>
      <c r="F43" s="55" t="s">
        <v>463</v>
      </c>
      <c r="G43" s="55">
        <f t="shared" si="28"/>
        <v>4800</v>
      </c>
      <c r="H43" s="55" t="s">
        <v>466</v>
      </c>
      <c r="I43" s="55">
        <f>INT(INDEX(挂机升级突破!$H$8:$H$22,章节关卡!$B43)*章节关卡!E43/6)</f>
        <v>7</v>
      </c>
      <c r="J43" s="55" t="s">
        <v>469</v>
      </c>
      <c r="K43" s="55">
        <v>40</v>
      </c>
      <c r="M43" s="55">
        <f t="shared" si="29"/>
        <v>8</v>
      </c>
      <c r="N43" s="55">
        <f t="shared" si="30"/>
        <v>180</v>
      </c>
      <c r="O43" s="55">
        <f t="shared" si="31"/>
        <v>270</v>
      </c>
      <c r="P43" s="55" t="s">
        <v>463</v>
      </c>
      <c r="Q43" s="55">
        <f t="shared" si="32"/>
        <v>7200</v>
      </c>
      <c r="R43" s="55" t="s">
        <v>466</v>
      </c>
      <c r="S43" s="55">
        <f>INT(INDEX(挂机升级突破!$H$8:$H$22,章节关卡!$B43)*章节关卡!O43/6)</f>
        <v>11</v>
      </c>
      <c r="T43" s="55" t="s">
        <v>473</v>
      </c>
      <c r="U43" s="55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7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7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5">
        <v>20</v>
      </c>
      <c r="B44" s="55">
        <f t="shared" si="33"/>
        <v>7</v>
      </c>
      <c r="C44" s="55">
        <f t="shared" si="34"/>
        <v>2</v>
      </c>
      <c r="D44" s="55">
        <v>240</v>
      </c>
      <c r="E44" s="55">
        <v>360</v>
      </c>
      <c r="F44" s="55" t="s">
        <v>463</v>
      </c>
      <c r="G44" s="55">
        <f t="shared" si="28"/>
        <v>9600</v>
      </c>
      <c r="H44" s="55" t="s">
        <v>466</v>
      </c>
      <c r="I44" s="55">
        <f>INT(INDEX(挂机升级突破!$H$8:$H$22,章节关卡!$B44)*章节关卡!E44/6)</f>
        <v>15</v>
      </c>
      <c r="J44" s="55" t="s">
        <v>469</v>
      </c>
      <c r="K44" s="55">
        <v>60</v>
      </c>
      <c r="M44" s="55">
        <f t="shared" si="29"/>
        <v>8</v>
      </c>
      <c r="N44" s="55">
        <f t="shared" si="30"/>
        <v>360</v>
      </c>
      <c r="O44" s="55">
        <f t="shared" si="31"/>
        <v>540</v>
      </c>
      <c r="P44" s="55" t="s">
        <v>463</v>
      </c>
      <c r="Q44" s="55">
        <f t="shared" si="32"/>
        <v>14400</v>
      </c>
      <c r="R44" s="55" t="s">
        <v>466</v>
      </c>
      <c r="S44" s="55">
        <f>INT(INDEX(挂机升级突破!$H$8:$H$22,章节关卡!$B44)*章节关卡!O44/6)</f>
        <v>22</v>
      </c>
      <c r="T44" s="55" t="s">
        <v>474</v>
      </c>
      <c r="U44" s="55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7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7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5">
        <v>21</v>
      </c>
      <c r="B45" s="55">
        <f t="shared" si="33"/>
        <v>7</v>
      </c>
      <c r="C45" s="55">
        <f t="shared" si="34"/>
        <v>3</v>
      </c>
      <c r="D45" s="55">
        <v>360</v>
      </c>
      <c r="E45" s="55">
        <v>540</v>
      </c>
      <c r="F45" s="55" t="s">
        <v>463</v>
      </c>
      <c r="G45" s="55">
        <f t="shared" si="28"/>
        <v>14400</v>
      </c>
      <c r="H45" s="55" t="s">
        <v>466</v>
      </c>
      <c r="I45" s="55">
        <f>INT(INDEX(挂机升级突破!$H$8:$H$22,章节关卡!$B45)*章节关卡!E45/6)</f>
        <v>22</v>
      </c>
      <c r="J45" s="55" t="s">
        <v>474</v>
      </c>
      <c r="K45" s="55">
        <v>1</v>
      </c>
      <c r="M45" s="55">
        <f t="shared" si="29"/>
        <v>8</v>
      </c>
      <c r="N45" s="55">
        <f t="shared" si="30"/>
        <v>540</v>
      </c>
      <c r="O45" s="55">
        <f t="shared" si="31"/>
        <v>810</v>
      </c>
      <c r="P45" s="55" t="s">
        <v>463</v>
      </c>
      <c r="Q45" s="55">
        <f t="shared" si="32"/>
        <v>21600</v>
      </c>
      <c r="R45" s="55" t="s">
        <v>466</v>
      </c>
      <c r="S45" s="55">
        <f>INT(INDEX(挂机升级突破!$H$8:$H$22,章节关卡!$B45)*章节关卡!O45/6)</f>
        <v>33</v>
      </c>
      <c r="T45" s="55" t="s">
        <v>474</v>
      </c>
      <c r="U45" s="55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7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7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5">
        <v>22</v>
      </c>
      <c r="B46" s="55">
        <f t="shared" si="33"/>
        <v>8</v>
      </c>
      <c r="C46" s="55">
        <f t="shared" si="34"/>
        <v>1</v>
      </c>
      <c r="D46" s="55">
        <v>120</v>
      </c>
      <c r="E46" s="55">
        <v>180</v>
      </c>
      <c r="F46" s="55" t="s">
        <v>463</v>
      </c>
      <c r="G46" s="55">
        <f t="shared" si="28"/>
        <v>6000</v>
      </c>
      <c r="H46" s="55" t="s">
        <v>466</v>
      </c>
      <c r="I46" s="55">
        <f>INT(INDEX(挂机升级突破!$H$8:$H$22,章节关卡!$B46)*章节关卡!E46/6)</f>
        <v>15</v>
      </c>
      <c r="J46" s="55" t="s">
        <v>469</v>
      </c>
      <c r="K46" s="55">
        <v>40</v>
      </c>
      <c r="M46" s="55">
        <f t="shared" si="29"/>
        <v>9</v>
      </c>
      <c r="N46" s="55">
        <f t="shared" si="30"/>
        <v>180</v>
      </c>
      <c r="O46" s="55">
        <f t="shared" si="31"/>
        <v>270</v>
      </c>
      <c r="P46" s="55" t="s">
        <v>463</v>
      </c>
      <c r="Q46" s="55">
        <f t="shared" si="32"/>
        <v>9000</v>
      </c>
      <c r="R46" s="55" t="s">
        <v>466</v>
      </c>
      <c r="S46" s="55">
        <f>INT(INDEX(挂机升级突破!$H$8:$H$22,章节关卡!$B46)*章节关卡!O46/6)</f>
        <v>22</v>
      </c>
      <c r="T46" s="55" t="s">
        <v>473</v>
      </c>
      <c r="U46" s="55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7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7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5">
        <v>23</v>
      </c>
      <c r="B47" s="55">
        <f t="shared" si="33"/>
        <v>8</v>
      </c>
      <c r="C47" s="55">
        <f t="shared" si="34"/>
        <v>2</v>
      </c>
      <c r="D47" s="55">
        <v>240</v>
      </c>
      <c r="E47" s="55">
        <v>360</v>
      </c>
      <c r="F47" s="55" t="s">
        <v>463</v>
      </c>
      <c r="G47" s="55">
        <f t="shared" si="28"/>
        <v>12000</v>
      </c>
      <c r="H47" s="55" t="s">
        <v>466</v>
      </c>
      <c r="I47" s="55">
        <f>INT(INDEX(挂机升级突破!$H$8:$H$22,章节关卡!$B47)*章节关卡!E47/6)</f>
        <v>30</v>
      </c>
      <c r="J47" s="55" t="s">
        <v>469</v>
      </c>
      <c r="K47" s="55">
        <v>60</v>
      </c>
      <c r="M47" s="55">
        <f t="shared" si="29"/>
        <v>9</v>
      </c>
      <c r="N47" s="55">
        <f t="shared" si="30"/>
        <v>360</v>
      </c>
      <c r="O47" s="55">
        <f t="shared" si="31"/>
        <v>540</v>
      </c>
      <c r="P47" s="55" t="s">
        <v>463</v>
      </c>
      <c r="Q47" s="55">
        <f t="shared" si="32"/>
        <v>18000</v>
      </c>
      <c r="R47" s="55" t="s">
        <v>466</v>
      </c>
      <c r="S47" s="55">
        <f>INT(INDEX(挂机升级突破!$H$8:$H$22,章节关卡!$B47)*章节关卡!O47/6)</f>
        <v>45</v>
      </c>
      <c r="T47" s="55" t="s">
        <v>474</v>
      </c>
      <c r="U47" s="55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7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7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5">
        <v>24</v>
      </c>
      <c r="B48" s="55">
        <f t="shared" si="33"/>
        <v>8</v>
      </c>
      <c r="C48" s="55">
        <f t="shared" si="34"/>
        <v>3</v>
      </c>
      <c r="D48" s="55">
        <v>360</v>
      </c>
      <c r="E48" s="55">
        <v>540</v>
      </c>
      <c r="F48" s="55" t="s">
        <v>463</v>
      </c>
      <c r="G48" s="55">
        <f t="shared" si="28"/>
        <v>18000</v>
      </c>
      <c r="H48" s="55" t="s">
        <v>466</v>
      </c>
      <c r="I48" s="55">
        <f>INT(INDEX(挂机升级突破!$H$8:$H$22,章节关卡!$B48)*章节关卡!E48/6)</f>
        <v>45</v>
      </c>
      <c r="J48" s="55" t="s">
        <v>474</v>
      </c>
      <c r="K48" s="55">
        <v>1</v>
      </c>
      <c r="M48" s="55">
        <f t="shared" si="29"/>
        <v>9</v>
      </c>
      <c r="N48" s="55">
        <f t="shared" si="30"/>
        <v>540</v>
      </c>
      <c r="O48" s="55">
        <f t="shared" si="31"/>
        <v>810</v>
      </c>
      <c r="P48" s="55" t="s">
        <v>463</v>
      </c>
      <c r="Q48" s="55">
        <f t="shared" si="32"/>
        <v>27000</v>
      </c>
      <c r="R48" s="55" t="s">
        <v>466</v>
      </c>
      <c r="S48" s="55">
        <f>INT(INDEX(挂机升级突破!$H$8:$H$22,章节关卡!$B48)*章节关卡!O48/6)</f>
        <v>67</v>
      </c>
      <c r="T48" s="55" t="s">
        <v>474</v>
      </c>
      <c r="U48" s="55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7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7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5">
        <v>25</v>
      </c>
      <c r="B49" s="55">
        <f t="shared" si="33"/>
        <v>9</v>
      </c>
      <c r="C49" s="55">
        <f t="shared" si="34"/>
        <v>1</v>
      </c>
      <c r="D49" s="55">
        <v>120</v>
      </c>
      <c r="E49" s="55">
        <v>180</v>
      </c>
      <c r="F49" s="55" t="s">
        <v>463</v>
      </c>
      <c r="G49" s="55">
        <f t="shared" si="28"/>
        <v>7200</v>
      </c>
      <c r="H49" s="55" t="s">
        <v>466</v>
      </c>
      <c r="I49" s="55">
        <f>INT(INDEX(挂机升级突破!$H$8:$H$22,章节关卡!$B49)*章节关卡!E49/6)</f>
        <v>22</v>
      </c>
      <c r="J49" s="55" t="s">
        <v>469</v>
      </c>
      <c r="K49" s="55">
        <v>40</v>
      </c>
      <c r="M49" s="55">
        <f t="shared" si="29"/>
        <v>10</v>
      </c>
      <c r="N49" s="55">
        <f t="shared" si="30"/>
        <v>180</v>
      </c>
      <c r="O49" s="55">
        <f t="shared" si="31"/>
        <v>270</v>
      </c>
      <c r="P49" s="55" t="s">
        <v>463</v>
      </c>
      <c r="Q49" s="55">
        <f t="shared" si="32"/>
        <v>10800</v>
      </c>
      <c r="R49" s="55" t="s">
        <v>466</v>
      </c>
      <c r="S49" s="55">
        <f>INT(INDEX(挂机升级突破!$H$8:$H$22,章节关卡!$B49)*章节关卡!O49/6)</f>
        <v>33</v>
      </c>
      <c r="T49" s="55" t="s">
        <v>473</v>
      </c>
      <c r="U49" s="55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7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7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5">
        <v>26</v>
      </c>
      <c r="B50" s="55">
        <f t="shared" si="33"/>
        <v>9</v>
      </c>
      <c r="C50" s="55">
        <f t="shared" si="34"/>
        <v>2</v>
      </c>
      <c r="D50" s="55">
        <v>240</v>
      </c>
      <c r="E50" s="55">
        <v>360</v>
      </c>
      <c r="F50" s="55" t="s">
        <v>463</v>
      </c>
      <c r="G50" s="55">
        <f t="shared" si="28"/>
        <v>14400</v>
      </c>
      <c r="H50" s="55" t="s">
        <v>466</v>
      </c>
      <c r="I50" s="55">
        <f>INT(INDEX(挂机升级突破!$H$8:$H$22,章节关卡!$B50)*章节关卡!E50/6)</f>
        <v>45</v>
      </c>
      <c r="J50" s="55" t="s">
        <v>469</v>
      </c>
      <c r="K50" s="55">
        <v>60</v>
      </c>
      <c r="M50" s="55">
        <f t="shared" si="29"/>
        <v>10</v>
      </c>
      <c r="N50" s="55">
        <f t="shared" si="30"/>
        <v>360</v>
      </c>
      <c r="O50" s="55">
        <f t="shared" si="31"/>
        <v>540</v>
      </c>
      <c r="P50" s="55" t="s">
        <v>463</v>
      </c>
      <c r="Q50" s="55">
        <f t="shared" si="32"/>
        <v>21600</v>
      </c>
      <c r="R50" s="55" t="s">
        <v>466</v>
      </c>
      <c r="S50" s="55">
        <f>INT(INDEX(挂机升级突破!$H$8:$H$22,章节关卡!$B50)*章节关卡!O50/6)</f>
        <v>67</v>
      </c>
      <c r="T50" s="55" t="s">
        <v>474</v>
      </c>
      <c r="U50" s="55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7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7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5">
        <v>27</v>
      </c>
      <c r="B51" s="55">
        <f t="shared" si="33"/>
        <v>9</v>
      </c>
      <c r="C51" s="55">
        <f t="shared" si="34"/>
        <v>3</v>
      </c>
      <c r="D51" s="55">
        <v>360</v>
      </c>
      <c r="E51" s="55">
        <v>540</v>
      </c>
      <c r="F51" s="55" t="s">
        <v>463</v>
      </c>
      <c r="G51" s="55">
        <f t="shared" si="28"/>
        <v>21600</v>
      </c>
      <c r="H51" s="55" t="s">
        <v>466</v>
      </c>
      <c r="I51" s="55">
        <f>INT(INDEX(挂机升级突破!$H$8:$H$22,章节关卡!$B51)*章节关卡!E51/6)</f>
        <v>67</v>
      </c>
      <c r="J51" s="55" t="s">
        <v>474</v>
      </c>
      <c r="K51" s="55">
        <v>1</v>
      </c>
      <c r="M51" s="55">
        <f t="shared" si="29"/>
        <v>10</v>
      </c>
      <c r="N51" s="55">
        <f t="shared" si="30"/>
        <v>540</v>
      </c>
      <c r="O51" s="55">
        <f t="shared" si="31"/>
        <v>810</v>
      </c>
      <c r="P51" s="55" t="s">
        <v>463</v>
      </c>
      <c r="Q51" s="55">
        <f t="shared" si="32"/>
        <v>32400</v>
      </c>
      <c r="R51" s="55" t="s">
        <v>466</v>
      </c>
      <c r="S51" s="55">
        <f>INT(INDEX(挂机升级突破!$H$8:$H$22,章节关卡!$B51)*章节关卡!O51/6)</f>
        <v>101</v>
      </c>
      <c r="T51" s="55" t="s">
        <v>474</v>
      </c>
      <c r="U51" s="55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7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7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5">
        <v>28</v>
      </c>
      <c r="B52" s="55">
        <f t="shared" si="33"/>
        <v>10</v>
      </c>
      <c r="C52" s="55">
        <f t="shared" si="34"/>
        <v>1</v>
      </c>
      <c r="D52" s="55">
        <v>120</v>
      </c>
      <c r="E52" s="55">
        <v>180</v>
      </c>
      <c r="F52" s="55" t="s">
        <v>463</v>
      </c>
      <c r="G52" s="55">
        <f t="shared" si="28"/>
        <v>8640</v>
      </c>
      <c r="H52" s="55" t="s">
        <v>467</v>
      </c>
      <c r="I52" s="55">
        <f>INT(INDEX(挂机升级突破!$I$8:$I$22,章节关卡!$B52)*章节关卡!E52/6)</f>
        <v>7</v>
      </c>
      <c r="J52" s="55" t="s">
        <v>469</v>
      </c>
      <c r="K52" s="55">
        <v>40</v>
      </c>
      <c r="M52" s="55">
        <f t="shared" si="29"/>
        <v>11</v>
      </c>
      <c r="N52" s="55">
        <f t="shared" si="30"/>
        <v>180</v>
      </c>
      <c r="O52" s="55">
        <f t="shared" si="31"/>
        <v>270</v>
      </c>
      <c r="P52" s="55" t="s">
        <v>463</v>
      </c>
      <c r="Q52" s="55">
        <f t="shared" si="32"/>
        <v>12960</v>
      </c>
      <c r="R52" s="55" t="s">
        <v>467</v>
      </c>
      <c r="S52" s="55">
        <f>INT(INDEX(挂机升级突破!$I$8:$I$22,章节关卡!$B52)*章节关卡!O52/6)</f>
        <v>11</v>
      </c>
      <c r="T52" s="55" t="s">
        <v>473</v>
      </c>
      <c r="U52" s="55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7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7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5">
        <v>29</v>
      </c>
      <c r="B53" s="55">
        <f t="shared" si="33"/>
        <v>10</v>
      </c>
      <c r="C53" s="55">
        <f t="shared" si="34"/>
        <v>2</v>
      </c>
      <c r="D53" s="55">
        <v>240</v>
      </c>
      <c r="E53" s="55">
        <v>360</v>
      </c>
      <c r="F53" s="55" t="s">
        <v>463</v>
      </c>
      <c r="G53" s="55">
        <f t="shared" si="28"/>
        <v>17280</v>
      </c>
      <c r="H53" s="55" t="s">
        <v>467</v>
      </c>
      <c r="I53" s="55">
        <f>INT(INDEX(挂机升级突破!$I$8:$I$22,章节关卡!$B53)*章节关卡!E53/6)</f>
        <v>15</v>
      </c>
      <c r="J53" s="55" t="s">
        <v>469</v>
      </c>
      <c r="K53" s="55">
        <v>60</v>
      </c>
      <c r="M53" s="55">
        <f t="shared" si="29"/>
        <v>11</v>
      </c>
      <c r="N53" s="55">
        <f t="shared" si="30"/>
        <v>360</v>
      </c>
      <c r="O53" s="55">
        <f t="shared" si="31"/>
        <v>540</v>
      </c>
      <c r="P53" s="55" t="s">
        <v>463</v>
      </c>
      <c r="Q53" s="55">
        <f t="shared" si="32"/>
        <v>25920</v>
      </c>
      <c r="R53" s="55" t="s">
        <v>467</v>
      </c>
      <c r="S53" s="55">
        <f>INT(INDEX(挂机升级突破!$I$8:$I$22,章节关卡!$B53)*章节关卡!O53/6)</f>
        <v>22</v>
      </c>
      <c r="T53" s="55" t="s">
        <v>474</v>
      </c>
      <c r="U53" s="55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7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7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5">
        <v>30</v>
      </c>
      <c r="B54" s="55">
        <f t="shared" si="33"/>
        <v>10</v>
      </c>
      <c r="C54" s="55">
        <f t="shared" si="34"/>
        <v>3</v>
      </c>
      <c r="D54" s="55">
        <v>360</v>
      </c>
      <c r="E54" s="55">
        <v>540</v>
      </c>
      <c r="F54" s="55" t="s">
        <v>463</v>
      </c>
      <c r="G54" s="55">
        <f t="shared" si="28"/>
        <v>25920</v>
      </c>
      <c r="H54" s="55" t="s">
        <v>467</v>
      </c>
      <c r="I54" s="55">
        <f>INT(INDEX(挂机升级突破!$I$8:$I$22,章节关卡!$B54)*章节关卡!E54/6)</f>
        <v>22</v>
      </c>
      <c r="J54" s="55" t="s">
        <v>474</v>
      </c>
      <c r="K54" s="55">
        <v>1</v>
      </c>
      <c r="M54" s="55">
        <f t="shared" si="29"/>
        <v>11</v>
      </c>
      <c r="N54" s="55">
        <f t="shared" si="30"/>
        <v>540</v>
      </c>
      <c r="O54" s="55">
        <f t="shared" si="31"/>
        <v>810</v>
      </c>
      <c r="P54" s="55" t="s">
        <v>463</v>
      </c>
      <c r="Q54" s="55">
        <f t="shared" si="32"/>
        <v>38880</v>
      </c>
      <c r="R54" s="55" t="s">
        <v>467</v>
      </c>
      <c r="S54" s="55">
        <f>INT(INDEX(挂机升级突破!$I$8:$I$22,章节关卡!$B54)*章节关卡!O54/6)</f>
        <v>33</v>
      </c>
      <c r="T54" s="55" t="s">
        <v>474</v>
      </c>
      <c r="U54" s="55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7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7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5">
        <v>31</v>
      </c>
      <c r="B55" s="55">
        <f t="shared" si="33"/>
        <v>11</v>
      </c>
      <c r="C55" s="55">
        <f t="shared" si="34"/>
        <v>1</v>
      </c>
      <c r="D55" s="55">
        <v>120</v>
      </c>
      <c r="E55" s="55">
        <v>180</v>
      </c>
      <c r="F55" s="55" t="s">
        <v>463</v>
      </c>
      <c r="G55" s="55">
        <f t="shared" si="28"/>
        <v>10800</v>
      </c>
      <c r="H55" s="55" t="s">
        <v>467</v>
      </c>
      <c r="I55" s="55">
        <f>INT(INDEX(挂机升级突破!$I$8:$I$22,章节关卡!$B55)*章节关卡!E55/6)</f>
        <v>15</v>
      </c>
      <c r="J55" s="55" t="s">
        <v>469</v>
      </c>
      <c r="K55" s="55">
        <v>40</v>
      </c>
      <c r="M55" s="55">
        <f t="shared" si="29"/>
        <v>12</v>
      </c>
      <c r="N55" s="55">
        <f t="shared" si="30"/>
        <v>180</v>
      </c>
      <c r="O55" s="55">
        <f t="shared" si="31"/>
        <v>270</v>
      </c>
      <c r="P55" s="55" t="s">
        <v>463</v>
      </c>
      <c r="Q55" s="55">
        <f t="shared" si="32"/>
        <v>16200</v>
      </c>
      <c r="R55" s="55" t="s">
        <v>467</v>
      </c>
      <c r="S55" s="55">
        <f>INT(INDEX(挂机升级突破!$I$8:$I$22,章节关卡!$B55)*章节关卡!O55/6)</f>
        <v>22</v>
      </c>
      <c r="T55" s="55" t="s">
        <v>473</v>
      </c>
      <c r="U55" s="55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7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7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5">
        <v>32</v>
      </c>
      <c r="B56" s="55">
        <f t="shared" si="33"/>
        <v>11</v>
      </c>
      <c r="C56" s="55">
        <f t="shared" si="34"/>
        <v>2</v>
      </c>
      <c r="D56" s="55">
        <v>240</v>
      </c>
      <c r="E56" s="55">
        <v>360</v>
      </c>
      <c r="F56" s="55" t="s">
        <v>463</v>
      </c>
      <c r="G56" s="55">
        <f t="shared" si="28"/>
        <v>21600</v>
      </c>
      <c r="H56" s="55" t="s">
        <v>467</v>
      </c>
      <c r="I56" s="55">
        <f>INT(INDEX(挂机升级突破!$I$8:$I$22,章节关卡!$B56)*章节关卡!E56/6)</f>
        <v>30</v>
      </c>
      <c r="J56" s="55" t="s">
        <v>469</v>
      </c>
      <c r="K56" s="55">
        <v>60</v>
      </c>
      <c r="M56" s="55">
        <f t="shared" si="29"/>
        <v>12</v>
      </c>
      <c r="N56" s="55">
        <f t="shared" si="30"/>
        <v>360</v>
      </c>
      <c r="O56" s="55">
        <f t="shared" si="31"/>
        <v>540</v>
      </c>
      <c r="P56" s="55" t="s">
        <v>463</v>
      </c>
      <c r="Q56" s="55">
        <f t="shared" si="32"/>
        <v>32400</v>
      </c>
      <c r="R56" s="55" t="s">
        <v>467</v>
      </c>
      <c r="S56" s="55">
        <f>INT(INDEX(挂机升级突破!$I$8:$I$22,章节关卡!$B56)*章节关卡!O56/6)</f>
        <v>45</v>
      </c>
      <c r="T56" s="55" t="s">
        <v>474</v>
      </c>
      <c r="U56" s="55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7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7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5">
        <v>33</v>
      </c>
      <c r="B57" s="55">
        <f t="shared" si="33"/>
        <v>11</v>
      </c>
      <c r="C57" s="55">
        <f t="shared" si="34"/>
        <v>3</v>
      </c>
      <c r="D57" s="55">
        <v>360</v>
      </c>
      <c r="E57" s="55">
        <v>540</v>
      </c>
      <c r="F57" s="55" t="s">
        <v>463</v>
      </c>
      <c r="G57" s="55">
        <f t="shared" si="28"/>
        <v>32400</v>
      </c>
      <c r="H57" s="55" t="s">
        <v>467</v>
      </c>
      <c r="I57" s="55">
        <f>INT(INDEX(挂机升级突破!$I$8:$I$22,章节关卡!$B57)*章节关卡!E57/6)</f>
        <v>45</v>
      </c>
      <c r="J57" s="55" t="s">
        <v>474</v>
      </c>
      <c r="K57" s="55">
        <v>1</v>
      </c>
      <c r="M57" s="55">
        <f t="shared" si="29"/>
        <v>12</v>
      </c>
      <c r="N57" s="55">
        <f t="shared" si="30"/>
        <v>540</v>
      </c>
      <c r="O57" s="55">
        <f t="shared" si="31"/>
        <v>810</v>
      </c>
      <c r="P57" s="55" t="s">
        <v>463</v>
      </c>
      <c r="Q57" s="55">
        <f t="shared" si="32"/>
        <v>48600</v>
      </c>
      <c r="R57" s="55" t="s">
        <v>467</v>
      </c>
      <c r="S57" s="55">
        <f>INT(INDEX(挂机升级突破!$I$8:$I$22,章节关卡!$B57)*章节关卡!O57/6)</f>
        <v>67</v>
      </c>
      <c r="T57" s="55" t="s">
        <v>474</v>
      </c>
      <c r="U57" s="55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7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7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5">
        <v>34</v>
      </c>
      <c r="B58" s="55">
        <f t="shared" si="33"/>
        <v>12</v>
      </c>
      <c r="C58" s="55">
        <f t="shared" si="34"/>
        <v>1</v>
      </c>
      <c r="D58" s="55">
        <v>120</v>
      </c>
      <c r="E58" s="55">
        <v>180</v>
      </c>
      <c r="F58" s="55" t="s">
        <v>463</v>
      </c>
      <c r="G58" s="55">
        <f t="shared" si="28"/>
        <v>13200</v>
      </c>
      <c r="H58" s="55" t="s">
        <v>467</v>
      </c>
      <c r="I58" s="55">
        <f>INT(INDEX(挂机升级突破!$I$8:$I$22,章节关卡!$B58)*章节关卡!E58/6)</f>
        <v>22</v>
      </c>
      <c r="J58" s="55" t="s">
        <v>469</v>
      </c>
      <c r="K58" s="55">
        <v>40</v>
      </c>
      <c r="M58" s="55">
        <f t="shared" si="29"/>
        <v>13</v>
      </c>
      <c r="N58" s="55">
        <f t="shared" si="30"/>
        <v>180</v>
      </c>
      <c r="O58" s="55">
        <f t="shared" si="31"/>
        <v>270</v>
      </c>
      <c r="P58" s="55" t="s">
        <v>463</v>
      </c>
      <c r="Q58" s="55">
        <f t="shared" si="32"/>
        <v>19800</v>
      </c>
      <c r="R58" s="55" t="s">
        <v>467</v>
      </c>
      <c r="S58" s="55">
        <f>INT(INDEX(挂机升级突破!$I$8:$I$22,章节关卡!$B58)*章节关卡!O58/6)</f>
        <v>33</v>
      </c>
      <c r="T58" s="55" t="s">
        <v>473</v>
      </c>
      <c r="U58" s="55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7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7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5">
        <v>35</v>
      </c>
      <c r="B59" s="55">
        <f t="shared" si="33"/>
        <v>12</v>
      </c>
      <c r="C59" s="55">
        <f t="shared" si="34"/>
        <v>2</v>
      </c>
      <c r="D59" s="55">
        <v>240</v>
      </c>
      <c r="E59" s="55">
        <v>360</v>
      </c>
      <c r="F59" s="55" t="s">
        <v>463</v>
      </c>
      <c r="G59" s="55">
        <f t="shared" si="28"/>
        <v>26400</v>
      </c>
      <c r="H59" s="55" t="s">
        <v>467</v>
      </c>
      <c r="I59" s="55">
        <f>INT(INDEX(挂机升级突破!$I$8:$I$22,章节关卡!$B59)*章节关卡!E59/6)</f>
        <v>45</v>
      </c>
      <c r="J59" s="55" t="s">
        <v>469</v>
      </c>
      <c r="K59" s="55">
        <v>60</v>
      </c>
      <c r="M59" s="55">
        <f t="shared" si="29"/>
        <v>13</v>
      </c>
      <c r="N59" s="55">
        <f t="shared" si="30"/>
        <v>360</v>
      </c>
      <c r="O59" s="55">
        <f t="shared" si="31"/>
        <v>540</v>
      </c>
      <c r="P59" s="55" t="s">
        <v>463</v>
      </c>
      <c r="Q59" s="55">
        <f t="shared" si="32"/>
        <v>39600</v>
      </c>
      <c r="R59" s="55" t="s">
        <v>467</v>
      </c>
      <c r="S59" s="55">
        <f>INT(INDEX(挂机升级突破!$I$8:$I$22,章节关卡!$B59)*章节关卡!O59/6)</f>
        <v>67</v>
      </c>
      <c r="T59" s="55" t="s">
        <v>474</v>
      </c>
      <c r="U59" s="55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7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7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5">
        <v>36</v>
      </c>
      <c r="B60" s="55">
        <f t="shared" si="33"/>
        <v>12</v>
      </c>
      <c r="C60" s="55">
        <f t="shared" si="34"/>
        <v>3</v>
      </c>
      <c r="D60" s="55">
        <v>360</v>
      </c>
      <c r="E60" s="55">
        <v>540</v>
      </c>
      <c r="F60" s="55" t="s">
        <v>463</v>
      </c>
      <c r="G60" s="55">
        <f t="shared" si="28"/>
        <v>39600</v>
      </c>
      <c r="H60" s="55" t="s">
        <v>467</v>
      </c>
      <c r="I60" s="55">
        <f>INT(INDEX(挂机升级突破!$I$8:$I$22,章节关卡!$B60)*章节关卡!E60/6)</f>
        <v>67</v>
      </c>
      <c r="J60" s="55" t="s">
        <v>474</v>
      </c>
      <c r="K60" s="55">
        <v>1</v>
      </c>
      <c r="M60" s="55">
        <f t="shared" si="29"/>
        <v>13</v>
      </c>
      <c r="N60" s="55">
        <f t="shared" si="30"/>
        <v>540</v>
      </c>
      <c r="O60" s="55">
        <f t="shared" si="31"/>
        <v>810</v>
      </c>
      <c r="P60" s="55" t="s">
        <v>463</v>
      </c>
      <c r="Q60" s="55">
        <f t="shared" si="32"/>
        <v>59400</v>
      </c>
      <c r="R60" s="55" t="s">
        <v>467</v>
      </c>
      <c r="S60" s="55">
        <f>INT(INDEX(挂机升级突破!$I$8:$I$22,章节关卡!$B60)*章节关卡!O60/6)</f>
        <v>101</v>
      </c>
      <c r="T60" s="55" t="s">
        <v>474</v>
      </c>
      <c r="U60" s="55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7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7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5">
        <v>37</v>
      </c>
      <c r="B61" s="55">
        <f t="shared" si="33"/>
        <v>13</v>
      </c>
      <c r="C61" s="55">
        <f t="shared" si="34"/>
        <v>1</v>
      </c>
      <c r="D61" s="55">
        <v>120</v>
      </c>
      <c r="E61" s="55">
        <v>180</v>
      </c>
      <c r="F61" s="55" t="s">
        <v>463</v>
      </c>
      <c r="G61" s="55">
        <f t="shared" si="28"/>
        <v>15600</v>
      </c>
      <c r="H61" s="55" t="s">
        <v>468</v>
      </c>
      <c r="I61" s="55">
        <f>INT(INDEX(挂机升级突破!$J$8:$J$22,章节关卡!$B61)*章节关卡!E61/6)</f>
        <v>7</v>
      </c>
      <c r="J61" s="55" t="s">
        <v>469</v>
      </c>
      <c r="K61" s="55">
        <v>40</v>
      </c>
      <c r="M61" s="55">
        <f t="shared" si="29"/>
        <v>14</v>
      </c>
      <c r="N61" s="55">
        <f t="shared" si="30"/>
        <v>180</v>
      </c>
      <c r="O61" s="55">
        <f t="shared" si="31"/>
        <v>270</v>
      </c>
      <c r="P61" s="55" t="s">
        <v>463</v>
      </c>
      <c r="Q61" s="55">
        <f t="shared" si="32"/>
        <v>23400</v>
      </c>
      <c r="R61" s="55" t="s">
        <v>468</v>
      </c>
      <c r="S61" s="55">
        <f>INT(INDEX(挂机升级突破!$J$8:$J$22,章节关卡!$B61)*章节关卡!O61/6)</f>
        <v>11</v>
      </c>
      <c r="T61" s="55" t="s">
        <v>473</v>
      </c>
      <c r="U61" s="55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7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7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5">
        <v>38</v>
      </c>
      <c r="B62" s="55">
        <f t="shared" si="33"/>
        <v>13</v>
      </c>
      <c r="C62" s="55">
        <f t="shared" si="34"/>
        <v>2</v>
      </c>
      <c r="D62" s="55">
        <v>240</v>
      </c>
      <c r="E62" s="55">
        <v>360</v>
      </c>
      <c r="F62" s="55" t="s">
        <v>463</v>
      </c>
      <c r="G62" s="55">
        <f t="shared" si="28"/>
        <v>31200</v>
      </c>
      <c r="H62" s="55" t="s">
        <v>468</v>
      </c>
      <c r="I62" s="55">
        <f>INT(INDEX(挂机升级突破!$J$8:$J$22,章节关卡!$B62)*章节关卡!E62/6)</f>
        <v>15</v>
      </c>
      <c r="J62" s="55" t="s">
        <v>469</v>
      </c>
      <c r="K62" s="55">
        <v>60</v>
      </c>
      <c r="M62" s="55">
        <f t="shared" si="29"/>
        <v>14</v>
      </c>
      <c r="N62" s="55">
        <f t="shared" si="30"/>
        <v>360</v>
      </c>
      <c r="O62" s="55">
        <f t="shared" si="31"/>
        <v>540</v>
      </c>
      <c r="P62" s="55" t="s">
        <v>463</v>
      </c>
      <c r="Q62" s="55">
        <f t="shared" si="32"/>
        <v>46800</v>
      </c>
      <c r="R62" s="55" t="s">
        <v>468</v>
      </c>
      <c r="S62" s="55">
        <f>INT(INDEX(挂机升级突破!$J$8:$J$22,章节关卡!$B62)*章节关卡!O62/6)</f>
        <v>22</v>
      </c>
      <c r="T62" s="55" t="s">
        <v>474</v>
      </c>
      <c r="U62" s="55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7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7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5">
        <v>39</v>
      </c>
      <c r="B63" s="55">
        <f t="shared" si="33"/>
        <v>13</v>
      </c>
      <c r="C63" s="55">
        <f t="shared" si="34"/>
        <v>3</v>
      </c>
      <c r="D63" s="55">
        <v>360</v>
      </c>
      <c r="E63" s="55">
        <v>540</v>
      </c>
      <c r="F63" s="55" t="s">
        <v>463</v>
      </c>
      <c r="G63" s="55">
        <f t="shared" si="28"/>
        <v>46800</v>
      </c>
      <c r="H63" s="55" t="s">
        <v>468</v>
      </c>
      <c r="I63" s="55">
        <f>INT(INDEX(挂机升级突破!$J$8:$J$22,章节关卡!$B63)*章节关卡!E63/6)</f>
        <v>22</v>
      </c>
      <c r="J63" s="55" t="s">
        <v>474</v>
      </c>
      <c r="K63" s="55">
        <v>1</v>
      </c>
      <c r="M63" s="55">
        <f t="shared" si="29"/>
        <v>14</v>
      </c>
      <c r="N63" s="55">
        <f t="shared" si="30"/>
        <v>540</v>
      </c>
      <c r="O63" s="55">
        <f t="shared" si="31"/>
        <v>810</v>
      </c>
      <c r="P63" s="55" t="s">
        <v>463</v>
      </c>
      <c r="Q63" s="55">
        <f t="shared" si="32"/>
        <v>70200</v>
      </c>
      <c r="R63" s="55" t="s">
        <v>468</v>
      </c>
      <c r="S63" s="55">
        <f>INT(INDEX(挂机升级突破!$J$8:$J$22,章节关卡!$B63)*章节关卡!O63/6)</f>
        <v>33</v>
      </c>
      <c r="T63" s="55" t="s">
        <v>474</v>
      </c>
      <c r="U63" s="55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7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7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5">
        <v>40</v>
      </c>
      <c r="B64" s="55">
        <f t="shared" si="33"/>
        <v>14</v>
      </c>
      <c r="C64" s="55">
        <f t="shared" si="34"/>
        <v>1</v>
      </c>
      <c r="D64" s="55">
        <v>120</v>
      </c>
      <c r="E64" s="55">
        <v>180</v>
      </c>
      <c r="F64" s="55" t="s">
        <v>463</v>
      </c>
      <c r="G64" s="55">
        <f t="shared" si="28"/>
        <v>18000</v>
      </c>
      <c r="H64" s="55" t="s">
        <v>468</v>
      </c>
      <c r="I64" s="55">
        <f>INT(INDEX(挂机升级突破!$J$8:$J$22,章节关卡!$B64)*章节关卡!E64/6)</f>
        <v>15</v>
      </c>
      <c r="J64" s="55" t="s">
        <v>469</v>
      </c>
      <c r="K64" s="55">
        <v>40</v>
      </c>
      <c r="M64" s="55">
        <f t="shared" si="29"/>
        <v>15</v>
      </c>
      <c r="N64" s="55">
        <f t="shared" si="30"/>
        <v>180</v>
      </c>
      <c r="O64" s="55">
        <f t="shared" si="31"/>
        <v>270</v>
      </c>
      <c r="P64" s="55" t="s">
        <v>463</v>
      </c>
      <c r="Q64" s="55">
        <f t="shared" si="32"/>
        <v>27000</v>
      </c>
      <c r="R64" s="55" t="s">
        <v>468</v>
      </c>
      <c r="S64" s="55">
        <f>INT(INDEX(挂机升级突破!$J$8:$J$22,章节关卡!$B64)*章节关卡!O64/6)</f>
        <v>22</v>
      </c>
      <c r="T64" s="55" t="s">
        <v>473</v>
      </c>
      <c r="U64" s="55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7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7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5">
        <v>41</v>
      </c>
      <c r="B65" s="55">
        <f t="shared" si="33"/>
        <v>14</v>
      </c>
      <c r="C65" s="55">
        <f t="shared" si="34"/>
        <v>2</v>
      </c>
      <c r="D65" s="55">
        <v>240</v>
      </c>
      <c r="E65" s="55">
        <v>360</v>
      </c>
      <c r="F65" s="55" t="s">
        <v>463</v>
      </c>
      <c r="G65" s="55">
        <f t="shared" si="28"/>
        <v>36000</v>
      </c>
      <c r="H65" s="55" t="s">
        <v>468</v>
      </c>
      <c r="I65" s="55">
        <f>INT(INDEX(挂机升级突破!$J$8:$J$22,章节关卡!$B65)*章节关卡!E65/6)</f>
        <v>30</v>
      </c>
      <c r="J65" s="55" t="s">
        <v>469</v>
      </c>
      <c r="K65" s="55">
        <v>60</v>
      </c>
      <c r="M65" s="55">
        <f t="shared" si="29"/>
        <v>15</v>
      </c>
      <c r="N65" s="55">
        <f t="shared" si="30"/>
        <v>360</v>
      </c>
      <c r="O65" s="55">
        <f t="shared" si="31"/>
        <v>540</v>
      </c>
      <c r="P65" s="55" t="s">
        <v>463</v>
      </c>
      <c r="Q65" s="55">
        <f t="shared" si="32"/>
        <v>54000</v>
      </c>
      <c r="R65" s="55" t="s">
        <v>468</v>
      </c>
      <c r="S65" s="55">
        <f>INT(INDEX(挂机升级突破!$J$8:$J$22,章节关卡!$B65)*章节关卡!O65/6)</f>
        <v>45</v>
      </c>
      <c r="T65" s="55" t="s">
        <v>474</v>
      </c>
      <c r="U65" s="55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7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7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5">
        <v>42</v>
      </c>
      <c r="B66" s="55">
        <f t="shared" si="33"/>
        <v>14</v>
      </c>
      <c r="C66" s="55">
        <f t="shared" si="34"/>
        <v>3</v>
      </c>
      <c r="D66" s="55">
        <v>360</v>
      </c>
      <c r="E66" s="55">
        <v>540</v>
      </c>
      <c r="F66" s="55" t="s">
        <v>463</v>
      </c>
      <c r="G66" s="55">
        <f t="shared" si="28"/>
        <v>54000</v>
      </c>
      <c r="H66" s="55" t="s">
        <v>468</v>
      </c>
      <c r="I66" s="55">
        <f>INT(INDEX(挂机升级突破!$J$8:$J$22,章节关卡!$B66)*章节关卡!E66/6)</f>
        <v>45</v>
      </c>
      <c r="J66" s="55" t="s">
        <v>474</v>
      </c>
      <c r="K66" s="55">
        <v>1</v>
      </c>
      <c r="M66" s="55">
        <f t="shared" si="29"/>
        <v>15</v>
      </c>
      <c r="N66" s="55">
        <f t="shared" si="30"/>
        <v>540</v>
      </c>
      <c r="O66" s="55">
        <f t="shared" si="31"/>
        <v>810</v>
      </c>
      <c r="P66" s="55" t="s">
        <v>463</v>
      </c>
      <c r="Q66" s="55">
        <f t="shared" si="32"/>
        <v>81000</v>
      </c>
      <c r="R66" s="55" t="s">
        <v>468</v>
      </c>
      <c r="S66" s="55">
        <f>INT(INDEX(挂机升级突破!$J$8:$J$22,章节关卡!$B66)*章节关卡!O66/6)</f>
        <v>67</v>
      </c>
      <c r="T66" s="55" t="s">
        <v>474</v>
      </c>
      <c r="U66" s="55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7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7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5">
        <v>43</v>
      </c>
      <c r="B67" s="55">
        <f t="shared" si="33"/>
        <v>15</v>
      </c>
      <c r="C67" s="55">
        <f t="shared" si="34"/>
        <v>1</v>
      </c>
      <c r="D67" s="55">
        <v>120</v>
      </c>
      <c r="E67" s="55">
        <v>180</v>
      </c>
      <c r="F67" s="55" t="s">
        <v>463</v>
      </c>
      <c r="G67" s="55">
        <f t="shared" si="28"/>
        <v>21000</v>
      </c>
      <c r="H67" s="55" t="s">
        <v>468</v>
      </c>
      <c r="I67" s="55">
        <f>INT(INDEX(挂机升级突破!$J$8:$J$22,章节关卡!$B67)*章节关卡!E67/6)</f>
        <v>30</v>
      </c>
      <c r="J67" s="55" t="s">
        <v>469</v>
      </c>
      <c r="K67" s="55">
        <v>40</v>
      </c>
      <c r="M67" s="55">
        <v>15</v>
      </c>
      <c r="N67" s="55">
        <f>N64*1.5</f>
        <v>270</v>
      </c>
      <c r="O67" s="55">
        <f>E67*N$22</f>
        <v>270</v>
      </c>
      <c r="P67" s="55" t="s">
        <v>463</v>
      </c>
      <c r="Q67" s="55">
        <f t="shared" si="32"/>
        <v>47250</v>
      </c>
      <c r="R67" s="55" t="s">
        <v>468</v>
      </c>
      <c r="S67" s="55">
        <f>INT(INDEX(挂机升级突破!$J$8:$J$22,章节关卡!$B67)*章节关卡!O67/6)</f>
        <v>45</v>
      </c>
      <c r="T67" s="55" t="s">
        <v>473</v>
      </c>
      <c r="U67" s="55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7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7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5">
        <v>44</v>
      </c>
      <c r="B68" s="55">
        <f t="shared" si="33"/>
        <v>15</v>
      </c>
      <c r="C68" s="55">
        <f t="shared" si="34"/>
        <v>2</v>
      </c>
      <c r="D68" s="55">
        <v>240</v>
      </c>
      <c r="E68" s="55">
        <v>360</v>
      </c>
      <c r="F68" s="55" t="s">
        <v>463</v>
      </c>
      <c r="G68" s="55">
        <f t="shared" si="28"/>
        <v>42000</v>
      </c>
      <c r="H68" s="55" t="s">
        <v>468</v>
      </c>
      <c r="I68" s="55">
        <f>INT(INDEX(挂机升级突破!$J$8:$J$22,章节关卡!$B68)*章节关卡!E68/6)</f>
        <v>60</v>
      </c>
      <c r="J68" s="55" t="s">
        <v>469</v>
      </c>
      <c r="K68" s="55">
        <v>60</v>
      </c>
      <c r="M68" s="55">
        <v>15</v>
      </c>
      <c r="N68" s="55">
        <f t="shared" ref="N68:N69" si="50">N65*1.5</f>
        <v>540</v>
      </c>
      <c r="O68" s="55">
        <f>E68*N$22</f>
        <v>540</v>
      </c>
      <c r="P68" s="55" t="s">
        <v>463</v>
      </c>
      <c r="Q68" s="55">
        <f t="shared" si="32"/>
        <v>94500</v>
      </c>
      <c r="R68" s="55" t="s">
        <v>468</v>
      </c>
      <c r="S68" s="55">
        <f>INT(INDEX(挂机升级突破!$J$8:$J$22,章节关卡!$B68)*章节关卡!O68/6)</f>
        <v>90</v>
      </c>
      <c r="T68" s="55" t="s">
        <v>474</v>
      </c>
      <c r="U68" s="55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7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7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5">
        <v>45</v>
      </c>
      <c r="B69" s="55">
        <f t="shared" si="33"/>
        <v>15</v>
      </c>
      <c r="C69" s="55">
        <f t="shared" si="34"/>
        <v>3</v>
      </c>
      <c r="D69" s="55">
        <v>360</v>
      </c>
      <c r="E69" s="55">
        <v>540</v>
      </c>
      <c r="F69" s="55" t="s">
        <v>463</v>
      </c>
      <c r="G69" s="55">
        <f t="shared" si="28"/>
        <v>63000</v>
      </c>
      <c r="H69" s="55" t="s">
        <v>468</v>
      </c>
      <c r="I69" s="55">
        <f>INT(INDEX(挂机升级突破!$J$8:$J$22,章节关卡!$B69)*章节关卡!E69/6)</f>
        <v>90</v>
      </c>
      <c r="J69" s="55" t="s">
        <v>474</v>
      </c>
      <c r="K69" s="55">
        <v>1</v>
      </c>
      <c r="M69" s="55">
        <v>15</v>
      </c>
      <c r="N69" s="55">
        <f t="shared" si="50"/>
        <v>810</v>
      </c>
      <c r="O69" s="55">
        <f>E69*N$22</f>
        <v>810</v>
      </c>
      <c r="P69" s="55" t="s">
        <v>463</v>
      </c>
      <c r="Q69" s="55">
        <f t="shared" si="32"/>
        <v>141750</v>
      </c>
      <c r="R69" s="55" t="s">
        <v>468</v>
      </c>
      <c r="S69" s="55">
        <f>INT(INDEX(挂机升级突破!$J$8:$J$22,章节关卡!$B69)*章节关卡!O69/6)</f>
        <v>135</v>
      </c>
      <c r="T69" s="55" t="s">
        <v>474</v>
      </c>
      <c r="U69" s="55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7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7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7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7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7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7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7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7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7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7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7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7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7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7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7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7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7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7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7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7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7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7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7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7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7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7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7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7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7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7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7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7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7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7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7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7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7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7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7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7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7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7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7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7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7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7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7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7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7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7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7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7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7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7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7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7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7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7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7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7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7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7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7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7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7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7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7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7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7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7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7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7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7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7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7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7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7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7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7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7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7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7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7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7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7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7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7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7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7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7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7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7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7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7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7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7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7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7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7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7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7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7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7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7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7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7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7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7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7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7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7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7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7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7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7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7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7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7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7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7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7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7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7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7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7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7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7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7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7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7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7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7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7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7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7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7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7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7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7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7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7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7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7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7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7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7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7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7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7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7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7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7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7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7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7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7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7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7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7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7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7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7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7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7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7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7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7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7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7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7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7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7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7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7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7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7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7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7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7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7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7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7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7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7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7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7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7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7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7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7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7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7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7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7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7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7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7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7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7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7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7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7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7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7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7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7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7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7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7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7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7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7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7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7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7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7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7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7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7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7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7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7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7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7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7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7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7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7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7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7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7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7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7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7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7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7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7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7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7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7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7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7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7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7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7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7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7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7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7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7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7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7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7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7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7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7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7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7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7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7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7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7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7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7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7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7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7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7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7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7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7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7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7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7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topLeftCell="A49" workbookViewId="0">
      <selection activeCell="W65" sqref="W6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15" t="s">
        <v>77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17" t="s">
        <v>731</v>
      </c>
      <c r="E5" s="117"/>
      <c r="F5" s="117"/>
      <c r="G5" s="117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17"/>
      <c r="E6" s="117"/>
      <c r="F6" s="117"/>
      <c r="G6" s="117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17"/>
      <c r="E7" s="117"/>
      <c r="F7" s="117"/>
      <c r="G7" s="117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17"/>
      <c r="E8" s="117"/>
      <c r="F8" s="117"/>
      <c r="G8" s="117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17"/>
      <c r="E9" s="117"/>
      <c r="F9" s="117"/>
      <c r="G9" s="117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17"/>
      <c r="E10" s="117"/>
      <c r="F10" s="117"/>
      <c r="G10" s="117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17"/>
      <c r="E11" s="117"/>
      <c r="F11" s="117"/>
      <c r="G11" s="117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17"/>
      <c r="E12" s="117"/>
      <c r="F12" s="117"/>
      <c r="G12" s="117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17"/>
      <c r="E13" s="117"/>
      <c r="F13" s="117"/>
      <c r="G13" s="117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18" t="s">
        <v>732</v>
      </c>
      <c r="E18" s="119"/>
      <c r="F18" s="119"/>
      <c r="G18" s="120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21"/>
      <c r="E19" s="122"/>
      <c r="F19" s="122"/>
      <c r="G19" s="123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21"/>
      <c r="E20" s="122"/>
      <c r="F20" s="122"/>
      <c r="G20" s="123"/>
      <c r="I20" s="14" t="s">
        <v>53</v>
      </c>
      <c r="J20" s="18">
        <v>240</v>
      </c>
      <c r="K20" s="15">
        <f>INDEX(章节关卡!$C$6:$C$20,经验计算!J17)*J20</f>
        <v>1680</v>
      </c>
      <c r="N20" s="75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21"/>
      <c r="E21" s="122"/>
      <c r="F21" s="122"/>
      <c r="G21" s="123"/>
      <c r="I21" s="14" t="s">
        <v>46</v>
      </c>
      <c r="J21" s="20">
        <v>0.2</v>
      </c>
      <c r="K21" s="15">
        <f>J22*J21</f>
        <v>1432.5</v>
      </c>
      <c r="N21" s="75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21"/>
      <c r="E22" s="122"/>
      <c r="F22" s="122"/>
      <c r="G22" s="123"/>
      <c r="I22" s="14" t="s">
        <v>44</v>
      </c>
      <c r="J22" s="15">
        <f>(J18+L18+J19+K20)/(1-J21)</f>
        <v>7162.5</v>
      </c>
      <c r="N22" s="75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21"/>
      <c r="E23" s="122"/>
      <c r="F23" s="122"/>
      <c r="G23" s="123"/>
      <c r="N23" s="75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21"/>
      <c r="E24" s="122"/>
      <c r="F24" s="122"/>
      <c r="G24" s="123"/>
      <c r="N24" s="75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21"/>
      <c r="E25" s="122"/>
      <c r="F25" s="122"/>
      <c r="G25" s="123"/>
      <c r="N25" s="75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21"/>
      <c r="E26" s="122"/>
      <c r="F26" s="122"/>
      <c r="G26" s="123"/>
      <c r="N26" s="75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24"/>
      <c r="E27" s="125"/>
      <c r="F27" s="125"/>
      <c r="G27" s="126"/>
      <c r="N27" s="75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18" t="s">
        <v>597</v>
      </c>
      <c r="E31" s="119"/>
      <c r="F31" s="119"/>
      <c r="G31" s="120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21"/>
      <c r="E32" s="122"/>
      <c r="F32" s="122"/>
      <c r="G32" s="123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21"/>
      <c r="E33" s="122"/>
      <c r="F33" s="122"/>
      <c r="G33" s="123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21"/>
      <c r="E34" s="122"/>
      <c r="F34" s="122"/>
      <c r="G34" s="123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21"/>
      <c r="E35" s="122"/>
      <c r="F35" s="122"/>
      <c r="G35" s="123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21"/>
      <c r="E36" s="122"/>
      <c r="F36" s="122"/>
      <c r="G36" s="123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21"/>
      <c r="E37" s="122"/>
      <c r="F37" s="122"/>
      <c r="G37" s="123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21"/>
      <c r="E38" s="122"/>
      <c r="F38" s="122"/>
      <c r="G38" s="123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21"/>
      <c r="E39" s="122"/>
      <c r="F39" s="122"/>
      <c r="G39" s="123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24"/>
      <c r="E40" s="125"/>
      <c r="F40" s="125"/>
      <c r="G40" s="126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18" t="s">
        <v>598</v>
      </c>
      <c r="E44" s="119"/>
      <c r="F44" s="119"/>
      <c r="G44" s="120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21"/>
      <c r="E45" s="122"/>
      <c r="F45" s="122"/>
      <c r="G45" s="123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21"/>
      <c r="E46" s="122"/>
      <c r="F46" s="122"/>
      <c r="G46" s="123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21"/>
      <c r="E47" s="122"/>
      <c r="F47" s="122"/>
      <c r="G47" s="123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21"/>
      <c r="E48" s="122"/>
      <c r="F48" s="122"/>
      <c r="G48" s="123"/>
      <c r="I48" s="14" t="s">
        <v>59</v>
      </c>
      <c r="J48" s="38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21"/>
      <c r="E49" s="122"/>
      <c r="F49" s="122"/>
      <c r="G49" s="123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21"/>
      <c r="E50" s="122"/>
      <c r="F50" s="122"/>
      <c r="G50" s="123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21"/>
      <c r="E51" s="122"/>
      <c r="F51" s="122"/>
      <c r="G51" s="123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21"/>
      <c r="E52" s="122"/>
      <c r="F52" s="122"/>
      <c r="G52" s="123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24"/>
      <c r="E53" s="125"/>
      <c r="F53" s="125"/>
      <c r="G53" s="126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17" t="s">
        <v>167</v>
      </c>
      <c r="E57" s="117"/>
      <c r="F57" s="117"/>
      <c r="G57" s="117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17"/>
      <c r="E58" s="117"/>
      <c r="F58" s="117"/>
      <c r="G58" s="117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17"/>
      <c r="E59" s="117"/>
      <c r="F59" s="117"/>
      <c r="G59" s="117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17"/>
      <c r="E60" s="117"/>
      <c r="F60" s="117"/>
      <c r="G60" s="117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17"/>
      <c r="E61" s="117"/>
      <c r="F61" s="117"/>
      <c r="G61" s="117"/>
      <c r="I61" s="27" t="s">
        <v>62</v>
      </c>
      <c r="J61" s="15">
        <f>INDEX(节奏总表!$S$4:$S$18,经验计算!J56)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17"/>
      <c r="E62" s="117"/>
      <c r="F62" s="117"/>
      <c r="G62" s="117"/>
      <c r="I62" s="27" t="s">
        <v>53</v>
      </c>
      <c r="J62" s="15">
        <f>INDEX(节奏总表!$S$4:$S$18,经验计算!J56)*24*60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17"/>
      <c r="E63" s="117"/>
      <c r="F63" s="117"/>
      <c r="G63" s="117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17"/>
      <c r="E64" s="117"/>
      <c r="F64" s="117"/>
      <c r="G64" s="117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17"/>
      <c r="E65" s="117"/>
      <c r="F65" s="117"/>
      <c r="G65" s="117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17"/>
      <c r="E66" s="117"/>
      <c r="F66" s="117"/>
      <c r="G66" s="117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17"/>
      <c r="E71" s="117"/>
      <c r="F71" s="117"/>
      <c r="G71" s="117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17"/>
      <c r="E72" s="117"/>
      <c r="F72" s="117"/>
      <c r="G72" s="117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17"/>
      <c r="E73" s="117"/>
      <c r="F73" s="117"/>
      <c r="G73" s="117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17"/>
      <c r="E74" s="117"/>
      <c r="F74" s="117"/>
      <c r="G74" s="117"/>
      <c r="I74" s="27" t="s">
        <v>62</v>
      </c>
      <c r="J74" s="15">
        <f>INDEX(节奏总表!$S$4:$S$18,经验计算!J70)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17"/>
      <c r="E75" s="117"/>
      <c r="F75" s="117"/>
      <c r="G75" s="117"/>
      <c r="I75" s="27" t="s">
        <v>53</v>
      </c>
      <c r="J75" s="15">
        <f>INDEX(节奏总表!$S$4:$S$18,经验计算!J70)*24*60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17"/>
      <c r="E76" s="117"/>
      <c r="F76" s="117"/>
      <c r="G76" s="117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17"/>
      <c r="E77" s="117"/>
      <c r="F77" s="117"/>
      <c r="G77" s="117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17"/>
      <c r="E78" s="117"/>
      <c r="F78" s="117"/>
      <c r="G78" s="117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17"/>
      <c r="E79" s="117"/>
      <c r="F79" s="117"/>
      <c r="G79" s="117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17"/>
      <c r="E80" s="117"/>
      <c r="F80" s="117"/>
      <c r="G80" s="117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17"/>
      <c r="E85" s="117"/>
      <c r="F85" s="117"/>
      <c r="G85" s="117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17"/>
      <c r="E86" s="117"/>
      <c r="F86" s="117"/>
      <c r="G86" s="117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17"/>
      <c r="E87" s="117"/>
      <c r="F87" s="117"/>
      <c r="G87" s="117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17"/>
      <c r="E88" s="117"/>
      <c r="F88" s="117"/>
      <c r="G88" s="117"/>
      <c r="I88" s="27" t="s">
        <v>62</v>
      </c>
      <c r="J88" s="15">
        <f>INDEX(节奏总表!$S$4:$S$18,经验计算!J84)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17"/>
      <c r="E89" s="117"/>
      <c r="F89" s="117"/>
      <c r="G89" s="117"/>
      <c r="I89" s="27" t="s">
        <v>53</v>
      </c>
      <c r="J89" s="15">
        <f>INDEX(节奏总表!$S$4:$S$18,经验计算!J84)*24*60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17"/>
      <c r="E90" s="117"/>
      <c r="F90" s="117"/>
      <c r="G90" s="117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17"/>
      <c r="E91" s="117"/>
      <c r="F91" s="117"/>
      <c r="G91" s="117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17"/>
      <c r="E92" s="117"/>
      <c r="F92" s="117"/>
      <c r="G92" s="117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17"/>
      <c r="E93" s="117"/>
      <c r="F93" s="117"/>
      <c r="G93" s="117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17"/>
      <c r="E94" s="117"/>
      <c r="F94" s="117"/>
      <c r="G94" s="117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17"/>
      <c r="E98" s="117"/>
      <c r="F98" s="117"/>
      <c r="G98" s="117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17"/>
      <c r="E99" s="117"/>
      <c r="F99" s="117"/>
      <c r="G99" s="117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17"/>
      <c r="E100" s="117"/>
      <c r="F100" s="117"/>
      <c r="G100" s="117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17"/>
      <c r="E101" s="117"/>
      <c r="F101" s="117"/>
      <c r="G101" s="117"/>
      <c r="I101" s="27" t="s">
        <v>62</v>
      </c>
      <c r="J101" s="15">
        <f>INDEX(节奏总表!$S$4:$S$18,经验计算!J97)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17"/>
      <c r="E102" s="117"/>
      <c r="F102" s="117"/>
      <c r="G102" s="117"/>
      <c r="I102" s="27" t="s">
        <v>53</v>
      </c>
      <c r="J102" s="15">
        <f>INDEX(节奏总表!$S$4:$S$18,经验计算!J97)*24*60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17"/>
      <c r="E103" s="117"/>
      <c r="F103" s="117"/>
      <c r="G103" s="117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17"/>
      <c r="E104" s="117"/>
      <c r="F104" s="117"/>
      <c r="G104" s="117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17"/>
      <c r="E105" s="117"/>
      <c r="F105" s="117"/>
      <c r="G105" s="117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17"/>
      <c r="E106" s="117"/>
      <c r="F106" s="117"/>
      <c r="G106" s="117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17"/>
      <c r="E107" s="117"/>
      <c r="F107" s="117"/>
      <c r="G107" s="117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17"/>
      <c r="E111" s="117"/>
      <c r="F111" s="117"/>
      <c r="G111" s="117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17"/>
      <c r="E112" s="117"/>
      <c r="F112" s="117"/>
      <c r="G112" s="117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17"/>
      <c r="E113" s="117"/>
      <c r="F113" s="117"/>
      <c r="G113" s="117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17"/>
      <c r="E114" s="117"/>
      <c r="F114" s="117"/>
      <c r="G114" s="117"/>
      <c r="I114" s="27" t="s">
        <v>62</v>
      </c>
      <c r="J114" s="15">
        <f>INDEX(节奏总表!$S$4:$S$18,经验计算!J110)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17"/>
      <c r="E115" s="117"/>
      <c r="F115" s="117"/>
      <c r="G115" s="117"/>
      <c r="I115" s="27" t="s">
        <v>53</v>
      </c>
      <c r="J115" s="15">
        <f>INDEX(节奏总表!$S$4:$S$18,经验计算!J110)*24*60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17"/>
      <c r="E116" s="117"/>
      <c r="F116" s="117"/>
      <c r="G116" s="117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17"/>
      <c r="E117" s="117"/>
      <c r="F117" s="117"/>
      <c r="G117" s="117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17"/>
      <c r="E118" s="117"/>
      <c r="F118" s="117"/>
      <c r="G118" s="117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17"/>
      <c r="E119" s="117"/>
      <c r="F119" s="117"/>
      <c r="G119" s="117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17"/>
      <c r="E120" s="117"/>
      <c r="F120" s="117"/>
      <c r="G120" s="117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17"/>
      <c r="E124" s="117"/>
      <c r="F124" s="117"/>
      <c r="G124" s="117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17"/>
      <c r="E125" s="117"/>
      <c r="F125" s="117"/>
      <c r="G125" s="117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17"/>
      <c r="E126" s="117"/>
      <c r="F126" s="117"/>
      <c r="G126" s="117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17"/>
      <c r="E127" s="117"/>
      <c r="F127" s="117"/>
      <c r="G127" s="117"/>
      <c r="I127" s="27" t="s">
        <v>62</v>
      </c>
      <c r="J127" s="15">
        <f>INDEX(节奏总表!$S$4:$S$18,经验计算!J123)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17"/>
      <c r="E128" s="117"/>
      <c r="F128" s="117"/>
      <c r="G128" s="117"/>
      <c r="I128" s="27" t="s">
        <v>53</v>
      </c>
      <c r="J128" s="15">
        <f>INDEX(节奏总表!$S$4:$S$18,经验计算!J123)*24*60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17"/>
      <c r="E129" s="117"/>
      <c r="F129" s="117"/>
      <c r="G129" s="117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17"/>
      <c r="E130" s="117"/>
      <c r="F130" s="117"/>
      <c r="G130" s="117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17"/>
      <c r="E131" s="117"/>
      <c r="F131" s="117"/>
      <c r="G131" s="117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17"/>
      <c r="E132" s="117"/>
      <c r="F132" s="117"/>
      <c r="G132" s="117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17"/>
      <c r="E133" s="117"/>
      <c r="F133" s="117"/>
      <c r="G133" s="117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17"/>
      <c r="E137" s="117"/>
      <c r="F137" s="117"/>
      <c r="G137" s="117"/>
      <c r="I137" s="54" t="s">
        <v>154</v>
      </c>
      <c r="J137" s="55">
        <v>11</v>
      </c>
      <c r="K137" s="54" t="s">
        <v>154</v>
      </c>
      <c r="L137" s="55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17"/>
      <c r="E138" s="117"/>
      <c r="F138" s="117"/>
      <c r="G138" s="117"/>
      <c r="I138" s="54" t="s">
        <v>166</v>
      </c>
      <c r="J138" s="15">
        <f>SUMIFS(章节关卡!$AS$5:$AS$205,章节关卡!$AQ$5:$AQ$205,"="&amp;经验计算!J137)</f>
        <v>15900</v>
      </c>
      <c r="K138" s="54" t="s">
        <v>165</v>
      </c>
      <c r="L138" s="15">
        <f>SUMIFS(章节关卡!$AS$5:$AS$205,章节关卡!$AQ$5:$AQ$205,"="&amp;经验计算!L137)</f>
        <v>13200</v>
      </c>
      <c r="N138" s="55">
        <v>1</v>
      </c>
      <c r="O138" s="22">
        <f>N138/$N$122</f>
        <v>6.8493150684931503E-2</v>
      </c>
      <c r="P138" s="55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17"/>
      <c r="E139" s="117"/>
      <c r="F139" s="117"/>
      <c r="G139" s="117"/>
      <c r="I139" s="54" t="s">
        <v>160</v>
      </c>
      <c r="J139" s="15">
        <f>SUMIFS(芦花古楼!$D$5:$D$104,芦花古楼!$B$5:$B$104,"="&amp;经验计算!J137)</f>
        <v>15900</v>
      </c>
      <c r="K139" s="54" t="s">
        <v>161</v>
      </c>
      <c r="L139" s="15">
        <f>SUMIFS(芦花古楼!$N$5:$N$104,芦花古楼!$L$5:$L$104,"="&amp;经验计算!J137)</f>
        <v>95400</v>
      </c>
      <c r="N139" s="55">
        <v>1.1000000000000001</v>
      </c>
      <c r="O139" s="22">
        <f t="shared" ref="O139:O147" si="20">N139/$N$122</f>
        <v>7.5342465753424667E-2</v>
      </c>
      <c r="P139" s="55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17"/>
      <c r="E140" s="117"/>
      <c r="F140" s="117"/>
      <c r="G140" s="117"/>
      <c r="I140" s="54" t="s">
        <v>162</v>
      </c>
      <c r="J140" s="15">
        <f>SUMIFS(芦花古楼!$X$5:$X$104,芦花古楼!$V$5:$V$104,"="&amp;经验计算!J137)</f>
        <v>143100</v>
      </c>
      <c r="K140" s="54" t="s">
        <v>163</v>
      </c>
      <c r="L140" s="15">
        <f>SUMIFS(芦花古楼!$AH$5:$AH$104,芦花古楼!$AF$5:$AF$104,"="&amp;经验计算!J137)</f>
        <v>143100</v>
      </c>
      <c r="N140" s="55">
        <v>1.2</v>
      </c>
      <c r="O140" s="22">
        <f t="shared" si="20"/>
        <v>8.2191780821917804E-2</v>
      </c>
      <c r="P140" s="55">
        <f t="shared" si="21"/>
        <v>97790</v>
      </c>
    </row>
    <row r="141" spans="1:19" ht="16.5" x14ac:dyDescent="0.2">
      <c r="A141" s="18">
        <v>104</v>
      </c>
      <c r="B141" s="18">
        <v>114090</v>
      </c>
      <c r="D141" s="117"/>
      <c r="E141" s="117"/>
      <c r="F141" s="117"/>
      <c r="G141" s="117"/>
      <c r="I141" s="54" t="s">
        <v>62</v>
      </c>
      <c r="J141" s="15">
        <f>INDEX(节奏总表!$S$4:$S$18,经验计算!J137)</f>
        <v>10</v>
      </c>
      <c r="K141" s="15">
        <f>日常任务!D82*经验计算!J141</f>
        <v>0</v>
      </c>
      <c r="N141" s="55">
        <v>1.3</v>
      </c>
      <c r="O141" s="22">
        <f t="shared" si="20"/>
        <v>8.9041095890410968E-2</v>
      </c>
      <c r="P141" s="55">
        <f t="shared" si="21"/>
        <v>105940</v>
      </c>
    </row>
    <row r="142" spans="1:19" ht="16.5" x14ac:dyDescent="0.2">
      <c r="A142" s="18">
        <v>105</v>
      </c>
      <c r="B142" s="18">
        <v>122235</v>
      </c>
      <c r="D142" s="117"/>
      <c r="E142" s="117"/>
      <c r="F142" s="117"/>
      <c r="G142" s="117"/>
      <c r="I142" s="54" t="s">
        <v>53</v>
      </c>
      <c r="J142" s="15">
        <f>INDEX(节奏总表!$S$4:$S$18,经验计算!J137)*24*60</f>
        <v>14400</v>
      </c>
      <c r="K142" s="15">
        <f>INDEX(章节关卡!$C$6:$C$20,经验计算!J137)*经验计算!J142</f>
        <v>763200</v>
      </c>
      <c r="N142" s="55">
        <v>1.4</v>
      </c>
      <c r="O142" s="22">
        <f t="shared" si="20"/>
        <v>9.5890410958904104E-2</v>
      </c>
      <c r="P142" s="55">
        <f t="shared" si="21"/>
        <v>114090</v>
      </c>
    </row>
    <row r="143" spans="1:19" ht="16.5" x14ac:dyDescent="0.2">
      <c r="A143" s="18">
        <v>106</v>
      </c>
      <c r="B143" s="18">
        <v>130385</v>
      </c>
      <c r="D143" s="117"/>
      <c r="E143" s="117"/>
      <c r="F143" s="117"/>
      <c r="G143" s="117"/>
      <c r="I143" s="54" t="s">
        <v>46</v>
      </c>
      <c r="J143" s="20">
        <v>0</v>
      </c>
      <c r="K143" s="15">
        <f>J144*J143</f>
        <v>0</v>
      </c>
      <c r="N143" s="55">
        <v>1.5</v>
      </c>
      <c r="O143" s="22">
        <f t="shared" si="20"/>
        <v>0.10273972602739727</v>
      </c>
      <c r="P143" s="55">
        <f t="shared" si="21"/>
        <v>122235</v>
      </c>
    </row>
    <row r="144" spans="1:19" ht="16.5" x14ac:dyDescent="0.2">
      <c r="A144" s="18">
        <v>107</v>
      </c>
      <c r="B144" s="18">
        <v>138535</v>
      </c>
      <c r="D144" s="117"/>
      <c r="E144" s="117"/>
      <c r="F144" s="117"/>
      <c r="G144" s="117"/>
      <c r="I144" s="54" t="s">
        <v>44</v>
      </c>
      <c r="J144" s="15">
        <f>(J138+L138+J139+L139+J140+L140+K141+K142)/(1-J143)</f>
        <v>1189800</v>
      </c>
      <c r="K144" s="16"/>
      <c r="N144" s="55">
        <v>1.6</v>
      </c>
      <c r="O144" s="22">
        <f t="shared" si="20"/>
        <v>0.10958904109589042</v>
      </c>
      <c r="P144" s="55">
        <f t="shared" si="21"/>
        <v>130385</v>
      </c>
    </row>
    <row r="145" spans="1:16" ht="16.5" x14ac:dyDescent="0.2">
      <c r="A145" s="18">
        <v>108</v>
      </c>
      <c r="B145" s="18">
        <v>146685</v>
      </c>
      <c r="D145" s="117"/>
      <c r="E145" s="117"/>
      <c r="F145" s="117"/>
      <c r="G145" s="117"/>
      <c r="N145" s="55">
        <v>1.7</v>
      </c>
      <c r="O145" s="22">
        <f t="shared" si="20"/>
        <v>0.11643835616438356</v>
      </c>
      <c r="P145" s="55">
        <f t="shared" si="21"/>
        <v>138535</v>
      </c>
    </row>
    <row r="146" spans="1:16" ht="16.5" x14ac:dyDescent="0.2">
      <c r="A146" s="18">
        <v>109</v>
      </c>
      <c r="B146" s="18">
        <v>162985</v>
      </c>
      <c r="D146" s="117"/>
      <c r="E146" s="117"/>
      <c r="F146" s="117"/>
      <c r="G146" s="117"/>
      <c r="N146" s="55">
        <v>1.8</v>
      </c>
      <c r="O146" s="22">
        <f t="shared" si="20"/>
        <v>0.12328767123287672</v>
      </c>
      <c r="P146" s="55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5">
        <v>2</v>
      </c>
      <c r="O147" s="22">
        <f t="shared" si="20"/>
        <v>0.13698630136986301</v>
      </c>
      <c r="P147" s="55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17"/>
      <c r="E151" s="117"/>
      <c r="F151" s="117"/>
      <c r="G151" s="117"/>
      <c r="I151" s="54" t="s">
        <v>154</v>
      </c>
      <c r="J151" s="55">
        <v>12</v>
      </c>
      <c r="K151" s="54" t="s">
        <v>154</v>
      </c>
      <c r="L151" s="55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17"/>
      <c r="E152" s="117"/>
      <c r="F152" s="117"/>
      <c r="G152" s="117"/>
      <c r="I152" s="54" t="s">
        <v>166</v>
      </c>
      <c r="J152" s="15">
        <f>SUMIFS(章节关卡!$AS$5:$AS$205,章节关卡!$AQ$5:$AQ$205,"="&amp;经验计算!J151)</f>
        <v>19500</v>
      </c>
      <c r="K152" s="54" t="s">
        <v>165</v>
      </c>
      <c r="L152" s="15">
        <f>SUMIFS(章节关卡!$AS$5:$AS$205,章节关卡!$AQ$5:$AQ$205,"="&amp;经验计算!L151)</f>
        <v>15900</v>
      </c>
      <c r="N152" s="55">
        <v>1</v>
      </c>
      <c r="O152" s="22">
        <f>N152/$N$122</f>
        <v>6.8493150684931503E-2</v>
      </c>
      <c r="P152" s="55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17"/>
      <c r="E153" s="117"/>
      <c r="F153" s="117"/>
      <c r="G153" s="117"/>
      <c r="I153" s="54" t="s">
        <v>160</v>
      </c>
      <c r="J153" s="15">
        <f>SUMIFS(芦花古楼!$D$5:$D$104,芦花古楼!$B$5:$B$104,"="&amp;经验计算!J151)</f>
        <v>0</v>
      </c>
      <c r="K153" s="54" t="s">
        <v>161</v>
      </c>
      <c r="L153" s="15">
        <f>SUMIFS(芦花古楼!$N$5:$N$104,芦花古楼!$L$5:$L$104,"="&amp;经验计算!J151)</f>
        <v>117000</v>
      </c>
      <c r="N153" s="55">
        <v>1.1000000000000001</v>
      </c>
      <c r="O153" s="22">
        <f t="shared" ref="O153:O161" si="22">N153/$N$122</f>
        <v>7.5342465753424667E-2</v>
      </c>
      <c r="P153" s="55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17"/>
      <c r="E154" s="117"/>
      <c r="F154" s="117"/>
      <c r="G154" s="117"/>
      <c r="I154" s="54" t="s">
        <v>162</v>
      </c>
      <c r="J154" s="15">
        <f>SUMIFS(芦花古楼!$X$5:$X$104,芦花古楼!$V$5:$V$104,"="&amp;经验计算!J151)</f>
        <v>234000</v>
      </c>
      <c r="K154" s="54" t="s">
        <v>163</v>
      </c>
      <c r="L154" s="15">
        <f>SUMIFS(芦花古楼!$AH$5:$AH$104,芦花古楼!$AF$5:$AF$104,"="&amp;经验计算!J151)</f>
        <v>234000</v>
      </c>
      <c r="N154" s="55">
        <v>1.2</v>
      </c>
      <c r="O154" s="22">
        <f t="shared" si="22"/>
        <v>8.2191780821917804E-2</v>
      </c>
      <c r="P154" s="55">
        <f t="shared" si="23"/>
        <v>156770</v>
      </c>
    </row>
    <row r="155" spans="1:16" ht="16.5" x14ac:dyDescent="0.2">
      <c r="A155" s="18">
        <v>114</v>
      </c>
      <c r="B155" s="18">
        <v>160460</v>
      </c>
      <c r="D155" s="117"/>
      <c r="E155" s="117"/>
      <c r="F155" s="117"/>
      <c r="G155" s="117"/>
      <c r="I155" s="54" t="s">
        <v>62</v>
      </c>
      <c r="J155" s="15">
        <f>INDEX(节奏总表!$S$4:$S$18,经验计算!J151)</f>
        <v>13.75</v>
      </c>
      <c r="K155" s="15">
        <f>日常任务!D95*经验计算!J155</f>
        <v>0</v>
      </c>
      <c r="N155" s="55">
        <v>1.3</v>
      </c>
      <c r="O155" s="22">
        <f t="shared" si="22"/>
        <v>8.9041095890410968E-2</v>
      </c>
      <c r="P155" s="55">
        <f t="shared" si="23"/>
        <v>169835</v>
      </c>
    </row>
    <row r="156" spans="1:16" ht="16.5" x14ac:dyDescent="0.2">
      <c r="A156" s="18">
        <v>115</v>
      </c>
      <c r="B156" s="18">
        <v>171920</v>
      </c>
      <c r="D156" s="117"/>
      <c r="E156" s="117"/>
      <c r="F156" s="117"/>
      <c r="G156" s="117"/>
      <c r="I156" s="54" t="s">
        <v>53</v>
      </c>
      <c r="J156" s="15">
        <f>INDEX(节奏总表!$S$4:$S$18,经验计算!J151)*24*60</f>
        <v>19800</v>
      </c>
      <c r="K156" s="15">
        <f>INDEX(章节关卡!$C$6:$C$20,经验计算!J151)*经验计算!J156</f>
        <v>1287000</v>
      </c>
      <c r="N156" s="55">
        <v>1.4</v>
      </c>
      <c r="O156" s="22">
        <f t="shared" si="22"/>
        <v>9.5890410958904104E-2</v>
      </c>
      <c r="P156" s="55">
        <f t="shared" si="23"/>
        <v>182900</v>
      </c>
    </row>
    <row r="157" spans="1:16" ht="16.5" x14ac:dyDescent="0.2">
      <c r="A157" s="18">
        <v>116</v>
      </c>
      <c r="B157" s="18">
        <v>183385</v>
      </c>
      <c r="D157" s="117"/>
      <c r="E157" s="117"/>
      <c r="F157" s="117"/>
      <c r="G157" s="117"/>
      <c r="I157" s="54" t="s">
        <v>46</v>
      </c>
      <c r="J157" s="20">
        <v>0</v>
      </c>
      <c r="K157" s="15">
        <f>J158*J157</f>
        <v>0</v>
      </c>
      <c r="N157" s="55">
        <v>1.5</v>
      </c>
      <c r="O157" s="22">
        <f t="shared" si="22"/>
        <v>0.10273972602739727</v>
      </c>
      <c r="P157" s="55">
        <f t="shared" si="23"/>
        <v>195965</v>
      </c>
    </row>
    <row r="158" spans="1:16" ht="16.5" x14ac:dyDescent="0.2">
      <c r="A158" s="18">
        <v>117</v>
      </c>
      <c r="B158" s="18">
        <v>194845</v>
      </c>
      <c r="D158" s="117"/>
      <c r="E158" s="117"/>
      <c r="F158" s="117"/>
      <c r="G158" s="117"/>
      <c r="I158" s="54" t="s">
        <v>44</v>
      </c>
      <c r="J158" s="15">
        <f>(J152+L152+J153+L153+J154+L154+K155+K156)/(1-J157)</f>
        <v>1907400</v>
      </c>
      <c r="K158" s="16"/>
      <c r="N158" s="55">
        <v>1.6</v>
      </c>
      <c r="O158" s="22">
        <f t="shared" si="22"/>
        <v>0.10958904109589042</v>
      </c>
      <c r="P158" s="55">
        <f t="shared" si="23"/>
        <v>209030</v>
      </c>
    </row>
    <row r="159" spans="1:16" ht="16.5" x14ac:dyDescent="0.2">
      <c r="A159" s="18">
        <v>118</v>
      </c>
      <c r="B159" s="18">
        <v>206305</v>
      </c>
      <c r="D159" s="117"/>
      <c r="E159" s="117"/>
      <c r="F159" s="117"/>
      <c r="G159" s="117"/>
      <c r="N159" s="55">
        <v>1.7</v>
      </c>
      <c r="O159" s="22">
        <f t="shared" si="22"/>
        <v>0.11643835616438356</v>
      </c>
      <c r="P159" s="55">
        <f t="shared" si="23"/>
        <v>222090</v>
      </c>
    </row>
    <row r="160" spans="1:16" ht="16.5" x14ac:dyDescent="0.2">
      <c r="A160" s="18">
        <v>119</v>
      </c>
      <c r="B160" s="18">
        <v>229230</v>
      </c>
      <c r="D160" s="117"/>
      <c r="E160" s="117"/>
      <c r="F160" s="117"/>
      <c r="G160" s="117"/>
      <c r="N160" s="55">
        <v>1.8</v>
      </c>
      <c r="O160" s="22">
        <f t="shared" si="22"/>
        <v>0.12328767123287672</v>
      </c>
      <c r="P160" s="55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5">
        <v>2</v>
      </c>
      <c r="O161" s="22">
        <f t="shared" si="22"/>
        <v>0.13698630136986301</v>
      </c>
      <c r="P161" s="55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17"/>
      <c r="E165" s="117"/>
      <c r="F165" s="117"/>
      <c r="G165" s="117"/>
      <c r="I165" s="54" t="s">
        <v>154</v>
      </c>
      <c r="J165" s="55">
        <v>13</v>
      </c>
      <c r="K165" s="54" t="s">
        <v>154</v>
      </c>
      <c r="L165" s="55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17"/>
      <c r="E166" s="117"/>
      <c r="F166" s="117"/>
      <c r="G166" s="117"/>
      <c r="I166" s="54" t="s">
        <v>166</v>
      </c>
      <c r="J166" s="15">
        <f>SUMIFS(章节关卡!$AS$5:$AS$205,章节关卡!$AQ$5:$AQ$205,"="&amp;经验计算!J165)</f>
        <v>24000</v>
      </c>
      <c r="K166" s="54" t="s">
        <v>165</v>
      </c>
      <c r="L166" s="15">
        <f>SUMIFS(章节关卡!$AS$5:$AS$205,章节关卡!$AQ$5:$AQ$205,"="&amp;经验计算!L165)</f>
        <v>19500</v>
      </c>
      <c r="N166" s="55">
        <v>1</v>
      </c>
      <c r="O166" s="22">
        <f>N166/$N$122</f>
        <v>6.8493150684931503E-2</v>
      </c>
      <c r="P166" s="55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17"/>
      <c r="E167" s="117"/>
      <c r="F167" s="117"/>
      <c r="G167" s="117"/>
      <c r="I167" s="54" t="s">
        <v>160</v>
      </c>
      <c r="J167" s="15">
        <f>SUMIFS(芦花古楼!$D$5:$D$104,芦花古楼!$B$5:$B$104,"="&amp;经验计算!J165)</f>
        <v>0</v>
      </c>
      <c r="K167" s="54" t="s">
        <v>161</v>
      </c>
      <c r="L167" s="15">
        <f>SUMIFS(芦花古楼!$N$5:$N$104,芦花古楼!$L$5:$L$104,"="&amp;经验计算!J165)</f>
        <v>9600</v>
      </c>
      <c r="N167" s="55">
        <v>1.1000000000000001</v>
      </c>
      <c r="O167" s="22">
        <f t="shared" ref="O167:O175" si="24">N167/$N$122</f>
        <v>7.5342465753424667E-2</v>
      </c>
      <c r="P167" s="55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17"/>
      <c r="E168" s="117"/>
      <c r="F168" s="117"/>
      <c r="G168" s="117"/>
      <c r="I168" s="54" t="s">
        <v>162</v>
      </c>
      <c r="J168" s="15">
        <f>SUMIFS(芦花古楼!$X$5:$X$104,芦花古楼!$V$5:$V$104,"="&amp;经验计算!J165)</f>
        <v>144000</v>
      </c>
      <c r="K168" s="54" t="s">
        <v>163</v>
      </c>
      <c r="L168" s="15">
        <f>SUMIFS(芦花古楼!$AH$5:$AH$104,芦花古楼!$AF$5:$AF$104,"="&amp;经验计算!J165)</f>
        <v>144000</v>
      </c>
      <c r="N168" s="55">
        <v>1.2</v>
      </c>
      <c r="O168" s="22">
        <f t="shared" si="24"/>
        <v>8.2191780821917804E-2</v>
      </c>
      <c r="P168" s="55">
        <f t="shared" si="25"/>
        <v>193730</v>
      </c>
    </row>
    <row r="169" spans="1:16" ht="16.5" x14ac:dyDescent="0.2">
      <c r="A169" s="18">
        <v>124</v>
      </c>
      <c r="B169" s="18">
        <v>226480</v>
      </c>
      <c r="D169" s="117"/>
      <c r="E169" s="117"/>
      <c r="F169" s="117"/>
      <c r="G169" s="117"/>
      <c r="I169" s="54" t="s">
        <v>62</v>
      </c>
      <c r="J169" s="15">
        <f>INDEX(节奏总表!$S$4:$S$18,经验计算!J165)</f>
        <v>17.5</v>
      </c>
      <c r="K169" s="15">
        <f>日常任务!D109*经验计算!J169</f>
        <v>0</v>
      </c>
      <c r="N169" s="55">
        <v>1.3</v>
      </c>
      <c r="O169" s="22">
        <f t="shared" si="24"/>
        <v>8.9041095890410968E-2</v>
      </c>
      <c r="P169" s="55">
        <f t="shared" si="25"/>
        <v>209875</v>
      </c>
    </row>
    <row r="170" spans="1:16" ht="16.5" x14ac:dyDescent="0.2">
      <c r="A170" s="18">
        <v>125</v>
      </c>
      <c r="B170" s="18">
        <v>242660</v>
      </c>
      <c r="D170" s="117"/>
      <c r="E170" s="117"/>
      <c r="F170" s="117"/>
      <c r="G170" s="117"/>
      <c r="I170" s="54" t="s">
        <v>53</v>
      </c>
      <c r="J170" s="15">
        <f>INDEX(节奏总表!$S$4:$S$18,经验计算!J165)*24*60</f>
        <v>25200</v>
      </c>
      <c r="K170" s="15">
        <f>INDEX(章节关卡!$C$6:$C$20,经验计算!J165)*经验计算!J170</f>
        <v>2016000</v>
      </c>
      <c r="N170" s="55">
        <v>1.4</v>
      </c>
      <c r="O170" s="22">
        <f t="shared" si="24"/>
        <v>9.5890410958904104E-2</v>
      </c>
      <c r="P170" s="55">
        <f t="shared" si="25"/>
        <v>226020</v>
      </c>
    </row>
    <row r="171" spans="1:16" ht="16.5" x14ac:dyDescent="0.2">
      <c r="A171" s="18">
        <v>126</v>
      </c>
      <c r="B171" s="18">
        <v>258835</v>
      </c>
      <c r="D171" s="117"/>
      <c r="E171" s="117"/>
      <c r="F171" s="117"/>
      <c r="G171" s="117"/>
      <c r="I171" s="54" t="s">
        <v>46</v>
      </c>
      <c r="J171" s="20">
        <v>0</v>
      </c>
      <c r="K171" s="15">
        <f>J172*J171</f>
        <v>0</v>
      </c>
      <c r="N171" s="55">
        <v>1.5</v>
      </c>
      <c r="O171" s="22">
        <f t="shared" si="24"/>
        <v>0.10273972602739727</v>
      </c>
      <c r="P171" s="55">
        <f t="shared" si="25"/>
        <v>242165</v>
      </c>
    </row>
    <row r="172" spans="1:16" ht="16.5" x14ac:dyDescent="0.2">
      <c r="A172" s="18">
        <v>127</v>
      </c>
      <c r="B172" s="18">
        <v>275015</v>
      </c>
      <c r="D172" s="117"/>
      <c r="E172" s="117"/>
      <c r="F172" s="117"/>
      <c r="G172" s="117"/>
      <c r="I172" s="54" t="s">
        <v>44</v>
      </c>
      <c r="J172" s="15">
        <f>(J166+L166+J167+L167+J168+L168+K169+K170)/(1-J171)</f>
        <v>2357100</v>
      </c>
      <c r="K172" s="16"/>
      <c r="N172" s="55">
        <v>1.6</v>
      </c>
      <c r="O172" s="22">
        <f t="shared" si="24"/>
        <v>0.10958904109589042</v>
      </c>
      <c r="P172" s="55">
        <f t="shared" si="25"/>
        <v>258310</v>
      </c>
    </row>
    <row r="173" spans="1:16" ht="16.5" x14ac:dyDescent="0.2">
      <c r="A173" s="18">
        <v>128</v>
      </c>
      <c r="B173" s="18">
        <v>291190</v>
      </c>
      <c r="D173" s="117"/>
      <c r="E173" s="117"/>
      <c r="F173" s="117"/>
      <c r="G173" s="117"/>
      <c r="N173" s="55">
        <v>1.7</v>
      </c>
      <c r="O173" s="22">
        <f t="shared" si="24"/>
        <v>0.11643835616438356</v>
      </c>
      <c r="P173" s="55">
        <f t="shared" si="25"/>
        <v>274455</v>
      </c>
    </row>
    <row r="174" spans="1:16" ht="16.5" x14ac:dyDescent="0.2">
      <c r="A174" s="18">
        <v>129</v>
      </c>
      <c r="B174" s="18">
        <v>323545</v>
      </c>
      <c r="D174" s="117"/>
      <c r="E174" s="117"/>
      <c r="F174" s="117"/>
      <c r="G174" s="117"/>
      <c r="N174" s="55">
        <v>1.8</v>
      </c>
      <c r="O174" s="22">
        <f t="shared" si="24"/>
        <v>0.12328767123287672</v>
      </c>
      <c r="P174" s="55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5">
        <v>2</v>
      </c>
      <c r="O175" s="22">
        <f t="shared" si="24"/>
        <v>0.13698630136986301</v>
      </c>
      <c r="P175" s="55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17"/>
      <c r="E179" s="117"/>
      <c r="F179" s="117"/>
      <c r="G179" s="117"/>
      <c r="I179" s="54" t="s">
        <v>154</v>
      </c>
      <c r="J179" s="55">
        <v>14</v>
      </c>
      <c r="K179" s="54" t="s">
        <v>154</v>
      </c>
      <c r="L179" s="55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17"/>
      <c r="E180" s="117"/>
      <c r="F180" s="117"/>
      <c r="G180" s="117"/>
      <c r="I180" s="54" t="s">
        <v>166</v>
      </c>
      <c r="J180" s="15">
        <f>SUMIFS(章节关卡!$AS$5:$AS$205,章节关卡!$AQ$5:$AQ$205,"="&amp;经验计算!J179)</f>
        <v>30000</v>
      </c>
      <c r="K180" s="54" t="s">
        <v>165</v>
      </c>
      <c r="L180" s="15">
        <f>SUMIFS(章节关卡!$AS$5:$AS$205,章节关卡!$AQ$5:$AQ$205,"="&amp;经验计算!L179)</f>
        <v>24000</v>
      </c>
      <c r="N180" s="55">
        <v>1</v>
      </c>
      <c r="O180" s="22">
        <f>N180/$N$122</f>
        <v>6.8493150684931503E-2</v>
      </c>
      <c r="P180" s="55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17"/>
      <c r="E181" s="117"/>
      <c r="F181" s="117"/>
      <c r="G181" s="117"/>
      <c r="I181" s="54" t="s">
        <v>160</v>
      </c>
      <c r="J181" s="15">
        <f>SUMIFS(芦花古楼!$D$5:$D$104,芦花古楼!$B$5:$B$104,"="&amp;经验计算!J179)</f>
        <v>0</v>
      </c>
      <c r="K181" s="54" t="s">
        <v>161</v>
      </c>
      <c r="L181" s="15">
        <f>SUMIFS(芦花古楼!$N$5:$N$104,芦花古楼!$L$5:$L$104,"="&amp;经验计算!J179)</f>
        <v>0</v>
      </c>
      <c r="N181" s="55">
        <v>1.1000000000000001</v>
      </c>
      <c r="O181" s="22">
        <f t="shared" ref="O181:O189" si="26">N181/$N$122</f>
        <v>7.5342465753424667E-2</v>
      </c>
      <c r="P181" s="55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17"/>
      <c r="E182" s="117"/>
      <c r="F182" s="117"/>
      <c r="G182" s="117"/>
      <c r="I182" s="54" t="s">
        <v>162</v>
      </c>
      <c r="J182" s="15">
        <f>SUMIFS(芦花古楼!$X$5:$X$104,芦花古楼!$V$5:$V$104,"="&amp;经验计算!J179)</f>
        <v>108000</v>
      </c>
      <c r="K182" s="54" t="s">
        <v>163</v>
      </c>
      <c r="L182" s="15">
        <f>SUMIFS(芦花古楼!$AH$5:$AH$104,芦花古楼!$AF$5:$AF$104,"="&amp;经验计算!J179)</f>
        <v>108000</v>
      </c>
      <c r="N182" s="55">
        <v>1.2</v>
      </c>
      <c r="O182" s="22">
        <f t="shared" si="26"/>
        <v>8.2191780821917804E-2</v>
      </c>
      <c r="P182" s="55">
        <f t="shared" si="27"/>
        <v>318080</v>
      </c>
    </row>
    <row r="183" spans="1:16" ht="16.5" x14ac:dyDescent="0.2">
      <c r="A183" s="18">
        <v>134</v>
      </c>
      <c r="B183" s="18">
        <v>384900</v>
      </c>
      <c r="D183" s="117"/>
      <c r="E183" s="117"/>
      <c r="F183" s="117"/>
      <c r="G183" s="117"/>
      <c r="I183" s="54" t="s">
        <v>62</v>
      </c>
      <c r="J183" s="15">
        <f>INDEX(节奏总表!$S$4:$S$18,经验计算!J179)</f>
        <v>25</v>
      </c>
      <c r="K183" s="15">
        <f>日常任务!D123*经验计算!J183</f>
        <v>0</v>
      </c>
      <c r="N183" s="55">
        <v>1.3</v>
      </c>
      <c r="O183" s="22">
        <f t="shared" si="26"/>
        <v>8.9041095890410968E-2</v>
      </c>
      <c r="P183" s="55">
        <f t="shared" si="27"/>
        <v>344585</v>
      </c>
    </row>
    <row r="184" spans="1:16" ht="16.5" x14ac:dyDescent="0.2">
      <c r="A184" s="18">
        <v>135</v>
      </c>
      <c r="B184" s="18">
        <v>412395</v>
      </c>
      <c r="D184" s="117"/>
      <c r="E184" s="117"/>
      <c r="F184" s="117"/>
      <c r="G184" s="117"/>
      <c r="I184" s="54" t="s">
        <v>53</v>
      </c>
      <c r="J184" s="15">
        <f>INDEX(节奏总表!$S$4:$S$18,经验计算!J179)*24*60</f>
        <v>36000</v>
      </c>
      <c r="K184" s="15">
        <f>INDEX(章节关卡!$C$6:$C$20,经验计算!J179)*经验计算!J184</f>
        <v>3600000</v>
      </c>
      <c r="N184" s="55">
        <v>1.4</v>
      </c>
      <c r="O184" s="22">
        <f t="shared" si="26"/>
        <v>9.5890410958904104E-2</v>
      </c>
      <c r="P184" s="55">
        <f t="shared" si="27"/>
        <v>371095</v>
      </c>
    </row>
    <row r="185" spans="1:16" ht="16.5" x14ac:dyDescent="0.2">
      <c r="A185" s="18">
        <v>136</v>
      </c>
      <c r="B185" s="18">
        <v>439890</v>
      </c>
      <c r="D185" s="117"/>
      <c r="E185" s="117"/>
      <c r="F185" s="117"/>
      <c r="G185" s="117"/>
      <c r="I185" s="54" t="s">
        <v>46</v>
      </c>
      <c r="J185" s="20">
        <v>0</v>
      </c>
      <c r="K185" s="15">
        <f>J186*J185</f>
        <v>0</v>
      </c>
      <c r="N185" s="55">
        <v>1.5</v>
      </c>
      <c r="O185" s="22">
        <f t="shared" si="26"/>
        <v>0.10273972602739727</v>
      </c>
      <c r="P185" s="55">
        <f t="shared" si="27"/>
        <v>397600</v>
      </c>
    </row>
    <row r="186" spans="1:16" ht="16.5" x14ac:dyDescent="0.2">
      <c r="A186" s="18">
        <v>137</v>
      </c>
      <c r="B186" s="18">
        <v>467380</v>
      </c>
      <c r="D186" s="117"/>
      <c r="E186" s="117"/>
      <c r="F186" s="117"/>
      <c r="G186" s="117"/>
      <c r="I186" s="54" t="s">
        <v>44</v>
      </c>
      <c r="J186" s="15">
        <f>(J180+L180+J181+L181+J182+L182+K183+K184)/(1-J185)</f>
        <v>3870000</v>
      </c>
      <c r="K186" s="16"/>
      <c r="N186" s="55">
        <v>1.6</v>
      </c>
      <c r="O186" s="22">
        <f t="shared" si="26"/>
        <v>0.10958904109589042</v>
      </c>
      <c r="P186" s="55">
        <f t="shared" si="27"/>
        <v>424105</v>
      </c>
    </row>
    <row r="187" spans="1:16" ht="16.5" x14ac:dyDescent="0.2">
      <c r="A187" s="18">
        <v>138</v>
      </c>
      <c r="B187" s="18">
        <v>494875</v>
      </c>
      <c r="D187" s="117"/>
      <c r="E187" s="117"/>
      <c r="F187" s="117"/>
      <c r="G187" s="117"/>
      <c r="N187" s="55">
        <v>1.7</v>
      </c>
      <c r="O187" s="22">
        <f t="shared" si="26"/>
        <v>0.11643835616438356</v>
      </c>
      <c r="P187" s="55">
        <f t="shared" si="27"/>
        <v>450615</v>
      </c>
    </row>
    <row r="188" spans="1:16" ht="16.5" x14ac:dyDescent="0.2">
      <c r="A188" s="18">
        <v>139</v>
      </c>
      <c r="B188" s="18">
        <v>549860</v>
      </c>
      <c r="D188" s="117"/>
      <c r="E188" s="117"/>
      <c r="F188" s="117"/>
      <c r="G188" s="117"/>
      <c r="N188" s="55">
        <v>1.8</v>
      </c>
      <c r="O188" s="22">
        <f t="shared" si="26"/>
        <v>0.12328767123287672</v>
      </c>
      <c r="P188" s="55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5">
        <v>2</v>
      </c>
      <c r="O189" s="22">
        <f t="shared" si="26"/>
        <v>0.13698630136986301</v>
      </c>
      <c r="P189" s="55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17"/>
      <c r="E193" s="117"/>
      <c r="F193" s="117"/>
      <c r="G193" s="117"/>
      <c r="I193" s="54" t="s">
        <v>154</v>
      </c>
      <c r="J193" s="55">
        <v>15</v>
      </c>
      <c r="K193" s="54" t="s">
        <v>154</v>
      </c>
      <c r="L193" s="55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17"/>
      <c r="E194" s="117"/>
      <c r="F194" s="117"/>
      <c r="G194" s="117"/>
      <c r="I194" s="54" t="s">
        <v>166</v>
      </c>
      <c r="J194" s="15">
        <f>SUMIFS(章节关卡!$AS$5:$AS$205,章节关卡!$AQ$5:$AQ$205,"="&amp;经验计算!J193)</f>
        <v>37500</v>
      </c>
      <c r="K194" s="54" t="s">
        <v>165</v>
      </c>
      <c r="L194" s="15">
        <f>SUMIFS(章节关卡!$AS$5:$AS$205,章节关卡!$AQ$5:$AQ$205,"="&amp;经验计算!L193)</f>
        <v>30000</v>
      </c>
      <c r="N194" s="55">
        <v>1</v>
      </c>
      <c r="O194" s="22">
        <f>N194/$N$122</f>
        <v>6.8493150684931503E-2</v>
      </c>
      <c r="P194" s="55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17"/>
      <c r="E195" s="117"/>
      <c r="F195" s="117"/>
      <c r="G195" s="117"/>
      <c r="I195" s="54" t="s">
        <v>160</v>
      </c>
      <c r="J195" s="15">
        <f>SUMIFS(芦花古楼!$D$5:$D$104,芦花古楼!$B$5:$B$104,"="&amp;经验计算!J193)</f>
        <v>0</v>
      </c>
      <c r="K195" s="54" t="s">
        <v>161</v>
      </c>
      <c r="L195" s="15">
        <f>SUMIFS(芦花古楼!$N$5:$N$104,芦花古楼!$L$5:$L$104,"="&amp;经验计算!J193)</f>
        <v>0</v>
      </c>
      <c r="N195" s="55">
        <v>1.1000000000000001</v>
      </c>
      <c r="O195" s="22">
        <f t="shared" ref="O195:O203" si="28">N195/$N$122</f>
        <v>7.5342465753424667E-2</v>
      </c>
      <c r="P195" s="55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17"/>
      <c r="E196" s="117"/>
      <c r="F196" s="117"/>
      <c r="G196" s="117"/>
      <c r="I196" s="54" t="s">
        <v>162</v>
      </c>
      <c r="J196" s="15">
        <f>SUMIFS(芦花古楼!$X$5:$X$104,芦花古楼!$V$5:$V$104,"="&amp;经验计算!J193)</f>
        <v>112500</v>
      </c>
      <c r="K196" s="54" t="s">
        <v>163</v>
      </c>
      <c r="L196" s="15">
        <f>SUMIFS(芦花古楼!$AH$5:$AH$104,芦花古楼!$AF$5:$AF$104,"="&amp;经验计算!J193)</f>
        <v>112500</v>
      </c>
      <c r="N196" s="55">
        <v>1.2</v>
      </c>
      <c r="O196" s="22">
        <f t="shared" si="28"/>
        <v>8.2191780821917804E-2</v>
      </c>
      <c r="P196" s="55">
        <f t="shared" si="29"/>
        <v>578835</v>
      </c>
    </row>
    <row r="197" spans="1:16" ht="16.5" x14ac:dyDescent="0.2">
      <c r="A197" s="18">
        <v>144</v>
      </c>
      <c r="B197" s="18">
        <v>701195</v>
      </c>
      <c r="D197" s="117"/>
      <c r="E197" s="117"/>
      <c r="F197" s="117"/>
      <c r="G197" s="117"/>
      <c r="I197" s="54" t="s">
        <v>62</v>
      </c>
      <c r="J197" s="15">
        <f>INDEX(节奏总表!$S$4:$S$18,经验计算!J193)</f>
        <v>37.5</v>
      </c>
      <c r="K197" s="15">
        <f>日常任务!D137*经验计算!J197</f>
        <v>0</v>
      </c>
      <c r="N197" s="55">
        <v>1.3</v>
      </c>
      <c r="O197" s="22">
        <f t="shared" si="28"/>
        <v>8.9041095890410968E-2</v>
      </c>
      <c r="P197" s="55">
        <f t="shared" si="29"/>
        <v>627070</v>
      </c>
    </row>
    <row r="198" spans="1:16" ht="16.5" x14ac:dyDescent="0.2">
      <c r="A198" s="18">
        <v>145</v>
      </c>
      <c r="B198" s="18">
        <v>751280</v>
      </c>
      <c r="D198" s="117"/>
      <c r="E198" s="117"/>
      <c r="F198" s="117"/>
      <c r="G198" s="117"/>
      <c r="I198" s="54" t="s">
        <v>53</v>
      </c>
      <c r="J198" s="15">
        <f>INDEX(节奏总表!$S$4:$S$18,经验计算!J193)*24*60</f>
        <v>54000</v>
      </c>
      <c r="K198" s="15">
        <f>INDEX(章节关卡!$C$6:$C$20,经验计算!J193)*经验计算!J198</f>
        <v>6750000</v>
      </c>
      <c r="N198" s="55">
        <v>1.4</v>
      </c>
      <c r="O198" s="22">
        <f t="shared" si="28"/>
        <v>9.5890410958904104E-2</v>
      </c>
      <c r="P198" s="55">
        <f t="shared" si="29"/>
        <v>675305</v>
      </c>
    </row>
    <row r="199" spans="1:16" ht="16.5" x14ac:dyDescent="0.2">
      <c r="A199" s="18">
        <v>146</v>
      </c>
      <c r="B199" s="18">
        <v>801365</v>
      </c>
      <c r="D199" s="117"/>
      <c r="E199" s="117"/>
      <c r="F199" s="117"/>
      <c r="G199" s="117"/>
      <c r="I199" s="54" t="s">
        <v>46</v>
      </c>
      <c r="J199" s="20">
        <v>0</v>
      </c>
      <c r="K199" s="15">
        <f>J200*J199</f>
        <v>0</v>
      </c>
      <c r="N199" s="55">
        <v>1.5</v>
      </c>
      <c r="O199" s="22">
        <f t="shared" si="28"/>
        <v>0.10273972602739727</v>
      </c>
      <c r="P199" s="55">
        <f t="shared" si="29"/>
        <v>723540</v>
      </c>
    </row>
    <row r="200" spans="1:16" ht="16.5" x14ac:dyDescent="0.2">
      <c r="A200" s="18">
        <v>147</v>
      </c>
      <c r="B200" s="18">
        <v>851455</v>
      </c>
      <c r="D200" s="117"/>
      <c r="E200" s="117"/>
      <c r="F200" s="117"/>
      <c r="G200" s="117"/>
      <c r="I200" s="54" t="s">
        <v>44</v>
      </c>
      <c r="J200" s="15">
        <f>(J194+L194+J195+L195+J196+L196+K197+K198)/(1-J199)</f>
        <v>7042500</v>
      </c>
      <c r="K200" s="16"/>
      <c r="N200" s="55">
        <v>1.6</v>
      </c>
      <c r="O200" s="22">
        <f t="shared" si="28"/>
        <v>0.10958904109589042</v>
      </c>
      <c r="P200" s="55">
        <f t="shared" si="29"/>
        <v>771780</v>
      </c>
    </row>
    <row r="201" spans="1:16" ht="16.5" x14ac:dyDescent="0.2">
      <c r="A201" s="18">
        <v>148</v>
      </c>
      <c r="B201" s="18">
        <v>901540</v>
      </c>
      <c r="D201" s="117"/>
      <c r="E201" s="117"/>
      <c r="F201" s="117"/>
      <c r="G201" s="117"/>
      <c r="N201" s="55">
        <v>1.7</v>
      </c>
      <c r="O201" s="22">
        <f t="shared" si="28"/>
        <v>0.11643835616438356</v>
      </c>
      <c r="P201" s="55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17"/>
      <c r="E202" s="117"/>
      <c r="F202" s="117"/>
      <c r="G202" s="117"/>
      <c r="N202" s="55">
        <v>1.8</v>
      </c>
      <c r="O202" s="22">
        <f t="shared" si="28"/>
        <v>0.12328767123287672</v>
      </c>
      <c r="P202" s="55">
        <f t="shared" si="29"/>
        <v>868250</v>
      </c>
    </row>
    <row r="203" spans="1:16" ht="16.5" x14ac:dyDescent="0.2">
      <c r="A203" s="18">
        <v>150</v>
      </c>
      <c r="B203" s="55">
        <v>1101880</v>
      </c>
      <c r="N203" s="55">
        <v>2</v>
      </c>
      <c r="O203" s="22">
        <f t="shared" si="28"/>
        <v>0.13698630136986301</v>
      </c>
      <c r="P203" s="55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S2" sqref="S2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16" t="s">
        <v>78</v>
      </c>
      <c r="B3" s="116"/>
      <c r="C3" s="116"/>
      <c r="D3" s="116"/>
      <c r="E3" s="116"/>
      <c r="F3" s="116"/>
      <c r="G3" s="116"/>
      <c r="H3" s="116"/>
      <c r="K3" s="116" t="s">
        <v>79</v>
      </c>
      <c r="L3" s="116"/>
      <c r="M3" s="116"/>
      <c r="N3" s="116"/>
      <c r="O3" s="116"/>
      <c r="P3" s="116"/>
      <c r="Q3" s="116"/>
      <c r="R3" s="116"/>
      <c r="U3" s="116" t="s">
        <v>80</v>
      </c>
      <c r="V3" s="116"/>
      <c r="W3" s="116"/>
      <c r="X3" s="116"/>
      <c r="Y3" s="116"/>
      <c r="Z3" s="116"/>
      <c r="AA3" s="116"/>
      <c r="AB3" s="116"/>
      <c r="AE3" s="116" t="s">
        <v>81</v>
      </c>
      <c r="AF3" s="116"/>
      <c r="AG3" s="116"/>
      <c r="AH3" s="116"/>
      <c r="AI3" s="116"/>
      <c r="AJ3" s="116"/>
      <c r="AK3" s="116"/>
      <c r="AL3" s="116"/>
      <c r="AO3" s="128" t="s">
        <v>78</v>
      </c>
      <c r="AP3" s="129"/>
      <c r="AR3" s="128" t="s">
        <v>79</v>
      </c>
      <c r="AS3" s="129"/>
      <c r="AU3" s="128" t="s">
        <v>84</v>
      </c>
      <c r="AV3" s="129"/>
      <c r="AX3" s="128" t="s">
        <v>85</v>
      </c>
      <c r="AY3" s="129"/>
      <c r="BH3">
        <v>2</v>
      </c>
      <c r="BM3" s="127" t="s">
        <v>99</v>
      </c>
      <c r="BN3" s="127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498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498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498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498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692</v>
      </c>
      <c r="BD4" s="12" t="s">
        <v>91</v>
      </c>
      <c r="BE4" s="12" t="s">
        <v>92</v>
      </c>
      <c r="BF4" s="12" t="s">
        <v>694</v>
      </c>
      <c r="BG4" s="12" t="s">
        <v>693</v>
      </c>
      <c r="BH4" s="12" t="s">
        <v>695</v>
      </c>
      <c r="BJ4" s="24" t="s">
        <v>89</v>
      </c>
      <c r="BK4" s="24" t="s">
        <v>90</v>
      </c>
      <c r="BQ4" s="24" t="s">
        <v>601</v>
      </c>
      <c r="BR4" s="24" t="s">
        <v>603</v>
      </c>
      <c r="BS4" s="24" t="s">
        <v>604</v>
      </c>
      <c r="BT4" s="24" t="s">
        <v>605</v>
      </c>
      <c r="BU4" s="24" t="s">
        <v>606</v>
      </c>
      <c r="BV4" s="24" t="s">
        <v>607</v>
      </c>
      <c r="BW4" s="24" t="s">
        <v>608</v>
      </c>
      <c r="BY4" s="24" t="s">
        <v>600</v>
      </c>
      <c r="BZ4" s="24" t="s">
        <v>602</v>
      </c>
      <c r="CA4" s="24" t="s">
        <v>658</v>
      </c>
      <c r="CB4" s="24" t="s">
        <v>659</v>
      </c>
      <c r="CF4" s="52" t="s">
        <v>426</v>
      </c>
      <c r="CG4" s="52" t="s">
        <v>427</v>
      </c>
      <c r="CH4" s="52" t="s">
        <v>428</v>
      </c>
      <c r="CI4" s="52" t="s">
        <v>429</v>
      </c>
      <c r="CJ4" s="52" t="s">
        <v>448</v>
      </c>
      <c r="CK4" s="52" t="s">
        <v>449</v>
      </c>
      <c r="CL4" s="52" t="s">
        <v>450</v>
      </c>
      <c r="CM4" s="52" t="s">
        <v>430</v>
      </c>
      <c r="CN4" s="52" t="s">
        <v>431</v>
      </c>
      <c r="CO4" s="52" t="s">
        <v>432</v>
      </c>
      <c r="CP4" s="52" t="s">
        <v>433</v>
      </c>
      <c r="CQ4" s="52" t="s">
        <v>434</v>
      </c>
      <c r="CR4" s="52" t="s">
        <v>435</v>
      </c>
      <c r="CS4" s="52" t="s">
        <v>436</v>
      </c>
      <c r="CT4" s="52" t="s">
        <v>437</v>
      </c>
      <c r="CU4" s="52" t="s">
        <v>438</v>
      </c>
      <c r="CV4" s="52" t="s">
        <v>439</v>
      </c>
      <c r="CW4" s="52" t="s">
        <v>440</v>
      </c>
      <c r="CX4" s="52" t="s">
        <v>441</v>
      </c>
      <c r="CY4" s="52" t="s">
        <v>442</v>
      </c>
      <c r="CZ4" s="52" t="s">
        <v>443</v>
      </c>
      <c r="DA4" s="52" t="s">
        <v>444</v>
      </c>
      <c r="DB4" s="52" t="s">
        <v>445</v>
      </c>
      <c r="DC4" s="52" t="s">
        <v>446</v>
      </c>
      <c r="DD4" s="52" t="s">
        <v>447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0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69">
        <v>0</v>
      </c>
      <c r="BY5" s="69">
        <v>1</v>
      </c>
      <c r="BZ5" s="69">
        <v>101</v>
      </c>
      <c r="CA5" s="69" t="s">
        <v>651</v>
      </c>
      <c r="CB5" s="69">
        <v>1</v>
      </c>
      <c r="CF5" s="51">
        <v>1</v>
      </c>
      <c r="CG5" s="51">
        <v>1</v>
      </c>
      <c r="CH5" s="53" t="s">
        <v>451</v>
      </c>
      <c r="CI5" s="51">
        <v>1</v>
      </c>
      <c r="CJ5" s="51"/>
      <c r="CK5" s="51"/>
      <c r="CL5" s="51"/>
      <c r="CM5" s="51" t="s">
        <v>660</v>
      </c>
      <c r="CN5" s="51">
        <v>600</v>
      </c>
      <c r="CO5" s="51" t="s">
        <v>661</v>
      </c>
      <c r="CP5" s="51">
        <v>5</v>
      </c>
      <c r="CQ5" s="51"/>
      <c r="CR5" s="51"/>
      <c r="CS5" s="51" t="s">
        <v>661</v>
      </c>
      <c r="CT5" s="51">
        <v>20</v>
      </c>
      <c r="CU5" s="51"/>
      <c r="CV5" s="51"/>
      <c r="CW5" s="51"/>
      <c r="CX5" s="51"/>
      <c r="CY5" s="51"/>
      <c r="CZ5" s="51"/>
      <c r="DA5" s="51"/>
      <c r="DB5" s="51"/>
      <c r="DC5" s="51"/>
      <c r="DD5" s="51"/>
    </row>
    <row r="6" spans="1:108" ht="16.5" x14ac:dyDescent="0.2">
      <c r="A6" s="18">
        <v>2</v>
      </c>
      <c r="B6" s="26">
        <v>1</v>
      </c>
      <c r="C6" s="38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8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8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0">
        <v>5</v>
      </c>
      <c r="AG6" s="38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69">
        <v>1</v>
      </c>
      <c r="BR6" s="69">
        <v>101</v>
      </c>
      <c r="BS6" s="69">
        <v>1606003</v>
      </c>
      <c r="BT6" s="69" t="s">
        <v>609</v>
      </c>
      <c r="BU6" s="69">
        <v>1</v>
      </c>
      <c r="BV6" s="69">
        <v>15</v>
      </c>
      <c r="BW6" s="69">
        <f>SUM(BV$5:BV6)</f>
        <v>15</v>
      </c>
      <c r="BY6" s="69">
        <v>2</v>
      </c>
      <c r="BZ6" s="69">
        <v>102</v>
      </c>
      <c r="CA6" s="69" t="s">
        <v>652</v>
      </c>
      <c r="CB6" s="69">
        <v>1</v>
      </c>
      <c r="CF6" s="69">
        <v>2</v>
      </c>
      <c r="CG6" s="69">
        <v>1</v>
      </c>
      <c r="CH6" s="69" t="s">
        <v>451</v>
      </c>
      <c r="CI6" s="69">
        <v>2</v>
      </c>
      <c r="CJ6" s="69"/>
      <c r="CK6" s="69"/>
      <c r="CL6" s="69"/>
      <c r="CM6" s="69" t="s">
        <v>660</v>
      </c>
      <c r="CN6" s="69">
        <v>600</v>
      </c>
      <c r="CO6" s="69" t="s">
        <v>661</v>
      </c>
      <c r="CP6" s="69">
        <v>5</v>
      </c>
      <c r="CQ6" s="69" t="s">
        <v>662</v>
      </c>
      <c r="CR6" s="69">
        <v>1</v>
      </c>
      <c r="CS6" s="69" t="s">
        <v>661</v>
      </c>
      <c r="CT6" s="69">
        <v>20</v>
      </c>
      <c r="CU6" s="69"/>
      <c r="CV6" s="69"/>
      <c r="CW6" s="69"/>
      <c r="CX6" s="69"/>
      <c r="CY6" s="69"/>
      <c r="CZ6" s="69"/>
      <c r="DA6" s="69"/>
      <c r="DB6" s="69"/>
      <c r="DC6" s="69"/>
      <c r="DD6" s="69"/>
    </row>
    <row r="7" spans="1:108" ht="16.5" x14ac:dyDescent="0.2">
      <c r="A7" s="18">
        <v>3</v>
      </c>
      <c r="B7" s="26">
        <v>2</v>
      </c>
      <c r="C7" s="38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8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8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0">
        <v>5</v>
      </c>
      <c r="AG7" s="38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69">
        <v>2</v>
      </c>
      <c r="BR7" s="69">
        <v>101</v>
      </c>
      <c r="BS7" s="69">
        <v>1606004</v>
      </c>
      <c r="BT7" s="69" t="s">
        <v>610</v>
      </c>
      <c r="BU7" s="69">
        <v>1</v>
      </c>
      <c r="BV7" s="69">
        <v>15</v>
      </c>
      <c r="BW7" s="69">
        <f>SUM(BV$5:BV7)</f>
        <v>30</v>
      </c>
      <c r="BY7" s="69">
        <v>3</v>
      </c>
      <c r="BZ7" s="69">
        <v>201</v>
      </c>
      <c r="CA7" s="69" t="s">
        <v>653</v>
      </c>
      <c r="CB7" s="69">
        <v>2</v>
      </c>
      <c r="CF7" s="69">
        <v>3</v>
      </c>
      <c r="CG7" s="69">
        <v>1</v>
      </c>
      <c r="CH7" s="69" t="s">
        <v>451</v>
      </c>
      <c r="CI7" s="69">
        <v>3</v>
      </c>
      <c r="CJ7" s="69"/>
      <c r="CK7" s="69"/>
      <c r="CL7" s="69"/>
      <c r="CM7" s="69" t="s">
        <v>660</v>
      </c>
      <c r="CN7" s="69">
        <v>900</v>
      </c>
      <c r="CO7" s="69" t="s">
        <v>661</v>
      </c>
      <c r="CP7" s="69">
        <v>5</v>
      </c>
      <c r="CQ7" s="69"/>
      <c r="CR7" s="69"/>
      <c r="CS7" s="69" t="s">
        <v>661</v>
      </c>
      <c r="CT7" s="69">
        <v>20</v>
      </c>
      <c r="CU7" s="69"/>
      <c r="CV7" s="69"/>
      <c r="CW7" s="69"/>
      <c r="CX7" s="69"/>
      <c r="CY7" s="69"/>
      <c r="CZ7" s="69"/>
      <c r="DA7" s="69"/>
      <c r="DB7" s="69"/>
      <c r="DC7" s="69"/>
      <c r="DD7" s="69"/>
    </row>
    <row r="8" spans="1:108" ht="16.5" x14ac:dyDescent="0.2">
      <c r="A8" s="18">
        <v>4</v>
      </c>
      <c r="B8" s="26">
        <v>2</v>
      </c>
      <c r="C8" s="38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8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8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0">
        <v>5</v>
      </c>
      <c r="AG8" s="38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69">
        <v>3</v>
      </c>
      <c r="BR8" s="69">
        <v>101</v>
      </c>
      <c r="BS8" s="69">
        <v>1606005</v>
      </c>
      <c r="BT8" s="69" t="s">
        <v>611</v>
      </c>
      <c r="BU8" s="69">
        <v>2</v>
      </c>
      <c r="BV8" s="69">
        <v>15</v>
      </c>
      <c r="BW8" s="69">
        <f>SUM(BV$5:BV8)</f>
        <v>45</v>
      </c>
      <c r="BY8" s="69">
        <v>4</v>
      </c>
      <c r="BZ8" s="69">
        <v>202</v>
      </c>
      <c r="CA8" s="69" t="s">
        <v>654</v>
      </c>
      <c r="CB8" s="69">
        <v>2</v>
      </c>
      <c r="CF8" s="69">
        <v>4</v>
      </c>
      <c r="CG8" s="69">
        <v>1</v>
      </c>
      <c r="CH8" s="69" t="s">
        <v>451</v>
      </c>
      <c r="CI8" s="69">
        <v>4</v>
      </c>
      <c r="CJ8" s="69"/>
      <c r="CK8" s="69"/>
      <c r="CL8" s="69"/>
      <c r="CM8" s="69" t="s">
        <v>660</v>
      </c>
      <c r="CN8" s="69">
        <v>900</v>
      </c>
      <c r="CO8" s="69" t="s">
        <v>661</v>
      </c>
      <c r="CP8" s="69">
        <v>5</v>
      </c>
      <c r="CQ8" s="69" t="s">
        <v>487</v>
      </c>
      <c r="CR8" s="69">
        <v>1</v>
      </c>
      <c r="CS8" s="69" t="s">
        <v>661</v>
      </c>
      <c r="CT8" s="69">
        <v>20</v>
      </c>
      <c r="CU8" s="69"/>
      <c r="CV8" s="69"/>
      <c r="CW8" s="69"/>
      <c r="CX8" s="69"/>
      <c r="CY8" s="69"/>
      <c r="CZ8" s="69"/>
      <c r="DA8" s="69"/>
      <c r="DB8" s="69"/>
      <c r="DC8" s="69"/>
      <c r="DD8" s="69"/>
    </row>
    <row r="9" spans="1:108" ht="16.5" x14ac:dyDescent="0.2">
      <c r="A9" s="18">
        <v>5</v>
      </c>
      <c r="B9" s="26">
        <v>3</v>
      </c>
      <c r="C9" s="38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8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0">
        <v>5</v>
      </c>
      <c r="W9" s="38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0">
        <v>5</v>
      </c>
      <c r="AG9" s="38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69">
        <v>4</v>
      </c>
      <c r="BR9" s="69">
        <v>102</v>
      </c>
      <c r="BS9" s="69">
        <v>1606006</v>
      </c>
      <c r="BT9" s="69" t="s">
        <v>612</v>
      </c>
      <c r="BU9" s="69">
        <v>1</v>
      </c>
      <c r="BV9" s="69">
        <v>15</v>
      </c>
      <c r="BW9" s="69">
        <f>SUM(BV$5:BV9)</f>
        <v>60</v>
      </c>
      <c r="BY9" s="69">
        <v>5</v>
      </c>
      <c r="BZ9" s="69">
        <v>301</v>
      </c>
      <c r="CA9" s="69" t="s">
        <v>655</v>
      </c>
      <c r="CB9" s="69">
        <v>3</v>
      </c>
      <c r="CF9" s="69">
        <v>5</v>
      </c>
      <c r="CG9" s="69">
        <v>1</v>
      </c>
      <c r="CH9" s="69" t="s">
        <v>451</v>
      </c>
      <c r="CI9" s="69">
        <v>5</v>
      </c>
      <c r="CJ9" s="69"/>
      <c r="CK9" s="69"/>
      <c r="CL9" s="69"/>
      <c r="CM9" s="69" t="s">
        <v>660</v>
      </c>
      <c r="CN9" s="69">
        <v>1200</v>
      </c>
      <c r="CO9" s="69" t="s">
        <v>661</v>
      </c>
      <c r="CP9" s="69">
        <v>5</v>
      </c>
      <c r="CQ9" s="69"/>
      <c r="CR9" s="69"/>
      <c r="CS9" s="69" t="s">
        <v>661</v>
      </c>
      <c r="CT9" s="69">
        <v>25</v>
      </c>
      <c r="CU9" s="69"/>
      <c r="CV9" s="69"/>
      <c r="CW9" s="69"/>
      <c r="CX9" s="69"/>
      <c r="CY9" s="69"/>
      <c r="CZ9" s="69"/>
      <c r="DA9" s="69"/>
      <c r="DB9" s="69"/>
      <c r="DC9" s="69"/>
      <c r="DD9" s="69"/>
    </row>
    <row r="10" spans="1:108" ht="16.5" x14ac:dyDescent="0.2">
      <c r="A10" s="18">
        <v>6</v>
      </c>
      <c r="B10" s="26">
        <v>3</v>
      </c>
      <c r="C10" s="38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0">
        <v>5</v>
      </c>
      <c r="M10" s="38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8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0">
        <v>6</v>
      </c>
      <c r="AG10" s="38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69">
        <v>5</v>
      </c>
      <c r="BR10" s="69">
        <v>102</v>
      </c>
      <c r="BS10" s="69">
        <v>1606007</v>
      </c>
      <c r="BT10" s="69" t="s">
        <v>613</v>
      </c>
      <c r="BU10" s="69">
        <v>1</v>
      </c>
      <c r="BV10" s="69">
        <v>15</v>
      </c>
      <c r="BW10" s="69">
        <f>SUM(BV$5:BV10)</f>
        <v>75</v>
      </c>
      <c r="BY10" s="69">
        <v>6</v>
      </c>
      <c r="BZ10" s="69">
        <v>302</v>
      </c>
      <c r="CA10" s="69" t="s">
        <v>656</v>
      </c>
      <c r="CB10" s="69">
        <v>3</v>
      </c>
      <c r="CF10" s="69">
        <v>6</v>
      </c>
      <c r="CG10" s="69">
        <v>1</v>
      </c>
      <c r="CH10" s="69" t="s">
        <v>451</v>
      </c>
      <c r="CI10" s="69">
        <v>6</v>
      </c>
      <c r="CJ10" s="69"/>
      <c r="CK10" s="69"/>
      <c r="CL10" s="69"/>
      <c r="CM10" s="69" t="s">
        <v>660</v>
      </c>
      <c r="CN10" s="69">
        <v>1200</v>
      </c>
      <c r="CO10" s="69" t="s">
        <v>661</v>
      </c>
      <c r="CP10" s="69">
        <v>10</v>
      </c>
      <c r="CQ10" s="69"/>
      <c r="CR10" s="69"/>
      <c r="CS10" s="69" t="s">
        <v>661</v>
      </c>
      <c r="CT10" s="69">
        <v>25</v>
      </c>
      <c r="CU10" s="69"/>
      <c r="CV10" s="69"/>
      <c r="CW10" s="69"/>
      <c r="CX10" s="69"/>
      <c r="CY10" s="69"/>
      <c r="CZ10" s="69"/>
      <c r="DA10" s="69"/>
      <c r="DB10" s="69"/>
      <c r="DC10" s="69"/>
      <c r="DD10" s="69"/>
    </row>
    <row r="11" spans="1:108" ht="16.5" x14ac:dyDescent="0.2">
      <c r="A11" s="18">
        <v>7</v>
      </c>
      <c r="B11" s="26">
        <v>3</v>
      </c>
      <c r="C11" s="38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0">
        <v>5</v>
      </c>
      <c r="M11" s="38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0">
        <v>6</v>
      </c>
      <c r="W11" s="38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0">
        <v>6</v>
      </c>
      <c r="AG11" s="38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69">
        <v>6</v>
      </c>
      <c r="BR11" s="69">
        <v>102</v>
      </c>
      <c r="BS11" s="69">
        <v>1606008</v>
      </c>
      <c r="BT11" s="69" t="s">
        <v>614</v>
      </c>
      <c r="BU11" s="69">
        <v>1</v>
      </c>
      <c r="BV11" s="69">
        <v>15</v>
      </c>
      <c r="BW11" s="69">
        <f>SUM(BV$5:BV11)</f>
        <v>90</v>
      </c>
      <c r="BY11" s="69">
        <v>7</v>
      </c>
      <c r="BZ11" s="69">
        <v>303</v>
      </c>
      <c r="CA11" s="69" t="s">
        <v>657</v>
      </c>
      <c r="CB11" s="69">
        <v>3</v>
      </c>
      <c r="CF11" s="69">
        <v>7</v>
      </c>
      <c r="CG11" s="69">
        <v>1</v>
      </c>
      <c r="CH11" s="69" t="s">
        <v>451</v>
      </c>
      <c r="CI11" s="69">
        <v>7</v>
      </c>
      <c r="CJ11" s="69"/>
      <c r="CK11" s="69"/>
      <c r="CL11" s="69"/>
      <c r="CM11" s="69" t="s">
        <v>660</v>
      </c>
      <c r="CN11" s="69">
        <v>1200</v>
      </c>
      <c r="CO11" s="69" t="s">
        <v>661</v>
      </c>
      <c r="CP11" s="69">
        <v>10</v>
      </c>
      <c r="CQ11" s="69" t="s">
        <v>662</v>
      </c>
      <c r="CR11" s="69">
        <v>1</v>
      </c>
      <c r="CS11" s="69" t="s">
        <v>661</v>
      </c>
      <c r="CT11" s="69">
        <v>25</v>
      </c>
      <c r="CU11" s="69"/>
      <c r="CV11" s="69"/>
      <c r="CW11" s="69"/>
      <c r="CX11" s="69"/>
      <c r="CY11" s="69"/>
      <c r="CZ11" s="69"/>
      <c r="DA11" s="69"/>
      <c r="DB11" s="69"/>
      <c r="DC11" s="69"/>
      <c r="DD11" s="69"/>
    </row>
    <row r="12" spans="1:108" ht="16.5" x14ac:dyDescent="0.2">
      <c r="A12" s="18">
        <v>8</v>
      </c>
      <c r="B12" s="26">
        <v>4</v>
      </c>
      <c r="C12" s="38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0">
        <v>5</v>
      </c>
      <c r="M12" s="38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0">
        <v>6</v>
      </c>
      <c r="W12" s="38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0">
        <v>6</v>
      </c>
      <c r="AG12" s="38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69">
        <v>7</v>
      </c>
      <c r="BR12" s="69">
        <v>102</v>
      </c>
      <c r="BS12" s="69">
        <v>1606009</v>
      </c>
      <c r="BT12" s="69" t="s">
        <v>615</v>
      </c>
      <c r="BU12" s="69">
        <v>2</v>
      </c>
      <c r="BV12" s="69">
        <v>15</v>
      </c>
      <c r="BW12" s="69">
        <f>SUM(BV$5:BV12)</f>
        <v>105</v>
      </c>
      <c r="CF12" s="69">
        <v>8</v>
      </c>
      <c r="CG12" s="69">
        <v>1</v>
      </c>
      <c r="CH12" s="69" t="s">
        <v>451</v>
      </c>
      <c r="CI12" s="69">
        <v>8</v>
      </c>
      <c r="CJ12" s="69"/>
      <c r="CK12" s="69"/>
      <c r="CL12" s="69"/>
      <c r="CM12" s="69" t="s">
        <v>660</v>
      </c>
      <c r="CN12" s="69">
        <v>1500</v>
      </c>
      <c r="CO12" s="69" t="s">
        <v>661</v>
      </c>
      <c r="CP12" s="69">
        <v>10</v>
      </c>
      <c r="CQ12" s="69"/>
      <c r="CR12" s="69"/>
      <c r="CS12" s="69" t="s">
        <v>661</v>
      </c>
      <c r="CT12" s="69">
        <v>25</v>
      </c>
      <c r="CU12" s="69"/>
      <c r="CV12" s="69"/>
      <c r="CW12" s="69"/>
      <c r="CX12" s="69"/>
      <c r="CY12" s="69"/>
      <c r="CZ12" s="69"/>
      <c r="DA12" s="69"/>
      <c r="DB12" s="69"/>
      <c r="DC12" s="69"/>
      <c r="DD12" s="69"/>
    </row>
    <row r="13" spans="1:108" ht="16.5" x14ac:dyDescent="0.2">
      <c r="A13" s="18">
        <v>9</v>
      </c>
      <c r="B13" s="26">
        <v>4</v>
      </c>
      <c r="C13" s="38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8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0">
        <v>6</v>
      </c>
      <c r="W13" s="38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0">
        <v>6</v>
      </c>
      <c r="AG13" s="38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69">
        <v>8</v>
      </c>
      <c r="BR13" s="69">
        <v>102</v>
      </c>
      <c r="BS13" s="69">
        <v>1606010</v>
      </c>
      <c r="BT13" s="69" t="s">
        <v>616</v>
      </c>
      <c r="BU13" s="69">
        <v>3</v>
      </c>
      <c r="BV13" s="69">
        <v>15</v>
      </c>
      <c r="BW13" s="69">
        <f>SUM(BV$5:BV13)</f>
        <v>120</v>
      </c>
      <c r="CF13" s="69">
        <v>9</v>
      </c>
      <c r="CG13" s="69">
        <v>1</v>
      </c>
      <c r="CH13" s="69" t="s">
        <v>451</v>
      </c>
      <c r="CI13" s="69">
        <v>9</v>
      </c>
      <c r="CJ13" s="69"/>
      <c r="CK13" s="69"/>
      <c r="CL13" s="69"/>
      <c r="CM13" s="69" t="s">
        <v>660</v>
      </c>
      <c r="CN13" s="69">
        <v>1500</v>
      </c>
      <c r="CO13" s="69" t="s">
        <v>661</v>
      </c>
      <c r="CP13" s="69">
        <v>10</v>
      </c>
      <c r="CQ13" s="69"/>
      <c r="CR13" s="69"/>
      <c r="CS13" s="69" t="s">
        <v>661</v>
      </c>
      <c r="CT13" s="69">
        <v>25</v>
      </c>
      <c r="CU13" s="69"/>
      <c r="CV13" s="69"/>
      <c r="CW13" s="69"/>
      <c r="CX13" s="69"/>
      <c r="CY13" s="69"/>
      <c r="CZ13" s="69"/>
      <c r="DA13" s="69"/>
      <c r="DB13" s="69"/>
      <c r="DC13" s="69"/>
      <c r="DD13" s="69"/>
    </row>
    <row r="14" spans="1:108" ht="16.5" x14ac:dyDescent="0.2">
      <c r="A14" s="18">
        <v>10</v>
      </c>
      <c r="B14" s="26">
        <v>4</v>
      </c>
      <c r="C14" s="38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8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0">
        <v>6</v>
      </c>
      <c r="W14" s="38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0">
        <v>6</v>
      </c>
      <c r="AG14" s="38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69">
        <v>9</v>
      </c>
      <c r="BR14" s="69">
        <v>103</v>
      </c>
      <c r="BS14" s="69">
        <v>1606011</v>
      </c>
      <c r="BT14" s="69" t="s">
        <v>617</v>
      </c>
      <c r="BU14" s="69">
        <v>1</v>
      </c>
      <c r="BV14" s="69">
        <v>21</v>
      </c>
      <c r="BW14" s="69">
        <f>SUM(BV$5:BV14)</f>
        <v>141</v>
      </c>
      <c r="CF14" s="69">
        <v>10</v>
      </c>
      <c r="CG14" s="69">
        <v>1</v>
      </c>
      <c r="CH14" s="69" t="s">
        <v>451</v>
      </c>
      <c r="CI14" s="69">
        <v>10</v>
      </c>
      <c r="CJ14" s="69"/>
      <c r="CK14" s="69"/>
      <c r="CL14" s="69"/>
      <c r="CM14" s="69" t="s">
        <v>660</v>
      </c>
      <c r="CN14" s="69">
        <v>1500</v>
      </c>
      <c r="CO14" s="69" t="s">
        <v>661</v>
      </c>
      <c r="CP14" s="69">
        <v>10</v>
      </c>
      <c r="CQ14" s="69" t="s">
        <v>487</v>
      </c>
      <c r="CR14" s="69">
        <v>1</v>
      </c>
      <c r="CS14" s="69" t="s">
        <v>661</v>
      </c>
      <c r="CT14" s="69">
        <v>30</v>
      </c>
      <c r="CU14" s="69"/>
      <c r="CV14" s="69"/>
      <c r="CW14" s="69"/>
      <c r="CX14" s="69"/>
      <c r="CY14" s="69"/>
      <c r="CZ14" s="69"/>
      <c r="DA14" s="69"/>
      <c r="DB14" s="69"/>
      <c r="DC14" s="69"/>
      <c r="DD14" s="69"/>
    </row>
    <row r="15" spans="1:108" ht="16.5" x14ac:dyDescent="0.2">
      <c r="A15" s="18">
        <v>11</v>
      </c>
      <c r="B15" s="26">
        <v>5</v>
      </c>
      <c r="C15" s="38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8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8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0">
        <v>7</v>
      </c>
      <c r="AG15" s="38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69">
        <v>10</v>
      </c>
      <c r="BR15" s="69">
        <v>103</v>
      </c>
      <c r="BS15" s="69">
        <v>1606012</v>
      </c>
      <c r="BT15" s="69" t="s">
        <v>618</v>
      </c>
      <c r="BU15" s="69">
        <v>2</v>
      </c>
      <c r="BV15" s="69">
        <v>21</v>
      </c>
      <c r="BW15" s="69">
        <f>SUM(BV$5:BV15)</f>
        <v>162</v>
      </c>
      <c r="CF15" s="69">
        <v>11</v>
      </c>
      <c r="CG15" s="69">
        <v>1</v>
      </c>
      <c r="CH15" s="69" t="s">
        <v>451</v>
      </c>
      <c r="CI15" s="69">
        <v>11</v>
      </c>
      <c r="CJ15" s="69"/>
      <c r="CK15" s="69"/>
      <c r="CL15" s="69"/>
      <c r="CM15" s="69" t="s">
        <v>660</v>
      </c>
      <c r="CN15" s="69">
        <v>1920</v>
      </c>
      <c r="CO15" s="69" t="s">
        <v>661</v>
      </c>
      <c r="CP15" s="69">
        <v>15</v>
      </c>
      <c r="CQ15" s="69"/>
      <c r="CR15" s="69"/>
      <c r="CS15" s="69" t="s">
        <v>661</v>
      </c>
      <c r="CT15" s="69">
        <v>30</v>
      </c>
      <c r="CU15" s="69"/>
      <c r="CV15" s="69"/>
      <c r="CW15" s="69"/>
      <c r="CX15" s="69"/>
      <c r="CY15" s="69"/>
      <c r="CZ15" s="69"/>
      <c r="DA15" s="69"/>
      <c r="DB15" s="69"/>
      <c r="DC15" s="69"/>
      <c r="DD15" s="69"/>
    </row>
    <row r="16" spans="1:108" ht="16.5" x14ac:dyDescent="0.2">
      <c r="A16" s="18">
        <v>12</v>
      </c>
      <c r="B16" s="26">
        <v>5</v>
      </c>
      <c r="C16" s="38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0">
        <v>6</v>
      </c>
      <c r="M16" s="38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8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0">
        <v>7</v>
      </c>
      <c r="AG16" s="38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69">
        <v>11</v>
      </c>
      <c r="BR16" s="69">
        <v>103</v>
      </c>
      <c r="BS16" s="69">
        <v>1606013</v>
      </c>
      <c r="BT16" s="69" t="s">
        <v>619</v>
      </c>
      <c r="BU16" s="69">
        <v>2</v>
      </c>
      <c r="BV16" s="69">
        <v>21</v>
      </c>
      <c r="BW16" s="69">
        <f>SUM(BV$5:BV16)</f>
        <v>183</v>
      </c>
      <c r="CF16" s="69">
        <v>12</v>
      </c>
      <c r="CG16" s="69">
        <v>1</v>
      </c>
      <c r="CH16" s="69" t="s">
        <v>451</v>
      </c>
      <c r="CI16" s="69">
        <v>12</v>
      </c>
      <c r="CJ16" s="69"/>
      <c r="CK16" s="69"/>
      <c r="CL16" s="69"/>
      <c r="CM16" s="69" t="s">
        <v>660</v>
      </c>
      <c r="CN16" s="69">
        <v>1920</v>
      </c>
      <c r="CO16" s="69" t="s">
        <v>661</v>
      </c>
      <c r="CP16" s="69">
        <v>15</v>
      </c>
      <c r="CQ16" s="69"/>
      <c r="CR16" s="69"/>
      <c r="CS16" s="69" t="s">
        <v>661</v>
      </c>
      <c r="CT16" s="69">
        <v>30</v>
      </c>
      <c r="CU16" s="69"/>
      <c r="CV16" s="69"/>
      <c r="CW16" s="69"/>
      <c r="CX16" s="69"/>
      <c r="CY16" s="69"/>
      <c r="CZ16" s="69"/>
      <c r="DA16" s="69"/>
      <c r="DB16" s="69"/>
      <c r="DC16" s="69"/>
      <c r="DD16" s="69"/>
    </row>
    <row r="17" spans="1:108" ht="16.5" x14ac:dyDescent="0.2">
      <c r="A17" s="18">
        <v>13</v>
      </c>
      <c r="B17" s="26">
        <v>5</v>
      </c>
      <c r="C17" s="38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0">
        <v>6</v>
      </c>
      <c r="M17" s="38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8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0">
        <v>7</v>
      </c>
      <c r="AG17" s="38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69">
        <v>12</v>
      </c>
      <c r="BR17" s="69">
        <v>103</v>
      </c>
      <c r="BS17" s="69">
        <v>1606014</v>
      </c>
      <c r="BT17" s="69" t="s">
        <v>620</v>
      </c>
      <c r="BU17" s="69">
        <v>3</v>
      </c>
      <c r="BV17" s="69">
        <v>21</v>
      </c>
      <c r="BW17" s="69">
        <f>SUM(BV$5:BV17)</f>
        <v>204</v>
      </c>
      <c r="CF17" s="69">
        <v>13</v>
      </c>
      <c r="CG17" s="69">
        <v>1</v>
      </c>
      <c r="CH17" s="69" t="s">
        <v>451</v>
      </c>
      <c r="CI17" s="69">
        <v>13</v>
      </c>
      <c r="CJ17" s="69"/>
      <c r="CK17" s="69"/>
      <c r="CL17" s="69"/>
      <c r="CM17" s="69" t="s">
        <v>660</v>
      </c>
      <c r="CN17" s="69">
        <v>1920</v>
      </c>
      <c r="CO17" s="69" t="s">
        <v>661</v>
      </c>
      <c r="CP17" s="69">
        <v>15</v>
      </c>
      <c r="CQ17" s="69"/>
      <c r="CR17" s="69"/>
      <c r="CS17" s="69" t="s">
        <v>661</v>
      </c>
      <c r="CT17" s="69">
        <v>30</v>
      </c>
      <c r="CU17" s="69"/>
      <c r="CV17" s="69"/>
      <c r="CW17" s="69"/>
      <c r="CX17" s="69"/>
      <c r="CY17" s="69"/>
      <c r="CZ17" s="69"/>
      <c r="DA17" s="69"/>
      <c r="DB17" s="69"/>
      <c r="DC17" s="69"/>
      <c r="DD17" s="69"/>
    </row>
    <row r="18" spans="1:108" ht="16.5" x14ac:dyDescent="0.2">
      <c r="A18" s="18">
        <v>14</v>
      </c>
      <c r="B18" s="26">
        <v>5</v>
      </c>
      <c r="C18" s="38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0">
        <v>6</v>
      </c>
      <c r="M18" s="38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8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0">
        <v>7</v>
      </c>
      <c r="AG18" s="38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69">
        <v>13</v>
      </c>
      <c r="BR18" s="69">
        <v>103</v>
      </c>
      <c r="BS18" s="69">
        <v>1606015</v>
      </c>
      <c r="BT18" s="69" t="s">
        <v>621</v>
      </c>
      <c r="BU18" s="69">
        <v>3</v>
      </c>
      <c r="BV18" s="69">
        <v>21</v>
      </c>
      <c r="BW18" s="69">
        <f>SUM(BV$5:BV18)</f>
        <v>225</v>
      </c>
      <c r="CF18" s="69">
        <v>14</v>
      </c>
      <c r="CG18" s="69">
        <v>1</v>
      </c>
      <c r="CH18" s="69" t="s">
        <v>451</v>
      </c>
      <c r="CI18" s="69">
        <v>14</v>
      </c>
      <c r="CJ18" s="69"/>
      <c r="CK18" s="69"/>
      <c r="CL18" s="69"/>
      <c r="CM18" s="69" t="s">
        <v>660</v>
      </c>
      <c r="CN18" s="69">
        <v>1920</v>
      </c>
      <c r="CO18" s="69" t="s">
        <v>661</v>
      </c>
      <c r="CP18" s="69">
        <v>15</v>
      </c>
      <c r="CQ18" s="69"/>
      <c r="CR18" s="69"/>
      <c r="CS18" s="69" t="s">
        <v>661</v>
      </c>
      <c r="CT18" s="69">
        <v>30</v>
      </c>
      <c r="CU18" s="69"/>
      <c r="CV18" s="69"/>
      <c r="CW18" s="69"/>
      <c r="CX18" s="69"/>
      <c r="CY18" s="69"/>
      <c r="CZ18" s="69"/>
      <c r="DA18" s="69"/>
      <c r="DB18" s="69"/>
      <c r="DC18" s="69"/>
      <c r="DD18" s="69"/>
    </row>
    <row r="19" spans="1:108" ht="16.5" x14ac:dyDescent="0.2">
      <c r="A19" s="18">
        <v>15</v>
      </c>
      <c r="B19" s="26">
        <v>5</v>
      </c>
      <c r="C19" s="38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0">
        <v>6</v>
      </c>
      <c r="M19" s="38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8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0">
        <v>7</v>
      </c>
      <c r="AG19" s="38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69">
        <v>14</v>
      </c>
      <c r="BR19" s="69">
        <v>103</v>
      </c>
      <c r="BS19" s="69">
        <v>1606016</v>
      </c>
      <c r="BT19" s="69" t="s">
        <v>622</v>
      </c>
      <c r="BU19" s="69">
        <v>4</v>
      </c>
      <c r="BV19" s="69">
        <v>21</v>
      </c>
      <c r="BW19" s="69">
        <f>SUM(BV$5:BV19)</f>
        <v>246</v>
      </c>
      <c r="CF19" s="69">
        <v>15</v>
      </c>
      <c r="CG19" s="69">
        <v>1</v>
      </c>
      <c r="CH19" s="69" t="s">
        <v>451</v>
      </c>
      <c r="CI19" s="69">
        <v>15</v>
      </c>
      <c r="CJ19" s="69"/>
      <c r="CK19" s="69"/>
      <c r="CL19" s="69"/>
      <c r="CM19" s="69" t="s">
        <v>660</v>
      </c>
      <c r="CN19" s="69">
        <v>1920</v>
      </c>
      <c r="CO19" s="69" t="s">
        <v>661</v>
      </c>
      <c r="CP19" s="69">
        <v>15</v>
      </c>
      <c r="CQ19" s="69" t="s">
        <v>662</v>
      </c>
      <c r="CR19" s="69">
        <v>2</v>
      </c>
      <c r="CS19" s="69" t="s">
        <v>661</v>
      </c>
      <c r="CT19" s="69">
        <v>35</v>
      </c>
      <c r="CU19" s="69"/>
      <c r="CV19" s="69"/>
      <c r="CW19" s="69"/>
      <c r="CX19" s="69"/>
      <c r="CY19" s="69"/>
      <c r="CZ19" s="69"/>
      <c r="DA19" s="69"/>
      <c r="DB19" s="69"/>
      <c r="DC19" s="69"/>
      <c r="DD19" s="69"/>
    </row>
    <row r="20" spans="1:108" ht="16.5" x14ac:dyDescent="0.2">
      <c r="A20" s="18">
        <v>16</v>
      </c>
      <c r="B20" s="60">
        <v>5</v>
      </c>
      <c r="C20" s="38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0">
        <v>6</v>
      </c>
      <c r="M20" s="38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8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0">
        <v>8</v>
      </c>
      <c r="AG20" s="38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69">
        <v>15</v>
      </c>
      <c r="BR20" s="69">
        <v>104</v>
      </c>
      <c r="BS20" s="69">
        <v>1606017</v>
      </c>
      <c r="BT20" s="69" t="s">
        <v>623</v>
      </c>
      <c r="BU20" s="69">
        <v>1</v>
      </c>
      <c r="BV20" s="69">
        <v>21</v>
      </c>
      <c r="BW20" s="69">
        <f>SUM(BV$5:BV20)</f>
        <v>267</v>
      </c>
      <c r="CF20" s="69">
        <v>16</v>
      </c>
      <c r="CG20" s="69">
        <v>1</v>
      </c>
      <c r="CH20" s="69" t="s">
        <v>451</v>
      </c>
      <c r="CI20" s="69">
        <v>16</v>
      </c>
      <c r="CJ20" s="69"/>
      <c r="CK20" s="69"/>
      <c r="CL20" s="69"/>
      <c r="CM20" s="69" t="s">
        <v>660</v>
      </c>
      <c r="CN20" s="69">
        <v>1920</v>
      </c>
      <c r="CO20" s="69" t="s">
        <v>661</v>
      </c>
      <c r="CP20" s="69">
        <v>20</v>
      </c>
      <c r="CQ20" s="69"/>
      <c r="CR20" s="69"/>
      <c r="CS20" s="69" t="s">
        <v>661</v>
      </c>
      <c r="CT20" s="69">
        <v>35</v>
      </c>
      <c r="CU20" s="69"/>
      <c r="CV20" s="69"/>
      <c r="CW20" s="69"/>
      <c r="CX20" s="69"/>
      <c r="CY20" s="69"/>
      <c r="CZ20" s="69"/>
      <c r="DA20" s="69"/>
      <c r="DB20" s="69"/>
      <c r="DC20" s="69"/>
      <c r="DD20" s="69"/>
    </row>
    <row r="21" spans="1:108" ht="16.5" x14ac:dyDescent="0.2">
      <c r="A21" s="18">
        <v>17</v>
      </c>
      <c r="B21" s="60">
        <v>5</v>
      </c>
      <c r="C21" s="38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0">
        <v>6</v>
      </c>
      <c r="M21" s="38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0">
        <v>8</v>
      </c>
      <c r="W21" s="38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0">
        <v>8</v>
      </c>
      <c r="AG21" s="38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69">
        <v>16</v>
      </c>
      <c r="BR21" s="69">
        <v>104</v>
      </c>
      <c r="BS21" s="69">
        <v>1606018</v>
      </c>
      <c r="BT21" s="69" t="s">
        <v>624</v>
      </c>
      <c r="BU21" s="69">
        <v>1</v>
      </c>
      <c r="BV21" s="69">
        <v>21</v>
      </c>
      <c r="BW21" s="69">
        <f>SUM(BV$5:BV21)</f>
        <v>288</v>
      </c>
      <c r="CF21" s="69">
        <v>17</v>
      </c>
      <c r="CG21" s="69">
        <v>1</v>
      </c>
      <c r="CH21" s="69" t="s">
        <v>451</v>
      </c>
      <c r="CI21" s="69">
        <v>17</v>
      </c>
      <c r="CJ21" s="69"/>
      <c r="CK21" s="69"/>
      <c r="CL21" s="69"/>
      <c r="CM21" s="69" t="s">
        <v>660</v>
      </c>
      <c r="CN21" s="69">
        <v>1920</v>
      </c>
      <c r="CO21" s="69" t="s">
        <v>661</v>
      </c>
      <c r="CP21" s="69">
        <v>20</v>
      </c>
      <c r="CQ21" s="69"/>
      <c r="CR21" s="69"/>
      <c r="CS21" s="69" t="s">
        <v>661</v>
      </c>
      <c r="CT21" s="69">
        <v>35</v>
      </c>
      <c r="CU21" s="69"/>
      <c r="CV21" s="69"/>
      <c r="CW21" s="69"/>
      <c r="CX21" s="69"/>
      <c r="CY21" s="69"/>
      <c r="CZ21" s="69"/>
      <c r="DA21" s="69"/>
      <c r="DB21" s="69"/>
      <c r="DC21" s="69"/>
      <c r="DD21" s="69"/>
    </row>
    <row r="22" spans="1:108" ht="16.5" x14ac:dyDescent="0.2">
      <c r="A22" s="18">
        <v>18</v>
      </c>
      <c r="B22" s="60">
        <v>5</v>
      </c>
      <c r="C22" s="38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0">
        <v>6</v>
      </c>
      <c r="M22" s="38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0">
        <v>8</v>
      </c>
      <c r="W22" s="38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0">
        <v>8</v>
      </c>
      <c r="AG22" s="38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69">
        <v>17</v>
      </c>
      <c r="BR22" s="69">
        <v>104</v>
      </c>
      <c r="BS22" s="69">
        <v>1606019</v>
      </c>
      <c r="BT22" s="69" t="s">
        <v>625</v>
      </c>
      <c r="BU22" s="69">
        <v>2</v>
      </c>
      <c r="BV22" s="69">
        <v>21</v>
      </c>
      <c r="BW22" s="69">
        <f>SUM(BV$5:BV22)</f>
        <v>309</v>
      </c>
      <c r="CF22" s="69">
        <v>18</v>
      </c>
      <c r="CG22" s="69">
        <v>1</v>
      </c>
      <c r="CH22" s="69" t="s">
        <v>451</v>
      </c>
      <c r="CI22" s="69">
        <v>18</v>
      </c>
      <c r="CJ22" s="69"/>
      <c r="CK22" s="69"/>
      <c r="CL22" s="69"/>
      <c r="CM22" s="69" t="s">
        <v>660</v>
      </c>
      <c r="CN22" s="69">
        <v>1920</v>
      </c>
      <c r="CO22" s="69" t="s">
        <v>661</v>
      </c>
      <c r="CP22" s="69">
        <v>20</v>
      </c>
      <c r="CQ22" s="69"/>
      <c r="CR22" s="69"/>
      <c r="CS22" s="69" t="s">
        <v>661</v>
      </c>
      <c r="CT22" s="69">
        <v>35</v>
      </c>
      <c r="CU22" s="69"/>
      <c r="CV22" s="69"/>
      <c r="CW22" s="69"/>
      <c r="CX22" s="69"/>
      <c r="CY22" s="69"/>
      <c r="CZ22" s="69"/>
      <c r="DA22" s="69"/>
      <c r="DB22" s="69"/>
      <c r="DC22" s="69"/>
      <c r="DD22" s="69"/>
    </row>
    <row r="23" spans="1:108" ht="16.5" x14ac:dyDescent="0.2">
      <c r="A23" s="18">
        <v>19</v>
      </c>
      <c r="B23" s="60">
        <v>5</v>
      </c>
      <c r="C23" s="38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0">
        <v>6</v>
      </c>
      <c r="M23" s="38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0">
        <v>8</v>
      </c>
      <c r="W23" s="38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0">
        <v>8</v>
      </c>
      <c r="AG23" s="38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69">
        <v>18</v>
      </c>
      <c r="BR23" s="69">
        <v>104</v>
      </c>
      <c r="BS23" s="69">
        <v>1606020</v>
      </c>
      <c r="BT23" s="69" t="s">
        <v>626</v>
      </c>
      <c r="BU23" s="69">
        <v>2</v>
      </c>
      <c r="BV23" s="69">
        <v>21</v>
      </c>
      <c r="BW23" s="69">
        <f>SUM(BV$5:BV23)</f>
        <v>330</v>
      </c>
      <c r="CF23" s="69">
        <v>19</v>
      </c>
      <c r="CG23" s="69">
        <v>1</v>
      </c>
      <c r="CH23" s="69" t="s">
        <v>451</v>
      </c>
      <c r="CI23" s="69">
        <v>19</v>
      </c>
      <c r="CJ23" s="69"/>
      <c r="CK23" s="69"/>
      <c r="CL23" s="69"/>
      <c r="CM23" s="69" t="s">
        <v>660</v>
      </c>
      <c r="CN23" s="69">
        <v>1920</v>
      </c>
      <c r="CO23" s="69" t="s">
        <v>661</v>
      </c>
      <c r="CP23" s="69">
        <v>20</v>
      </c>
      <c r="CQ23" s="69"/>
      <c r="CR23" s="69"/>
      <c r="CS23" s="69" t="s">
        <v>661</v>
      </c>
      <c r="CT23" s="69">
        <v>35</v>
      </c>
      <c r="CU23" s="69"/>
      <c r="CV23" s="69"/>
      <c r="CW23" s="69"/>
      <c r="CX23" s="69"/>
      <c r="CY23" s="69"/>
      <c r="CZ23" s="69"/>
      <c r="DA23" s="69"/>
      <c r="DB23" s="69"/>
      <c r="DC23" s="69"/>
      <c r="DD23" s="69"/>
    </row>
    <row r="24" spans="1:108" ht="16.5" x14ac:dyDescent="0.2">
      <c r="A24" s="18">
        <v>20</v>
      </c>
      <c r="B24" s="60">
        <v>5</v>
      </c>
      <c r="C24" s="38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0">
        <v>7</v>
      </c>
      <c r="M24" s="38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8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0">
        <v>9</v>
      </c>
      <c r="AG24" s="38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69">
        <v>19</v>
      </c>
      <c r="BR24" s="69">
        <v>104</v>
      </c>
      <c r="BS24" s="69">
        <v>1606021</v>
      </c>
      <c r="BT24" s="69" t="s">
        <v>627</v>
      </c>
      <c r="BU24" s="69">
        <v>2</v>
      </c>
      <c r="BV24" s="69">
        <v>21</v>
      </c>
      <c r="BW24" s="69">
        <f>SUM(BV$5:BV24)</f>
        <v>351</v>
      </c>
      <c r="CF24" s="69">
        <v>20</v>
      </c>
      <c r="CG24" s="69">
        <v>1</v>
      </c>
      <c r="CH24" s="69" t="s">
        <v>451</v>
      </c>
      <c r="CI24" s="69">
        <v>20</v>
      </c>
      <c r="CJ24" s="69"/>
      <c r="CK24" s="69"/>
      <c r="CL24" s="69"/>
      <c r="CM24" s="69" t="s">
        <v>660</v>
      </c>
      <c r="CN24" s="69">
        <v>1920</v>
      </c>
      <c r="CO24" s="69" t="s">
        <v>661</v>
      </c>
      <c r="CP24" s="69">
        <v>20</v>
      </c>
      <c r="CQ24" s="69" t="s">
        <v>487</v>
      </c>
      <c r="CR24" s="69">
        <v>2</v>
      </c>
      <c r="CS24" s="69" t="s">
        <v>661</v>
      </c>
      <c r="CT24" s="69">
        <v>40</v>
      </c>
      <c r="CU24" s="69"/>
      <c r="CV24" s="69"/>
      <c r="CW24" s="69"/>
      <c r="CX24" s="69"/>
      <c r="CY24" s="69"/>
      <c r="CZ24" s="69"/>
      <c r="DA24" s="69"/>
      <c r="DB24" s="69"/>
      <c r="DC24" s="69"/>
      <c r="DD24" s="69"/>
    </row>
    <row r="25" spans="1:108" ht="16.5" x14ac:dyDescent="0.2">
      <c r="A25" s="18">
        <v>21</v>
      </c>
      <c r="B25" s="26">
        <v>6</v>
      </c>
      <c r="C25" s="38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8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0">
        <v>9</v>
      </c>
      <c r="W25" s="38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0">
        <v>9</v>
      </c>
      <c r="AG25" s="38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69">
        <v>20</v>
      </c>
      <c r="BR25" s="69">
        <v>104</v>
      </c>
      <c r="BS25" s="69">
        <v>1606022</v>
      </c>
      <c r="BT25" s="69" t="s">
        <v>628</v>
      </c>
      <c r="BU25" s="69">
        <v>3</v>
      </c>
      <c r="BV25" s="69">
        <v>21</v>
      </c>
      <c r="BW25" s="69">
        <f>SUM(BV$5:BV25)</f>
        <v>372</v>
      </c>
      <c r="CF25" s="69">
        <v>21</v>
      </c>
      <c r="CG25" s="69">
        <v>1</v>
      </c>
      <c r="CH25" s="69" t="s">
        <v>451</v>
      </c>
      <c r="CI25" s="69">
        <v>21</v>
      </c>
      <c r="CJ25" s="69"/>
      <c r="CK25" s="69"/>
      <c r="CL25" s="69"/>
      <c r="CM25" s="69" t="s">
        <v>660</v>
      </c>
      <c r="CN25" s="69">
        <v>2400</v>
      </c>
      <c r="CO25" s="69" t="s">
        <v>661</v>
      </c>
      <c r="CP25" s="69">
        <v>25</v>
      </c>
      <c r="CQ25" s="69"/>
      <c r="CR25" s="69"/>
      <c r="CS25" s="69" t="s">
        <v>661</v>
      </c>
      <c r="CT25" s="69">
        <v>40</v>
      </c>
      <c r="CU25" s="69"/>
      <c r="CV25" s="69"/>
      <c r="CW25" s="69"/>
      <c r="CX25" s="69"/>
      <c r="CY25" s="69"/>
      <c r="CZ25" s="69"/>
      <c r="DA25" s="69"/>
      <c r="DB25" s="69"/>
      <c r="DC25" s="69"/>
      <c r="DD25" s="69"/>
    </row>
    <row r="26" spans="1:108" ht="16.5" x14ac:dyDescent="0.2">
      <c r="A26" s="18">
        <v>22</v>
      </c>
      <c r="B26" s="60">
        <v>6</v>
      </c>
      <c r="C26" s="38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0">
        <v>7</v>
      </c>
      <c r="M26" s="38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0">
        <v>9</v>
      </c>
      <c r="W26" s="38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0">
        <v>9</v>
      </c>
      <c r="AG26" s="38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69">
        <v>21</v>
      </c>
      <c r="BR26" s="69">
        <v>105</v>
      </c>
      <c r="BS26" s="69">
        <v>1606023</v>
      </c>
      <c r="BT26" s="69" t="s">
        <v>629</v>
      </c>
      <c r="BU26" s="69">
        <v>1</v>
      </c>
      <c r="BV26" s="69">
        <v>21</v>
      </c>
      <c r="BW26" s="69">
        <f>SUM(BV$5:BV26)</f>
        <v>393</v>
      </c>
      <c r="CF26" s="69">
        <v>22</v>
      </c>
      <c r="CG26" s="69">
        <v>1</v>
      </c>
      <c r="CH26" s="69" t="s">
        <v>451</v>
      </c>
      <c r="CI26" s="69">
        <v>22</v>
      </c>
      <c r="CJ26" s="69"/>
      <c r="CK26" s="69"/>
      <c r="CL26" s="69"/>
      <c r="CM26" s="69" t="s">
        <v>660</v>
      </c>
      <c r="CN26" s="69">
        <v>2400</v>
      </c>
      <c r="CO26" s="69" t="s">
        <v>661</v>
      </c>
      <c r="CP26" s="69">
        <v>25</v>
      </c>
      <c r="CQ26" s="69"/>
      <c r="CR26" s="69"/>
      <c r="CS26" s="69" t="s">
        <v>661</v>
      </c>
      <c r="CT26" s="69">
        <v>40</v>
      </c>
      <c r="CU26" s="69"/>
      <c r="CV26" s="69"/>
      <c r="CW26" s="69"/>
      <c r="CX26" s="69"/>
      <c r="CY26" s="69"/>
      <c r="CZ26" s="69"/>
      <c r="DA26" s="69"/>
      <c r="DB26" s="69"/>
      <c r="DC26" s="69"/>
      <c r="DD26" s="69"/>
    </row>
    <row r="27" spans="1:108" ht="16.5" x14ac:dyDescent="0.2">
      <c r="A27" s="18">
        <v>23</v>
      </c>
      <c r="B27" s="60">
        <v>6</v>
      </c>
      <c r="C27" s="38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0">
        <v>7</v>
      </c>
      <c r="M27" s="38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0">
        <v>9</v>
      </c>
      <c r="W27" s="38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0">
        <v>9</v>
      </c>
      <c r="AG27" s="38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69">
        <v>22</v>
      </c>
      <c r="BR27" s="69">
        <v>105</v>
      </c>
      <c r="BS27" s="69">
        <v>1606024</v>
      </c>
      <c r="BT27" s="69" t="s">
        <v>630</v>
      </c>
      <c r="BU27" s="69">
        <v>1</v>
      </c>
      <c r="BV27" s="69">
        <v>21</v>
      </c>
      <c r="BW27" s="69">
        <f>SUM(BV$5:BV27)</f>
        <v>414</v>
      </c>
      <c r="CF27" s="69">
        <v>23</v>
      </c>
      <c r="CG27" s="69">
        <v>1</v>
      </c>
      <c r="CH27" s="69" t="s">
        <v>451</v>
      </c>
      <c r="CI27" s="69">
        <v>23</v>
      </c>
      <c r="CJ27" s="69"/>
      <c r="CK27" s="69"/>
      <c r="CL27" s="69"/>
      <c r="CM27" s="69" t="s">
        <v>660</v>
      </c>
      <c r="CN27" s="69">
        <v>2400</v>
      </c>
      <c r="CO27" s="69" t="s">
        <v>661</v>
      </c>
      <c r="CP27" s="69">
        <v>25</v>
      </c>
      <c r="CQ27" s="69"/>
      <c r="CR27" s="69"/>
      <c r="CS27" s="69" t="s">
        <v>661</v>
      </c>
      <c r="CT27" s="69">
        <v>40</v>
      </c>
      <c r="CU27" s="69"/>
      <c r="CV27" s="69"/>
      <c r="CW27" s="69"/>
      <c r="CX27" s="69"/>
      <c r="CY27" s="69"/>
      <c r="CZ27" s="69"/>
      <c r="DA27" s="69"/>
      <c r="DB27" s="69"/>
      <c r="DC27" s="69"/>
      <c r="DD27" s="69"/>
    </row>
    <row r="28" spans="1:108" ht="16.5" x14ac:dyDescent="0.2">
      <c r="A28" s="18">
        <v>24</v>
      </c>
      <c r="B28" s="60">
        <v>6</v>
      </c>
      <c r="C28" s="38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0">
        <v>7</v>
      </c>
      <c r="M28" s="38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0">
        <v>9</v>
      </c>
      <c r="W28" s="38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0">
        <v>9</v>
      </c>
      <c r="AG28" s="38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69">
        <v>23</v>
      </c>
      <c r="BR28" s="69">
        <v>105</v>
      </c>
      <c r="BS28" s="69">
        <v>1606025</v>
      </c>
      <c r="BT28" s="69" t="s">
        <v>631</v>
      </c>
      <c r="BU28" s="69">
        <v>2</v>
      </c>
      <c r="BV28" s="69">
        <v>21</v>
      </c>
      <c r="BW28" s="69">
        <f>SUM(BV$5:BV28)</f>
        <v>435</v>
      </c>
      <c r="CF28" s="69">
        <v>24</v>
      </c>
      <c r="CG28" s="69">
        <v>1</v>
      </c>
      <c r="CH28" s="69" t="s">
        <v>451</v>
      </c>
      <c r="CI28" s="69">
        <v>24</v>
      </c>
      <c r="CJ28" s="69"/>
      <c r="CK28" s="69"/>
      <c r="CL28" s="69"/>
      <c r="CM28" s="69" t="s">
        <v>660</v>
      </c>
      <c r="CN28" s="69">
        <v>2400</v>
      </c>
      <c r="CO28" s="69" t="s">
        <v>661</v>
      </c>
      <c r="CP28" s="69">
        <v>25</v>
      </c>
      <c r="CQ28" s="69"/>
      <c r="CR28" s="69"/>
      <c r="CS28" s="69" t="s">
        <v>661</v>
      </c>
      <c r="CT28" s="69">
        <v>40</v>
      </c>
      <c r="CU28" s="69"/>
      <c r="CV28" s="69"/>
      <c r="CW28" s="69"/>
      <c r="CX28" s="69"/>
      <c r="CY28" s="69"/>
      <c r="CZ28" s="69"/>
      <c r="DA28" s="69"/>
      <c r="DB28" s="69"/>
      <c r="DC28" s="69"/>
      <c r="DD28" s="69"/>
    </row>
    <row r="29" spans="1:108" ht="16.5" x14ac:dyDescent="0.2">
      <c r="A29" s="18">
        <v>25</v>
      </c>
      <c r="B29" s="60">
        <v>6</v>
      </c>
      <c r="C29" s="38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0">
        <v>7</v>
      </c>
      <c r="M29" s="38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0">
        <v>9</v>
      </c>
      <c r="W29" s="38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0">
        <v>9</v>
      </c>
      <c r="AG29" s="38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69">
        <v>24</v>
      </c>
      <c r="BR29" s="69">
        <v>105</v>
      </c>
      <c r="BS29" s="69">
        <v>1606026</v>
      </c>
      <c r="BT29" s="69" t="s">
        <v>632</v>
      </c>
      <c r="BU29" s="69">
        <v>2</v>
      </c>
      <c r="BV29" s="69">
        <v>21</v>
      </c>
      <c r="BW29" s="69">
        <f>SUM(BV$5:BV29)</f>
        <v>456</v>
      </c>
      <c r="CF29" s="69">
        <v>25</v>
      </c>
      <c r="CG29" s="69">
        <v>1</v>
      </c>
      <c r="CH29" s="69" t="s">
        <v>451</v>
      </c>
      <c r="CI29" s="69">
        <v>25</v>
      </c>
      <c r="CJ29" s="69"/>
      <c r="CK29" s="69"/>
      <c r="CL29" s="69"/>
      <c r="CM29" s="69" t="s">
        <v>660</v>
      </c>
      <c r="CN29" s="69">
        <v>2400</v>
      </c>
      <c r="CO29" s="69" t="s">
        <v>661</v>
      </c>
      <c r="CP29" s="69">
        <v>25</v>
      </c>
      <c r="CQ29" s="69" t="s">
        <v>662</v>
      </c>
      <c r="CR29" s="69">
        <v>2</v>
      </c>
      <c r="CS29" s="69" t="s">
        <v>661</v>
      </c>
      <c r="CT29" s="69">
        <v>45</v>
      </c>
      <c r="CU29" s="69"/>
      <c r="CV29" s="69"/>
      <c r="CW29" s="69"/>
      <c r="CX29" s="69"/>
      <c r="CY29" s="69"/>
      <c r="CZ29" s="69"/>
      <c r="DA29" s="69"/>
      <c r="DB29" s="69"/>
      <c r="DC29" s="69"/>
      <c r="DD29" s="69"/>
    </row>
    <row r="30" spans="1:108" ht="16.5" x14ac:dyDescent="0.2">
      <c r="A30" s="18">
        <v>26</v>
      </c>
      <c r="B30" s="60">
        <v>6</v>
      </c>
      <c r="C30" s="38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0">
        <v>7</v>
      </c>
      <c r="M30" s="38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0">
        <v>9</v>
      </c>
      <c r="W30" s="38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0">
        <v>9</v>
      </c>
      <c r="AG30" s="38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69">
        <v>25</v>
      </c>
      <c r="BR30" s="69">
        <v>105</v>
      </c>
      <c r="BS30" s="69">
        <v>1606027</v>
      </c>
      <c r="BT30" s="69" t="s">
        <v>633</v>
      </c>
      <c r="BU30" s="69">
        <v>2</v>
      </c>
      <c r="BV30" s="69">
        <v>21</v>
      </c>
      <c r="BW30" s="69">
        <f>SUM(BV$5:BV30)</f>
        <v>477</v>
      </c>
      <c r="CF30" s="69">
        <v>26</v>
      </c>
      <c r="CG30" s="69">
        <v>1</v>
      </c>
      <c r="CH30" s="69" t="s">
        <v>451</v>
      </c>
      <c r="CI30" s="69">
        <v>26</v>
      </c>
      <c r="CJ30" s="69"/>
      <c r="CK30" s="69"/>
      <c r="CL30" s="69"/>
      <c r="CM30" s="69" t="s">
        <v>660</v>
      </c>
      <c r="CN30" s="69">
        <v>2400</v>
      </c>
      <c r="CO30" s="69" t="s">
        <v>661</v>
      </c>
      <c r="CP30" s="69">
        <v>30</v>
      </c>
      <c r="CQ30" s="69"/>
      <c r="CR30" s="69"/>
      <c r="CS30" s="69" t="s">
        <v>661</v>
      </c>
      <c r="CT30" s="69">
        <v>45</v>
      </c>
      <c r="CU30" s="69"/>
      <c r="CV30" s="69"/>
      <c r="CW30" s="69"/>
      <c r="CX30" s="69"/>
      <c r="CY30" s="69"/>
      <c r="CZ30" s="69"/>
      <c r="DA30" s="69"/>
      <c r="DB30" s="69"/>
      <c r="DC30" s="69"/>
      <c r="DD30" s="69"/>
    </row>
    <row r="31" spans="1:108" ht="16.5" x14ac:dyDescent="0.2">
      <c r="A31" s="18">
        <v>27</v>
      </c>
      <c r="B31" s="60">
        <v>6</v>
      </c>
      <c r="C31" s="38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0">
        <v>7</v>
      </c>
      <c r="M31" s="38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0">
        <v>9</v>
      </c>
      <c r="W31" s="38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0">
        <v>9</v>
      </c>
      <c r="AG31" s="38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69">
        <v>26</v>
      </c>
      <c r="BR31" s="69">
        <v>105</v>
      </c>
      <c r="BS31" s="69">
        <v>1606028</v>
      </c>
      <c r="BT31" s="69" t="s">
        <v>634</v>
      </c>
      <c r="BU31" s="69">
        <v>3</v>
      </c>
      <c r="BV31" s="69">
        <v>21</v>
      </c>
      <c r="BW31" s="69">
        <f>SUM(BV$5:BV31)</f>
        <v>498</v>
      </c>
      <c r="CF31" s="69">
        <v>27</v>
      </c>
      <c r="CG31" s="69">
        <v>1</v>
      </c>
      <c r="CH31" s="69" t="s">
        <v>451</v>
      </c>
      <c r="CI31" s="69">
        <v>27</v>
      </c>
      <c r="CJ31" s="69"/>
      <c r="CK31" s="69"/>
      <c r="CL31" s="69"/>
      <c r="CM31" s="69" t="s">
        <v>660</v>
      </c>
      <c r="CN31" s="69">
        <v>2400</v>
      </c>
      <c r="CO31" s="69" t="s">
        <v>661</v>
      </c>
      <c r="CP31" s="69">
        <v>30</v>
      </c>
      <c r="CQ31" s="69"/>
      <c r="CR31" s="69"/>
      <c r="CS31" s="69" t="s">
        <v>661</v>
      </c>
      <c r="CT31" s="69">
        <v>45</v>
      </c>
      <c r="CU31" s="69"/>
      <c r="CV31" s="69"/>
      <c r="CW31" s="69"/>
      <c r="CX31" s="69"/>
      <c r="CY31" s="69"/>
      <c r="CZ31" s="69"/>
      <c r="DA31" s="69"/>
      <c r="DB31" s="69"/>
      <c r="DC31" s="69"/>
      <c r="DD31" s="69"/>
    </row>
    <row r="32" spans="1:108" ht="16.5" x14ac:dyDescent="0.2">
      <c r="A32" s="18">
        <v>28</v>
      </c>
      <c r="B32" s="60">
        <v>6</v>
      </c>
      <c r="C32" s="38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0">
        <v>7</v>
      </c>
      <c r="M32" s="38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0">
        <v>9</v>
      </c>
      <c r="W32" s="38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0">
        <v>9</v>
      </c>
      <c r="AG32" s="38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69">
        <v>27</v>
      </c>
      <c r="BR32" s="69">
        <v>106</v>
      </c>
      <c r="BS32" s="69">
        <v>1606029</v>
      </c>
      <c r="BT32" s="69" t="s">
        <v>635</v>
      </c>
      <c r="BU32" s="69">
        <v>2</v>
      </c>
      <c r="BV32" s="69">
        <v>21</v>
      </c>
      <c r="BW32" s="69">
        <f>SUM(BV$5:BV32)</f>
        <v>519</v>
      </c>
      <c r="CF32" s="69">
        <v>28</v>
      </c>
      <c r="CG32" s="69">
        <v>1</v>
      </c>
      <c r="CH32" s="69" t="s">
        <v>451</v>
      </c>
      <c r="CI32" s="69">
        <v>28</v>
      </c>
      <c r="CJ32" s="69"/>
      <c r="CK32" s="69"/>
      <c r="CL32" s="69"/>
      <c r="CM32" s="69" t="s">
        <v>660</v>
      </c>
      <c r="CN32" s="69">
        <v>2400</v>
      </c>
      <c r="CO32" s="69" t="s">
        <v>661</v>
      </c>
      <c r="CP32" s="69">
        <v>30</v>
      </c>
      <c r="CQ32" s="69"/>
      <c r="CR32" s="69"/>
      <c r="CS32" s="69" t="s">
        <v>661</v>
      </c>
      <c r="CT32" s="69">
        <v>45</v>
      </c>
      <c r="CU32" s="69"/>
      <c r="CV32" s="69"/>
      <c r="CW32" s="69"/>
      <c r="CX32" s="69"/>
      <c r="CY32" s="69"/>
      <c r="CZ32" s="69"/>
      <c r="DA32" s="69"/>
      <c r="DB32" s="69"/>
      <c r="DC32" s="69"/>
      <c r="DD32" s="69"/>
    </row>
    <row r="33" spans="1:108" ht="16.5" x14ac:dyDescent="0.2">
      <c r="A33" s="18">
        <v>29</v>
      </c>
      <c r="B33" s="60">
        <v>6</v>
      </c>
      <c r="C33" s="38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0">
        <v>7</v>
      </c>
      <c r="M33" s="38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0">
        <v>9</v>
      </c>
      <c r="W33" s="38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0">
        <v>9</v>
      </c>
      <c r="AG33" s="38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69">
        <v>28</v>
      </c>
      <c r="BR33" s="69">
        <v>106</v>
      </c>
      <c r="BS33" s="69">
        <v>1606030</v>
      </c>
      <c r="BT33" s="69" t="s">
        <v>636</v>
      </c>
      <c r="BU33" s="69">
        <v>2</v>
      </c>
      <c r="BV33" s="69">
        <v>21</v>
      </c>
      <c r="BW33" s="69">
        <f>SUM(BV$5:BV33)</f>
        <v>540</v>
      </c>
      <c r="CF33" s="69">
        <v>29</v>
      </c>
      <c r="CG33" s="69">
        <v>1</v>
      </c>
      <c r="CH33" s="69" t="s">
        <v>451</v>
      </c>
      <c r="CI33" s="69">
        <v>29</v>
      </c>
      <c r="CJ33" s="69"/>
      <c r="CK33" s="69"/>
      <c r="CL33" s="69"/>
      <c r="CM33" s="69" t="s">
        <v>660</v>
      </c>
      <c r="CN33" s="69">
        <v>2400</v>
      </c>
      <c r="CO33" s="69" t="s">
        <v>661</v>
      </c>
      <c r="CP33" s="69">
        <v>30</v>
      </c>
      <c r="CQ33" s="69"/>
      <c r="CR33" s="69"/>
      <c r="CS33" s="69" t="s">
        <v>661</v>
      </c>
      <c r="CT33" s="69">
        <v>45</v>
      </c>
      <c r="CU33" s="69"/>
      <c r="CV33" s="69"/>
      <c r="CW33" s="69"/>
      <c r="CX33" s="69"/>
      <c r="CY33" s="69"/>
      <c r="CZ33" s="69"/>
      <c r="DA33" s="69"/>
      <c r="DB33" s="69"/>
      <c r="DC33" s="69"/>
      <c r="DD33" s="69"/>
    </row>
    <row r="34" spans="1:108" ht="16.5" x14ac:dyDescent="0.2">
      <c r="A34" s="18">
        <v>30</v>
      </c>
      <c r="B34" s="60">
        <v>6</v>
      </c>
      <c r="C34" s="38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8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8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0">
        <v>10</v>
      </c>
      <c r="AG34" s="38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69">
        <v>29</v>
      </c>
      <c r="BR34" s="69">
        <v>106</v>
      </c>
      <c r="BS34" s="69">
        <v>1606031</v>
      </c>
      <c r="BT34" s="69" t="s">
        <v>637</v>
      </c>
      <c r="BU34" s="69">
        <v>2</v>
      </c>
      <c r="BV34" s="69">
        <v>21</v>
      </c>
      <c r="BW34" s="69">
        <f>SUM(BV$5:BV34)</f>
        <v>561</v>
      </c>
      <c r="CF34" s="69">
        <v>30</v>
      </c>
      <c r="CG34" s="69">
        <v>1</v>
      </c>
      <c r="CH34" s="69" t="s">
        <v>451</v>
      </c>
      <c r="CI34" s="69">
        <v>30</v>
      </c>
      <c r="CJ34" s="69"/>
      <c r="CK34" s="69"/>
      <c r="CL34" s="69"/>
      <c r="CM34" s="69" t="s">
        <v>660</v>
      </c>
      <c r="CN34" s="69">
        <v>2400</v>
      </c>
      <c r="CO34" s="69" t="s">
        <v>661</v>
      </c>
      <c r="CP34" s="69">
        <v>30</v>
      </c>
      <c r="CQ34" s="69" t="s">
        <v>487</v>
      </c>
      <c r="CR34" s="69">
        <v>2</v>
      </c>
      <c r="CS34" s="69" t="s">
        <v>661</v>
      </c>
      <c r="CT34" s="69">
        <v>50</v>
      </c>
      <c r="CU34" s="69"/>
      <c r="CV34" s="69"/>
      <c r="CW34" s="69"/>
      <c r="CX34" s="69"/>
      <c r="CY34" s="69"/>
      <c r="CZ34" s="69"/>
      <c r="DA34" s="69"/>
      <c r="DB34" s="69"/>
      <c r="DC34" s="69"/>
      <c r="DD34" s="69"/>
    </row>
    <row r="35" spans="1:108" ht="16.5" x14ac:dyDescent="0.2">
      <c r="A35" s="18">
        <v>31</v>
      </c>
      <c r="B35" s="60">
        <v>6</v>
      </c>
      <c r="C35" s="38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0">
        <v>8</v>
      </c>
      <c r="M35" s="38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0">
        <v>10</v>
      </c>
      <c r="W35" s="38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0">
        <v>10</v>
      </c>
      <c r="AG35" s="38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69">
        <v>30</v>
      </c>
      <c r="BR35" s="69">
        <v>106</v>
      </c>
      <c r="BS35" s="69">
        <v>1606032</v>
      </c>
      <c r="BT35" s="69" t="s">
        <v>638</v>
      </c>
      <c r="BU35" s="69">
        <v>3</v>
      </c>
      <c r="BV35" s="69">
        <v>21</v>
      </c>
      <c r="BW35" s="69">
        <f>SUM(BV$5:BV35)</f>
        <v>582</v>
      </c>
      <c r="CF35" s="69">
        <v>31</v>
      </c>
      <c r="CG35" s="69">
        <v>1</v>
      </c>
      <c r="CH35" s="69" t="s">
        <v>451</v>
      </c>
      <c r="CI35" s="69">
        <v>31</v>
      </c>
      <c r="CJ35" s="69"/>
      <c r="CK35" s="69"/>
      <c r="CL35" s="69"/>
      <c r="CM35" s="69" t="s">
        <v>660</v>
      </c>
      <c r="CN35" s="69">
        <v>2400</v>
      </c>
      <c r="CO35" s="69" t="s">
        <v>661</v>
      </c>
      <c r="CP35" s="69">
        <v>35</v>
      </c>
      <c r="CQ35" s="69"/>
      <c r="CR35" s="69"/>
      <c r="CS35" s="69" t="s">
        <v>661</v>
      </c>
      <c r="CT35" s="69">
        <v>50</v>
      </c>
      <c r="CU35" s="69"/>
      <c r="CV35" s="69"/>
      <c r="CW35" s="69"/>
      <c r="CX35" s="69"/>
      <c r="CY35" s="69"/>
      <c r="CZ35" s="69"/>
      <c r="DA35" s="69"/>
      <c r="DB35" s="69"/>
      <c r="DC35" s="69"/>
      <c r="DD35" s="69"/>
    </row>
    <row r="36" spans="1:108" ht="16.5" x14ac:dyDescent="0.2">
      <c r="A36" s="18">
        <v>32</v>
      </c>
      <c r="B36" s="60">
        <v>6</v>
      </c>
      <c r="C36" s="38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0">
        <v>8</v>
      </c>
      <c r="M36" s="38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0">
        <v>10</v>
      </c>
      <c r="W36" s="38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0">
        <v>10</v>
      </c>
      <c r="AG36" s="38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69">
        <v>31</v>
      </c>
      <c r="BR36" s="69">
        <v>106</v>
      </c>
      <c r="BS36" s="69">
        <v>1606033</v>
      </c>
      <c r="BT36" s="69" t="s">
        <v>639</v>
      </c>
      <c r="BU36" s="69">
        <v>3</v>
      </c>
      <c r="BV36" s="69">
        <v>21</v>
      </c>
      <c r="BW36" s="69">
        <f>SUM(BV$5:BV36)</f>
        <v>603</v>
      </c>
      <c r="CF36" s="69">
        <v>32</v>
      </c>
      <c r="CG36" s="69">
        <v>1</v>
      </c>
      <c r="CH36" s="69" t="s">
        <v>451</v>
      </c>
      <c r="CI36" s="69">
        <v>32</v>
      </c>
      <c r="CJ36" s="69"/>
      <c r="CK36" s="69"/>
      <c r="CL36" s="69"/>
      <c r="CM36" s="69" t="s">
        <v>660</v>
      </c>
      <c r="CN36" s="69">
        <v>2400</v>
      </c>
      <c r="CO36" s="69" t="s">
        <v>661</v>
      </c>
      <c r="CP36" s="69">
        <v>35</v>
      </c>
      <c r="CQ36" s="69"/>
      <c r="CR36" s="69"/>
      <c r="CS36" s="69" t="s">
        <v>661</v>
      </c>
      <c r="CT36" s="69">
        <v>50</v>
      </c>
      <c r="CU36" s="69"/>
      <c r="CV36" s="69"/>
      <c r="CW36" s="69"/>
      <c r="CX36" s="69"/>
      <c r="CY36" s="69"/>
      <c r="CZ36" s="69"/>
      <c r="DA36" s="69"/>
      <c r="DB36" s="69"/>
      <c r="DC36" s="69"/>
      <c r="DD36" s="69"/>
    </row>
    <row r="37" spans="1:108" ht="16.5" x14ac:dyDescent="0.2">
      <c r="A37" s="18">
        <v>33</v>
      </c>
      <c r="B37" s="60">
        <v>6</v>
      </c>
      <c r="C37" s="38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0">
        <v>8</v>
      </c>
      <c r="M37" s="38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0">
        <v>10</v>
      </c>
      <c r="W37" s="38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0">
        <v>10</v>
      </c>
      <c r="AG37" s="38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69">
        <v>32</v>
      </c>
      <c r="BR37" s="69">
        <v>106</v>
      </c>
      <c r="BS37" s="69">
        <v>1606034</v>
      </c>
      <c r="BT37" s="69" t="s">
        <v>640</v>
      </c>
      <c r="BU37" s="69">
        <v>3</v>
      </c>
      <c r="BV37" s="69">
        <v>21</v>
      </c>
      <c r="BW37" s="69">
        <f>SUM(BV$5:BV37)</f>
        <v>624</v>
      </c>
      <c r="CF37" s="69">
        <v>33</v>
      </c>
      <c r="CG37" s="69">
        <v>1</v>
      </c>
      <c r="CH37" s="69" t="s">
        <v>451</v>
      </c>
      <c r="CI37" s="69">
        <v>33</v>
      </c>
      <c r="CJ37" s="69"/>
      <c r="CK37" s="69"/>
      <c r="CL37" s="69"/>
      <c r="CM37" s="69" t="s">
        <v>660</v>
      </c>
      <c r="CN37" s="69">
        <v>2400</v>
      </c>
      <c r="CO37" s="69" t="s">
        <v>661</v>
      </c>
      <c r="CP37" s="69">
        <v>35</v>
      </c>
      <c r="CQ37" s="69"/>
      <c r="CR37" s="69"/>
      <c r="CS37" s="69" t="s">
        <v>661</v>
      </c>
      <c r="CT37" s="69">
        <v>50</v>
      </c>
      <c r="CU37" s="69"/>
      <c r="CV37" s="69"/>
      <c r="CW37" s="69"/>
      <c r="CX37" s="69"/>
      <c r="CY37" s="69"/>
      <c r="CZ37" s="69"/>
      <c r="DA37" s="69"/>
      <c r="DB37" s="69"/>
      <c r="DC37" s="69"/>
      <c r="DD37" s="69"/>
    </row>
    <row r="38" spans="1:108" ht="16.5" x14ac:dyDescent="0.2">
      <c r="A38" s="18">
        <v>34</v>
      </c>
      <c r="B38" s="60">
        <v>6</v>
      </c>
      <c r="C38" s="38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0">
        <v>8</v>
      </c>
      <c r="M38" s="38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0">
        <v>10</v>
      </c>
      <c r="W38" s="38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0">
        <v>10</v>
      </c>
      <c r="AG38" s="38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69">
        <v>33</v>
      </c>
      <c r="BR38" s="69">
        <v>106</v>
      </c>
      <c r="BS38" s="69">
        <v>1606035</v>
      </c>
      <c r="BT38" s="69" t="s">
        <v>641</v>
      </c>
      <c r="BU38" s="69">
        <v>4</v>
      </c>
      <c r="BV38" s="69">
        <v>21</v>
      </c>
      <c r="BW38" s="69">
        <f>SUM(BV$5:BV38)</f>
        <v>645</v>
      </c>
      <c r="CF38" s="69">
        <v>34</v>
      </c>
      <c r="CG38" s="69">
        <v>1</v>
      </c>
      <c r="CH38" s="69" t="s">
        <v>451</v>
      </c>
      <c r="CI38" s="69">
        <v>34</v>
      </c>
      <c r="CJ38" s="69"/>
      <c r="CK38" s="69"/>
      <c r="CL38" s="69"/>
      <c r="CM38" s="69" t="s">
        <v>660</v>
      </c>
      <c r="CN38" s="69">
        <v>2400</v>
      </c>
      <c r="CO38" s="69" t="s">
        <v>661</v>
      </c>
      <c r="CP38" s="69">
        <v>35</v>
      </c>
      <c r="CQ38" s="69"/>
      <c r="CR38" s="69"/>
      <c r="CS38" s="69" t="s">
        <v>661</v>
      </c>
      <c r="CT38" s="69">
        <v>50</v>
      </c>
      <c r="CU38" s="69"/>
      <c r="CV38" s="69"/>
      <c r="CW38" s="69"/>
      <c r="CX38" s="69"/>
      <c r="CY38" s="69"/>
      <c r="CZ38" s="69"/>
      <c r="DA38" s="69"/>
      <c r="DB38" s="69"/>
      <c r="DC38" s="69"/>
      <c r="DD38" s="69"/>
    </row>
    <row r="39" spans="1:108" ht="16.5" x14ac:dyDescent="0.2">
      <c r="A39" s="18">
        <v>35</v>
      </c>
      <c r="B39" s="60">
        <v>7</v>
      </c>
      <c r="C39" s="38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0">
        <v>8</v>
      </c>
      <c r="M39" s="38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0">
        <v>10</v>
      </c>
      <c r="W39" s="38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0">
        <v>10</v>
      </c>
      <c r="AG39" s="38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69">
        <v>34</v>
      </c>
      <c r="BR39" s="69">
        <v>106</v>
      </c>
      <c r="BS39" s="69">
        <v>1606036</v>
      </c>
      <c r="BT39" s="69" t="s">
        <v>642</v>
      </c>
      <c r="BU39" s="69">
        <v>4</v>
      </c>
      <c r="BV39" s="69">
        <v>21</v>
      </c>
      <c r="BW39" s="69">
        <f>SUM(BV$5:BV39)</f>
        <v>666</v>
      </c>
      <c r="CF39" s="69">
        <v>35</v>
      </c>
      <c r="CG39" s="69">
        <v>1</v>
      </c>
      <c r="CH39" s="69" t="s">
        <v>451</v>
      </c>
      <c r="CI39" s="69">
        <v>35</v>
      </c>
      <c r="CJ39" s="69"/>
      <c r="CK39" s="69"/>
      <c r="CL39" s="69"/>
      <c r="CM39" s="69" t="s">
        <v>660</v>
      </c>
      <c r="CN39" s="69">
        <v>3000</v>
      </c>
      <c r="CO39" s="69" t="s">
        <v>661</v>
      </c>
      <c r="CP39" s="69">
        <v>35</v>
      </c>
      <c r="CQ39" s="69" t="s">
        <v>662</v>
      </c>
      <c r="CR39" s="69">
        <v>2</v>
      </c>
      <c r="CS39" s="69" t="s">
        <v>661</v>
      </c>
      <c r="CT39" s="69">
        <v>55</v>
      </c>
      <c r="CU39" s="69"/>
      <c r="CV39" s="69"/>
      <c r="CW39" s="69"/>
      <c r="CX39" s="69"/>
      <c r="CY39" s="69"/>
      <c r="CZ39" s="69"/>
      <c r="DA39" s="69"/>
      <c r="DB39" s="69"/>
      <c r="DC39" s="69"/>
      <c r="DD39" s="69"/>
    </row>
    <row r="40" spans="1:108" ht="16.5" x14ac:dyDescent="0.2">
      <c r="A40" s="18">
        <v>36</v>
      </c>
      <c r="B40" s="26">
        <v>7</v>
      </c>
      <c r="C40" s="38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0">
        <v>8</v>
      </c>
      <c r="M40" s="38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0">
        <v>10</v>
      </c>
      <c r="W40" s="38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0">
        <v>10</v>
      </c>
      <c r="AG40" s="38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69">
        <v>35</v>
      </c>
      <c r="BR40" s="69">
        <v>107</v>
      </c>
      <c r="BS40" s="69">
        <v>1606037</v>
      </c>
      <c r="BT40" s="69" t="s">
        <v>643</v>
      </c>
      <c r="BU40" s="69">
        <v>2</v>
      </c>
      <c r="BV40" s="69">
        <v>21</v>
      </c>
      <c r="BW40" s="69">
        <f>SUM(BV$5:BV40)</f>
        <v>687</v>
      </c>
      <c r="CF40" s="69">
        <v>36</v>
      </c>
      <c r="CG40" s="69">
        <v>1</v>
      </c>
      <c r="CH40" s="69" t="s">
        <v>451</v>
      </c>
      <c r="CI40" s="69">
        <v>36</v>
      </c>
      <c r="CJ40" s="69"/>
      <c r="CK40" s="69"/>
      <c r="CL40" s="69"/>
      <c r="CM40" s="69" t="s">
        <v>660</v>
      </c>
      <c r="CN40" s="69">
        <v>3000</v>
      </c>
      <c r="CO40" s="69" t="s">
        <v>661</v>
      </c>
      <c r="CP40" s="69">
        <v>40</v>
      </c>
      <c r="CQ40" s="69"/>
      <c r="CR40" s="69"/>
      <c r="CS40" s="69" t="s">
        <v>661</v>
      </c>
      <c r="CT40" s="69">
        <v>55</v>
      </c>
      <c r="CU40" s="69"/>
      <c r="CV40" s="69"/>
      <c r="CW40" s="69"/>
      <c r="CX40" s="69"/>
      <c r="CY40" s="69"/>
      <c r="CZ40" s="69"/>
      <c r="DA40" s="69"/>
      <c r="DB40" s="69"/>
      <c r="DC40" s="69"/>
      <c r="DD40" s="69"/>
    </row>
    <row r="41" spans="1:108" ht="16.5" x14ac:dyDescent="0.2">
      <c r="A41" s="18">
        <v>37</v>
      </c>
      <c r="B41" s="60">
        <v>7</v>
      </c>
      <c r="C41" s="38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0">
        <v>8</v>
      </c>
      <c r="M41" s="38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0">
        <v>10</v>
      </c>
      <c r="W41" s="38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0">
        <v>10</v>
      </c>
      <c r="AG41" s="38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69">
        <v>36</v>
      </c>
      <c r="BR41" s="69">
        <v>107</v>
      </c>
      <c r="BS41" s="69">
        <v>1606038</v>
      </c>
      <c r="BT41" s="69" t="s">
        <v>644</v>
      </c>
      <c r="BU41" s="69">
        <v>2</v>
      </c>
      <c r="BV41" s="69">
        <v>21</v>
      </c>
      <c r="BW41" s="69">
        <f>SUM(BV$5:BV41)</f>
        <v>708</v>
      </c>
      <c r="CF41" s="69">
        <v>37</v>
      </c>
      <c r="CG41" s="69">
        <v>1</v>
      </c>
      <c r="CH41" s="69" t="s">
        <v>451</v>
      </c>
      <c r="CI41" s="69">
        <v>37</v>
      </c>
      <c r="CJ41" s="69"/>
      <c r="CK41" s="69"/>
      <c r="CL41" s="69"/>
      <c r="CM41" s="69" t="s">
        <v>660</v>
      </c>
      <c r="CN41" s="69">
        <v>3000</v>
      </c>
      <c r="CO41" s="69" t="s">
        <v>661</v>
      </c>
      <c r="CP41" s="69">
        <v>40</v>
      </c>
      <c r="CQ41" s="69"/>
      <c r="CR41" s="69"/>
      <c r="CS41" s="69" t="s">
        <v>661</v>
      </c>
      <c r="CT41" s="69">
        <v>55</v>
      </c>
      <c r="CU41" s="69"/>
      <c r="CV41" s="69"/>
      <c r="CW41" s="69"/>
      <c r="CX41" s="69"/>
      <c r="CY41" s="69"/>
      <c r="CZ41" s="69"/>
      <c r="DA41" s="69"/>
      <c r="DB41" s="69"/>
      <c r="DC41" s="69"/>
      <c r="DD41" s="69"/>
    </row>
    <row r="42" spans="1:108" ht="16.5" x14ac:dyDescent="0.2">
      <c r="A42" s="18">
        <v>38</v>
      </c>
      <c r="B42" s="60">
        <v>7</v>
      </c>
      <c r="C42" s="38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0">
        <v>8</v>
      </c>
      <c r="M42" s="38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0">
        <v>10</v>
      </c>
      <c r="W42" s="38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0">
        <v>10</v>
      </c>
      <c r="AG42" s="38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69">
        <v>37</v>
      </c>
      <c r="BR42" s="69">
        <v>107</v>
      </c>
      <c r="BS42" s="69">
        <v>1606039</v>
      </c>
      <c r="BT42" s="69" t="s">
        <v>645</v>
      </c>
      <c r="BU42" s="69">
        <v>2</v>
      </c>
      <c r="BV42" s="69">
        <v>21</v>
      </c>
      <c r="BW42" s="69">
        <f>SUM(BV$5:BV42)</f>
        <v>729</v>
      </c>
      <c r="CF42" s="69">
        <v>38</v>
      </c>
      <c r="CG42" s="69">
        <v>1</v>
      </c>
      <c r="CH42" s="69" t="s">
        <v>451</v>
      </c>
      <c r="CI42" s="69">
        <v>38</v>
      </c>
      <c r="CJ42" s="69"/>
      <c r="CK42" s="69"/>
      <c r="CL42" s="69"/>
      <c r="CM42" s="69" t="s">
        <v>660</v>
      </c>
      <c r="CN42" s="69">
        <v>3000</v>
      </c>
      <c r="CO42" s="69" t="s">
        <v>661</v>
      </c>
      <c r="CP42" s="69">
        <v>40</v>
      </c>
      <c r="CQ42" s="69"/>
      <c r="CR42" s="69"/>
      <c r="CS42" s="69" t="s">
        <v>661</v>
      </c>
      <c r="CT42" s="69">
        <v>55</v>
      </c>
      <c r="CU42" s="69"/>
      <c r="CV42" s="69"/>
      <c r="CW42" s="69"/>
      <c r="CX42" s="69"/>
      <c r="CY42" s="69"/>
      <c r="CZ42" s="69"/>
      <c r="DA42" s="69"/>
      <c r="DB42" s="69"/>
      <c r="DC42" s="69"/>
      <c r="DD42" s="69"/>
    </row>
    <row r="43" spans="1:108" ht="16.5" x14ac:dyDescent="0.2">
      <c r="A43" s="18">
        <v>39</v>
      </c>
      <c r="B43" s="60">
        <v>7</v>
      </c>
      <c r="C43" s="38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0">
        <v>8</v>
      </c>
      <c r="M43" s="38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0">
        <v>10</v>
      </c>
      <c r="W43" s="38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0">
        <v>10</v>
      </c>
      <c r="AG43" s="38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69">
        <v>38</v>
      </c>
      <c r="BR43" s="69">
        <v>107</v>
      </c>
      <c r="BS43" s="69">
        <v>1606040</v>
      </c>
      <c r="BT43" s="69" t="s">
        <v>646</v>
      </c>
      <c r="BU43" s="69">
        <v>3</v>
      </c>
      <c r="BV43" s="69">
        <v>21</v>
      </c>
      <c r="BW43" s="69">
        <f>SUM(BV$5:BV43)</f>
        <v>750</v>
      </c>
      <c r="CF43" s="69">
        <v>39</v>
      </c>
      <c r="CG43" s="69">
        <v>1</v>
      </c>
      <c r="CH43" s="69" t="s">
        <v>451</v>
      </c>
      <c r="CI43" s="69">
        <v>39</v>
      </c>
      <c r="CJ43" s="69"/>
      <c r="CK43" s="69"/>
      <c r="CL43" s="69"/>
      <c r="CM43" s="69" t="s">
        <v>660</v>
      </c>
      <c r="CN43" s="69">
        <v>3000</v>
      </c>
      <c r="CO43" s="69" t="s">
        <v>661</v>
      </c>
      <c r="CP43" s="69">
        <v>40</v>
      </c>
      <c r="CQ43" s="69"/>
      <c r="CR43" s="69"/>
      <c r="CS43" s="69" t="s">
        <v>661</v>
      </c>
      <c r="CT43" s="69">
        <v>55</v>
      </c>
      <c r="CU43" s="69"/>
      <c r="CV43" s="69"/>
      <c r="CW43" s="69"/>
      <c r="CX43" s="69"/>
      <c r="CY43" s="69"/>
      <c r="CZ43" s="69"/>
      <c r="DA43" s="69"/>
      <c r="DB43" s="69"/>
      <c r="DC43" s="69"/>
      <c r="DD43" s="69"/>
    </row>
    <row r="44" spans="1:108" ht="16.5" x14ac:dyDescent="0.2">
      <c r="A44" s="18">
        <v>40</v>
      </c>
      <c r="B44" s="60">
        <v>7</v>
      </c>
      <c r="C44" s="38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8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8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0">
        <v>10</v>
      </c>
      <c r="AG44" s="38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69">
        <v>39</v>
      </c>
      <c r="BR44" s="69">
        <v>107</v>
      </c>
      <c r="BS44" s="69">
        <v>1606041</v>
      </c>
      <c r="BT44" s="69" t="s">
        <v>647</v>
      </c>
      <c r="BU44" s="69">
        <v>3</v>
      </c>
      <c r="BV44" s="69">
        <v>21</v>
      </c>
      <c r="BW44" s="69">
        <f>SUM(BV$5:BV44)</f>
        <v>771</v>
      </c>
      <c r="CF44" s="69">
        <v>40</v>
      </c>
      <c r="CG44" s="69">
        <v>1</v>
      </c>
      <c r="CH44" s="69" t="s">
        <v>451</v>
      </c>
      <c r="CI44" s="69">
        <v>40</v>
      </c>
      <c r="CJ44" s="69"/>
      <c r="CK44" s="69"/>
      <c r="CL44" s="69"/>
      <c r="CM44" s="69" t="s">
        <v>660</v>
      </c>
      <c r="CN44" s="69">
        <v>3000</v>
      </c>
      <c r="CO44" s="69" t="s">
        <v>661</v>
      </c>
      <c r="CP44" s="69">
        <v>40</v>
      </c>
      <c r="CQ44" s="69" t="s">
        <v>487</v>
      </c>
      <c r="CR44" s="69">
        <v>2</v>
      </c>
      <c r="CS44" s="69" t="s">
        <v>661</v>
      </c>
      <c r="CT44" s="69">
        <v>60</v>
      </c>
      <c r="CU44" s="69"/>
      <c r="CV44" s="69"/>
      <c r="CW44" s="69"/>
      <c r="CX44" s="69"/>
      <c r="CY44" s="69"/>
      <c r="CZ44" s="69"/>
      <c r="DA44" s="69"/>
      <c r="DB44" s="69"/>
      <c r="DC44" s="69"/>
      <c r="DD44" s="69"/>
    </row>
    <row r="45" spans="1:108" ht="16.5" x14ac:dyDescent="0.2">
      <c r="A45" s="18">
        <v>41</v>
      </c>
      <c r="B45" s="60">
        <v>7</v>
      </c>
      <c r="C45" s="38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0">
        <v>9</v>
      </c>
      <c r="M45" s="38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8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0">
        <v>10</v>
      </c>
      <c r="AG45" s="38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69">
        <v>40</v>
      </c>
      <c r="BR45" s="69">
        <v>107</v>
      </c>
      <c r="BS45" s="69">
        <v>1606042</v>
      </c>
      <c r="BT45" s="69" t="s">
        <v>648</v>
      </c>
      <c r="BU45" s="69">
        <v>3</v>
      </c>
      <c r="BV45" s="69">
        <v>21</v>
      </c>
      <c r="BW45" s="69">
        <f>SUM(BV$5:BV45)</f>
        <v>792</v>
      </c>
      <c r="CF45" s="69">
        <v>41</v>
      </c>
      <c r="CG45" s="69">
        <v>1</v>
      </c>
      <c r="CH45" s="69" t="s">
        <v>451</v>
      </c>
      <c r="CI45" s="69">
        <v>41</v>
      </c>
      <c r="CJ45" s="69"/>
      <c r="CK45" s="69"/>
      <c r="CL45" s="69"/>
      <c r="CM45" s="69" t="s">
        <v>660</v>
      </c>
      <c r="CN45" s="69">
        <v>3000</v>
      </c>
      <c r="CO45" s="69" t="s">
        <v>661</v>
      </c>
      <c r="CP45" s="69">
        <v>45</v>
      </c>
      <c r="CQ45" s="69"/>
      <c r="CR45" s="69"/>
      <c r="CS45" s="69" t="s">
        <v>661</v>
      </c>
      <c r="CT45" s="69">
        <v>60</v>
      </c>
      <c r="CU45" s="69"/>
      <c r="CV45" s="69"/>
      <c r="CW45" s="69"/>
      <c r="CX45" s="69"/>
      <c r="CY45" s="69"/>
      <c r="CZ45" s="69"/>
      <c r="DA45" s="69"/>
      <c r="DB45" s="69"/>
      <c r="DC45" s="69"/>
      <c r="DD45" s="69"/>
    </row>
    <row r="46" spans="1:108" ht="16.5" x14ac:dyDescent="0.2">
      <c r="A46" s="18">
        <v>42</v>
      </c>
      <c r="B46" s="60">
        <v>7</v>
      </c>
      <c r="C46" s="38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0">
        <v>9</v>
      </c>
      <c r="M46" s="38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8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0">
        <v>10</v>
      </c>
      <c r="AG46" s="38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69">
        <v>41</v>
      </c>
      <c r="BR46" s="69">
        <v>107</v>
      </c>
      <c r="BS46" s="69">
        <v>1606043</v>
      </c>
      <c r="BT46" s="69" t="s">
        <v>649</v>
      </c>
      <c r="BU46" s="69">
        <v>4</v>
      </c>
      <c r="BV46" s="69">
        <v>21</v>
      </c>
      <c r="BW46" s="69">
        <f>SUM(BV$5:BV46)</f>
        <v>813</v>
      </c>
      <c r="CF46" s="69">
        <v>42</v>
      </c>
      <c r="CG46" s="69">
        <v>1</v>
      </c>
      <c r="CH46" s="69" t="s">
        <v>451</v>
      </c>
      <c r="CI46" s="69">
        <v>42</v>
      </c>
      <c r="CJ46" s="69"/>
      <c r="CK46" s="69"/>
      <c r="CL46" s="69"/>
      <c r="CM46" s="69" t="s">
        <v>660</v>
      </c>
      <c r="CN46" s="69">
        <v>3000</v>
      </c>
      <c r="CO46" s="69" t="s">
        <v>661</v>
      </c>
      <c r="CP46" s="69">
        <v>45</v>
      </c>
      <c r="CQ46" s="69"/>
      <c r="CR46" s="69"/>
      <c r="CS46" s="69" t="s">
        <v>661</v>
      </c>
      <c r="CT46" s="69">
        <v>60</v>
      </c>
      <c r="CU46" s="69"/>
      <c r="CV46" s="69"/>
      <c r="CW46" s="69"/>
      <c r="CX46" s="69"/>
      <c r="CY46" s="69"/>
      <c r="CZ46" s="69"/>
      <c r="DA46" s="69"/>
      <c r="DB46" s="69"/>
      <c r="DC46" s="69"/>
      <c r="DD46" s="69"/>
    </row>
    <row r="47" spans="1:108" ht="16.5" x14ac:dyDescent="0.2">
      <c r="A47" s="18">
        <v>43</v>
      </c>
      <c r="B47" s="60">
        <v>7</v>
      </c>
      <c r="C47" s="38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0">
        <v>9</v>
      </c>
      <c r="M47" s="38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8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0">
        <v>10</v>
      </c>
      <c r="AG47" s="38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69">
        <v>42</v>
      </c>
      <c r="BR47" s="69">
        <v>107</v>
      </c>
      <c r="BS47" s="69">
        <v>1606044</v>
      </c>
      <c r="BT47" s="69" t="s">
        <v>650</v>
      </c>
      <c r="BU47" s="69">
        <v>4</v>
      </c>
      <c r="BV47" s="69">
        <v>21</v>
      </c>
      <c r="BW47" s="69">
        <f>SUM(BV$5:BV47)</f>
        <v>834</v>
      </c>
      <c r="CF47" s="69">
        <v>43</v>
      </c>
      <c r="CG47" s="69">
        <v>1</v>
      </c>
      <c r="CH47" s="69" t="s">
        <v>451</v>
      </c>
      <c r="CI47" s="69">
        <v>43</v>
      </c>
      <c r="CJ47" s="69"/>
      <c r="CK47" s="69"/>
      <c r="CL47" s="69"/>
      <c r="CM47" s="69" t="s">
        <v>660</v>
      </c>
      <c r="CN47" s="69">
        <v>3000</v>
      </c>
      <c r="CO47" s="69" t="s">
        <v>661</v>
      </c>
      <c r="CP47" s="69">
        <v>45</v>
      </c>
      <c r="CQ47" s="69"/>
      <c r="CR47" s="69"/>
      <c r="CS47" s="69" t="s">
        <v>661</v>
      </c>
      <c r="CT47" s="69">
        <v>60</v>
      </c>
      <c r="CU47" s="69"/>
      <c r="CV47" s="69"/>
      <c r="CW47" s="69"/>
      <c r="CX47" s="69"/>
      <c r="CY47" s="69"/>
      <c r="CZ47" s="69"/>
      <c r="DA47" s="69"/>
      <c r="DB47" s="69"/>
      <c r="DC47" s="69"/>
      <c r="DD47" s="69"/>
    </row>
    <row r="48" spans="1:108" ht="16.5" x14ac:dyDescent="0.2">
      <c r="A48" s="18">
        <v>44</v>
      </c>
      <c r="B48" s="60">
        <v>7</v>
      </c>
      <c r="C48" s="38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0">
        <v>9</v>
      </c>
      <c r="M48" s="38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8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0">
        <v>10</v>
      </c>
      <c r="AG48" s="38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69">
        <v>44</v>
      </c>
      <c r="CG48" s="69">
        <v>1</v>
      </c>
      <c r="CH48" s="69" t="s">
        <v>451</v>
      </c>
      <c r="CI48" s="69">
        <v>44</v>
      </c>
      <c r="CJ48" s="69"/>
      <c r="CK48" s="69"/>
      <c r="CL48" s="69"/>
      <c r="CM48" s="69" t="s">
        <v>660</v>
      </c>
      <c r="CN48" s="69">
        <v>3000</v>
      </c>
      <c r="CO48" s="69" t="s">
        <v>661</v>
      </c>
      <c r="CP48" s="69">
        <v>45</v>
      </c>
      <c r="CQ48" s="69"/>
      <c r="CR48" s="69"/>
      <c r="CS48" s="69" t="s">
        <v>661</v>
      </c>
      <c r="CT48" s="69">
        <v>60</v>
      </c>
      <c r="CU48" s="69"/>
      <c r="CV48" s="69"/>
      <c r="CW48" s="69"/>
      <c r="CX48" s="69"/>
      <c r="CY48" s="69"/>
      <c r="CZ48" s="69"/>
      <c r="DA48" s="69"/>
      <c r="DB48" s="69"/>
      <c r="DC48" s="69"/>
      <c r="DD48" s="69"/>
    </row>
    <row r="49" spans="1:108" ht="16.5" x14ac:dyDescent="0.2">
      <c r="A49" s="18">
        <v>45</v>
      </c>
      <c r="B49" s="60">
        <v>7</v>
      </c>
      <c r="C49" s="38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0">
        <v>9</v>
      </c>
      <c r="M49" s="38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8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0">
        <v>11</v>
      </c>
      <c r="AG49" s="38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69">
        <v>45</v>
      </c>
      <c r="CG49" s="69">
        <v>1</v>
      </c>
      <c r="CH49" s="69" t="s">
        <v>451</v>
      </c>
      <c r="CI49" s="69">
        <v>45</v>
      </c>
      <c r="CJ49" s="69"/>
      <c r="CK49" s="69"/>
      <c r="CL49" s="69"/>
      <c r="CM49" s="69" t="s">
        <v>660</v>
      </c>
      <c r="CN49" s="69">
        <v>3000</v>
      </c>
      <c r="CO49" s="69" t="s">
        <v>661</v>
      </c>
      <c r="CP49" s="69">
        <v>45</v>
      </c>
      <c r="CQ49" s="69" t="s">
        <v>662</v>
      </c>
      <c r="CR49" s="69">
        <v>2</v>
      </c>
      <c r="CS49" s="69" t="s">
        <v>661</v>
      </c>
      <c r="CT49" s="69">
        <v>65</v>
      </c>
      <c r="CU49" s="69"/>
      <c r="CV49" s="69"/>
      <c r="CW49" s="69"/>
      <c r="CX49" s="69"/>
      <c r="CY49" s="69"/>
      <c r="CZ49" s="69"/>
      <c r="DA49" s="69"/>
      <c r="DB49" s="69"/>
      <c r="DC49" s="69"/>
      <c r="DD49" s="69"/>
    </row>
    <row r="50" spans="1:108" ht="16.5" x14ac:dyDescent="0.2">
      <c r="A50" s="18">
        <v>46</v>
      </c>
      <c r="B50" s="60">
        <v>7</v>
      </c>
      <c r="C50" s="38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0">
        <v>9</v>
      </c>
      <c r="M50" s="38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0">
        <v>11</v>
      </c>
      <c r="W50" s="38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0">
        <v>11</v>
      </c>
      <c r="AG50" s="38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69">
        <v>46</v>
      </c>
      <c r="CG50" s="69">
        <v>1</v>
      </c>
      <c r="CH50" s="69" t="s">
        <v>451</v>
      </c>
      <c r="CI50" s="69">
        <v>46</v>
      </c>
      <c r="CJ50" s="69"/>
      <c r="CK50" s="69"/>
      <c r="CL50" s="69"/>
      <c r="CM50" s="69" t="s">
        <v>660</v>
      </c>
      <c r="CN50" s="69">
        <v>3000</v>
      </c>
      <c r="CO50" s="69" t="s">
        <v>661</v>
      </c>
      <c r="CP50" s="69">
        <v>50</v>
      </c>
      <c r="CQ50" s="69"/>
      <c r="CR50" s="69"/>
      <c r="CS50" s="69" t="s">
        <v>661</v>
      </c>
      <c r="CT50" s="69">
        <v>65</v>
      </c>
      <c r="CU50" s="69"/>
      <c r="CV50" s="69"/>
      <c r="CW50" s="69"/>
      <c r="CX50" s="69"/>
      <c r="CY50" s="69"/>
      <c r="CZ50" s="69"/>
      <c r="DA50" s="69"/>
      <c r="DB50" s="69"/>
      <c r="DC50" s="69"/>
      <c r="DD50" s="69"/>
    </row>
    <row r="51" spans="1:108" ht="16.5" x14ac:dyDescent="0.2">
      <c r="A51" s="18">
        <v>47</v>
      </c>
      <c r="B51" s="60">
        <v>7</v>
      </c>
      <c r="C51" s="38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0">
        <v>9</v>
      </c>
      <c r="M51" s="38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0">
        <v>11</v>
      </c>
      <c r="W51" s="38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0">
        <v>11</v>
      </c>
      <c r="AG51" s="38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69">
        <v>47</v>
      </c>
      <c r="CG51" s="69">
        <v>1</v>
      </c>
      <c r="CH51" s="69" t="s">
        <v>451</v>
      </c>
      <c r="CI51" s="69">
        <v>47</v>
      </c>
      <c r="CJ51" s="69"/>
      <c r="CK51" s="69"/>
      <c r="CL51" s="69"/>
      <c r="CM51" s="69" t="s">
        <v>660</v>
      </c>
      <c r="CN51" s="69">
        <v>3000</v>
      </c>
      <c r="CO51" s="69" t="s">
        <v>661</v>
      </c>
      <c r="CP51" s="69">
        <v>50</v>
      </c>
      <c r="CQ51" s="69"/>
      <c r="CR51" s="69"/>
      <c r="CS51" s="69" t="s">
        <v>661</v>
      </c>
      <c r="CT51" s="69">
        <v>65</v>
      </c>
      <c r="CU51" s="69"/>
      <c r="CV51" s="69"/>
      <c r="CW51" s="69"/>
      <c r="CX51" s="69"/>
      <c r="CY51" s="69"/>
      <c r="CZ51" s="69"/>
      <c r="DA51" s="69"/>
      <c r="DB51" s="69"/>
      <c r="DC51" s="69"/>
      <c r="DD51" s="69"/>
    </row>
    <row r="52" spans="1:108" ht="16.5" x14ac:dyDescent="0.2">
      <c r="A52" s="18">
        <v>48</v>
      </c>
      <c r="B52" s="60">
        <v>7</v>
      </c>
      <c r="C52" s="38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0">
        <v>9</v>
      </c>
      <c r="M52" s="38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0">
        <v>11</v>
      </c>
      <c r="W52" s="38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0">
        <v>11</v>
      </c>
      <c r="AG52" s="38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69">
        <v>48</v>
      </c>
      <c r="CG52" s="69">
        <v>1</v>
      </c>
      <c r="CH52" s="69" t="s">
        <v>451</v>
      </c>
      <c r="CI52" s="69">
        <v>48</v>
      </c>
      <c r="CJ52" s="69"/>
      <c r="CK52" s="69"/>
      <c r="CL52" s="69"/>
      <c r="CM52" s="69" t="s">
        <v>660</v>
      </c>
      <c r="CN52" s="69">
        <v>3000</v>
      </c>
      <c r="CO52" s="69" t="s">
        <v>661</v>
      </c>
      <c r="CP52" s="69">
        <v>50</v>
      </c>
      <c r="CQ52" s="69"/>
      <c r="CR52" s="69"/>
      <c r="CS52" s="69" t="s">
        <v>661</v>
      </c>
      <c r="CT52" s="69">
        <v>65</v>
      </c>
      <c r="CU52" s="69"/>
      <c r="CV52" s="69"/>
      <c r="CW52" s="69"/>
      <c r="CX52" s="69"/>
      <c r="CY52" s="69"/>
      <c r="CZ52" s="69"/>
      <c r="DA52" s="69"/>
      <c r="DB52" s="69"/>
      <c r="DC52" s="69"/>
      <c r="DD52" s="69"/>
    </row>
    <row r="53" spans="1:108" ht="16.5" x14ac:dyDescent="0.2">
      <c r="A53" s="18">
        <v>49</v>
      </c>
      <c r="B53" s="60">
        <v>7</v>
      </c>
      <c r="C53" s="38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0">
        <v>9</v>
      </c>
      <c r="M53" s="38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0">
        <v>11</v>
      </c>
      <c r="W53" s="38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0">
        <v>11</v>
      </c>
      <c r="AG53" s="38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69">
        <v>49</v>
      </c>
      <c r="CG53" s="69">
        <v>1</v>
      </c>
      <c r="CH53" s="69" t="s">
        <v>451</v>
      </c>
      <c r="CI53" s="69">
        <v>49</v>
      </c>
      <c r="CJ53" s="69"/>
      <c r="CK53" s="69"/>
      <c r="CL53" s="69"/>
      <c r="CM53" s="69" t="s">
        <v>660</v>
      </c>
      <c r="CN53" s="69">
        <v>3000</v>
      </c>
      <c r="CO53" s="69" t="s">
        <v>661</v>
      </c>
      <c r="CP53" s="69">
        <v>50</v>
      </c>
      <c r="CQ53" s="69"/>
      <c r="CR53" s="69"/>
      <c r="CS53" s="69" t="s">
        <v>661</v>
      </c>
      <c r="CT53" s="69">
        <v>65</v>
      </c>
      <c r="CU53" s="69"/>
      <c r="CV53" s="69"/>
      <c r="CW53" s="69"/>
      <c r="CX53" s="69"/>
      <c r="CY53" s="69"/>
      <c r="CZ53" s="69"/>
      <c r="DA53" s="69"/>
      <c r="DB53" s="69"/>
      <c r="DC53" s="69"/>
      <c r="DD53" s="69"/>
    </row>
    <row r="54" spans="1:108" ht="16.5" x14ac:dyDescent="0.2">
      <c r="A54" s="18">
        <v>50</v>
      </c>
      <c r="B54" s="26">
        <v>8</v>
      </c>
      <c r="C54" s="38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0">
        <v>9</v>
      </c>
      <c r="M54" s="38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0">
        <v>11</v>
      </c>
      <c r="W54" s="38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0">
        <v>11</v>
      </c>
      <c r="AG54" s="38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69">
        <v>50</v>
      </c>
      <c r="CG54" s="69">
        <v>1</v>
      </c>
      <c r="CH54" s="69" t="s">
        <v>451</v>
      </c>
      <c r="CI54" s="69">
        <v>50</v>
      </c>
      <c r="CJ54" s="69"/>
      <c r="CK54" s="69"/>
      <c r="CL54" s="69"/>
      <c r="CM54" s="69" t="s">
        <v>660</v>
      </c>
      <c r="CN54" s="69">
        <v>3600</v>
      </c>
      <c r="CO54" s="69" t="s">
        <v>661</v>
      </c>
      <c r="CP54" s="69">
        <v>50</v>
      </c>
      <c r="CQ54" s="69" t="s">
        <v>487</v>
      </c>
      <c r="CR54" s="69">
        <v>2</v>
      </c>
      <c r="CS54" s="69" t="s">
        <v>661</v>
      </c>
      <c r="CT54" s="69">
        <v>70</v>
      </c>
      <c r="CU54" s="69"/>
      <c r="CV54" s="69"/>
      <c r="CW54" s="69"/>
      <c r="CX54" s="69"/>
      <c r="CY54" s="69"/>
      <c r="CZ54" s="69"/>
      <c r="DA54" s="69"/>
      <c r="DB54" s="69"/>
      <c r="DC54" s="69"/>
      <c r="DD54" s="69"/>
    </row>
    <row r="55" spans="1:108" ht="16.5" x14ac:dyDescent="0.2">
      <c r="A55" s="18">
        <v>51</v>
      </c>
      <c r="B55" s="60">
        <v>8</v>
      </c>
      <c r="C55" s="38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0">
        <v>9</v>
      </c>
      <c r="M55" s="38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0">
        <v>11</v>
      </c>
      <c r="W55" s="38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0">
        <v>11</v>
      </c>
      <c r="AG55" s="38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69">
        <v>51</v>
      </c>
      <c r="CG55" s="69">
        <v>1</v>
      </c>
      <c r="CH55" s="69" t="s">
        <v>451</v>
      </c>
      <c r="CI55" s="69">
        <v>51</v>
      </c>
      <c r="CJ55" s="69"/>
      <c r="CK55" s="69"/>
      <c r="CL55" s="69"/>
      <c r="CM55" s="69" t="s">
        <v>660</v>
      </c>
      <c r="CN55" s="69">
        <v>3600</v>
      </c>
      <c r="CO55" s="69" t="s">
        <v>661</v>
      </c>
      <c r="CP55" s="69">
        <v>55</v>
      </c>
      <c r="CQ55" s="69"/>
      <c r="CR55" s="69"/>
      <c r="CS55" s="69" t="s">
        <v>661</v>
      </c>
      <c r="CT55" s="69">
        <v>70</v>
      </c>
      <c r="CU55" s="69"/>
      <c r="CV55" s="69"/>
      <c r="CW55" s="69"/>
      <c r="CX55" s="69"/>
      <c r="CY55" s="69"/>
      <c r="CZ55" s="69"/>
      <c r="DA55" s="69"/>
      <c r="DB55" s="69"/>
      <c r="DC55" s="69"/>
      <c r="DD55" s="69"/>
    </row>
    <row r="56" spans="1:108" ht="16.5" x14ac:dyDescent="0.2">
      <c r="A56" s="18">
        <v>52</v>
      </c>
      <c r="B56" s="60">
        <v>8</v>
      </c>
      <c r="C56" s="38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0">
        <v>9</v>
      </c>
      <c r="M56" s="38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0">
        <v>11</v>
      </c>
      <c r="W56" s="38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0">
        <v>11</v>
      </c>
      <c r="AG56" s="38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69">
        <v>52</v>
      </c>
      <c r="CG56" s="69">
        <v>1</v>
      </c>
      <c r="CH56" s="69" t="s">
        <v>451</v>
      </c>
      <c r="CI56" s="69">
        <v>52</v>
      </c>
      <c r="CJ56" s="69"/>
      <c r="CK56" s="69"/>
      <c r="CL56" s="69"/>
      <c r="CM56" s="69" t="s">
        <v>660</v>
      </c>
      <c r="CN56" s="69">
        <v>3600</v>
      </c>
      <c r="CO56" s="69" t="s">
        <v>661</v>
      </c>
      <c r="CP56" s="69">
        <v>55</v>
      </c>
      <c r="CQ56" s="69"/>
      <c r="CR56" s="69"/>
      <c r="CS56" s="69" t="s">
        <v>661</v>
      </c>
      <c r="CT56" s="69">
        <v>70</v>
      </c>
      <c r="CU56" s="69"/>
      <c r="CV56" s="69"/>
      <c r="CW56" s="69"/>
      <c r="CX56" s="69"/>
      <c r="CY56" s="69"/>
      <c r="CZ56" s="69"/>
      <c r="DA56" s="69"/>
      <c r="DB56" s="69"/>
      <c r="DC56" s="69"/>
      <c r="DD56" s="69"/>
    </row>
    <row r="57" spans="1:108" ht="16.5" x14ac:dyDescent="0.2">
      <c r="A57" s="18">
        <v>53</v>
      </c>
      <c r="B57" s="60">
        <v>8</v>
      </c>
      <c r="C57" s="38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0">
        <v>9</v>
      </c>
      <c r="M57" s="38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0">
        <v>11</v>
      </c>
      <c r="W57" s="38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0">
        <v>11</v>
      </c>
      <c r="AG57" s="38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69">
        <v>53</v>
      </c>
      <c r="CG57" s="69">
        <v>1</v>
      </c>
      <c r="CH57" s="69" t="s">
        <v>451</v>
      </c>
      <c r="CI57" s="69">
        <v>53</v>
      </c>
      <c r="CJ57" s="69"/>
      <c r="CK57" s="69"/>
      <c r="CL57" s="69"/>
      <c r="CM57" s="69" t="s">
        <v>660</v>
      </c>
      <c r="CN57" s="69">
        <v>3600</v>
      </c>
      <c r="CO57" s="69" t="s">
        <v>661</v>
      </c>
      <c r="CP57" s="69">
        <v>55</v>
      </c>
      <c r="CQ57" s="69"/>
      <c r="CR57" s="69"/>
      <c r="CS57" s="69" t="s">
        <v>661</v>
      </c>
      <c r="CT57" s="69">
        <v>70</v>
      </c>
      <c r="CU57" s="69"/>
      <c r="CV57" s="69"/>
      <c r="CW57" s="69"/>
      <c r="CX57" s="69"/>
      <c r="CY57" s="69"/>
      <c r="CZ57" s="69"/>
      <c r="DA57" s="69"/>
      <c r="DB57" s="69"/>
      <c r="DC57" s="69"/>
      <c r="DD57" s="69"/>
    </row>
    <row r="58" spans="1:108" ht="16.5" x14ac:dyDescent="0.2">
      <c r="A58" s="18">
        <v>54</v>
      </c>
      <c r="B58" s="60">
        <v>8</v>
      </c>
      <c r="C58" s="38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0">
        <v>9</v>
      </c>
      <c r="M58" s="38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0">
        <v>11</v>
      </c>
      <c r="W58" s="38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0">
        <v>11</v>
      </c>
      <c r="AG58" s="38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69">
        <v>54</v>
      </c>
      <c r="CG58" s="69">
        <v>1</v>
      </c>
      <c r="CH58" s="69" t="s">
        <v>451</v>
      </c>
      <c r="CI58" s="69">
        <v>54</v>
      </c>
      <c r="CJ58" s="69"/>
      <c r="CK58" s="69"/>
      <c r="CL58" s="69"/>
      <c r="CM58" s="69" t="s">
        <v>660</v>
      </c>
      <c r="CN58" s="69">
        <v>3600</v>
      </c>
      <c r="CO58" s="69" t="s">
        <v>661</v>
      </c>
      <c r="CP58" s="69">
        <v>55</v>
      </c>
      <c r="CQ58" s="69"/>
      <c r="CR58" s="69"/>
      <c r="CS58" s="69" t="s">
        <v>661</v>
      </c>
      <c r="CT58" s="69">
        <v>70</v>
      </c>
      <c r="CU58" s="69"/>
      <c r="CV58" s="69"/>
      <c r="CW58" s="69"/>
      <c r="CX58" s="69"/>
      <c r="CY58" s="69"/>
      <c r="CZ58" s="69"/>
      <c r="DA58" s="69"/>
      <c r="DB58" s="69"/>
      <c r="DC58" s="69"/>
      <c r="DD58" s="69"/>
    </row>
    <row r="59" spans="1:108" ht="16.5" x14ac:dyDescent="0.2">
      <c r="A59" s="18">
        <v>55</v>
      </c>
      <c r="B59" s="60">
        <v>8</v>
      </c>
      <c r="C59" s="38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8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0">
        <v>11</v>
      </c>
      <c r="W59" s="38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0">
        <v>11</v>
      </c>
      <c r="AG59" s="38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69">
        <v>55</v>
      </c>
      <c r="CG59" s="69">
        <v>1</v>
      </c>
      <c r="CH59" s="69" t="s">
        <v>451</v>
      </c>
      <c r="CI59" s="69">
        <v>55</v>
      </c>
      <c r="CJ59" s="69"/>
      <c r="CK59" s="69"/>
      <c r="CL59" s="69"/>
      <c r="CM59" s="69" t="s">
        <v>660</v>
      </c>
      <c r="CN59" s="69">
        <v>3600</v>
      </c>
      <c r="CO59" s="69" t="s">
        <v>661</v>
      </c>
      <c r="CP59" s="69">
        <v>55</v>
      </c>
      <c r="CQ59" s="69" t="s">
        <v>662</v>
      </c>
      <c r="CR59" s="69">
        <v>2</v>
      </c>
      <c r="CS59" s="69" t="s">
        <v>661</v>
      </c>
      <c r="CT59" s="69">
        <v>75</v>
      </c>
      <c r="CU59" s="69"/>
      <c r="CV59" s="69"/>
      <c r="CW59" s="69"/>
      <c r="CX59" s="69"/>
      <c r="CY59" s="69"/>
      <c r="CZ59" s="69"/>
      <c r="DA59" s="69"/>
      <c r="DB59" s="69"/>
      <c r="DC59" s="69"/>
      <c r="DD59" s="69"/>
    </row>
    <row r="60" spans="1:108" ht="16.5" x14ac:dyDescent="0.2">
      <c r="A60" s="18">
        <v>56</v>
      </c>
      <c r="B60" s="60">
        <v>8</v>
      </c>
      <c r="C60" s="38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0">
        <v>10</v>
      </c>
      <c r="M60" s="38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0">
        <v>11</v>
      </c>
      <c r="W60" s="38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0">
        <v>11</v>
      </c>
      <c r="AG60" s="38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69">
        <v>56</v>
      </c>
      <c r="CG60" s="69">
        <v>1</v>
      </c>
      <c r="CH60" s="69" t="s">
        <v>451</v>
      </c>
      <c r="CI60" s="69">
        <v>56</v>
      </c>
      <c r="CJ60" s="69"/>
      <c r="CK60" s="69"/>
      <c r="CL60" s="69"/>
      <c r="CM60" s="69" t="s">
        <v>660</v>
      </c>
      <c r="CN60" s="69">
        <v>3600</v>
      </c>
      <c r="CO60" s="69" t="s">
        <v>661</v>
      </c>
      <c r="CP60" s="69">
        <v>60</v>
      </c>
      <c r="CQ60" s="69"/>
      <c r="CR60" s="69"/>
      <c r="CS60" s="69" t="s">
        <v>661</v>
      </c>
      <c r="CT60" s="69">
        <v>75</v>
      </c>
      <c r="CU60" s="69"/>
      <c r="CV60" s="69"/>
      <c r="CW60" s="69"/>
      <c r="CX60" s="69"/>
      <c r="CY60" s="69"/>
      <c r="CZ60" s="69"/>
      <c r="DA60" s="69"/>
      <c r="DB60" s="69"/>
      <c r="DC60" s="69"/>
      <c r="DD60" s="69"/>
    </row>
    <row r="61" spans="1:108" ht="16.5" x14ac:dyDescent="0.2">
      <c r="A61" s="18">
        <v>57</v>
      </c>
      <c r="B61" s="60">
        <v>8</v>
      </c>
      <c r="C61" s="38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0">
        <v>10</v>
      </c>
      <c r="M61" s="38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0">
        <v>11</v>
      </c>
      <c r="W61" s="38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0">
        <v>11</v>
      </c>
      <c r="AG61" s="38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69">
        <v>57</v>
      </c>
      <c r="CG61" s="69">
        <v>1</v>
      </c>
      <c r="CH61" s="69" t="s">
        <v>451</v>
      </c>
      <c r="CI61" s="69">
        <v>57</v>
      </c>
      <c r="CJ61" s="69"/>
      <c r="CK61" s="69"/>
      <c r="CL61" s="69"/>
      <c r="CM61" s="69" t="s">
        <v>660</v>
      </c>
      <c r="CN61" s="69">
        <v>3600</v>
      </c>
      <c r="CO61" s="69" t="s">
        <v>661</v>
      </c>
      <c r="CP61" s="69">
        <v>60</v>
      </c>
      <c r="CQ61" s="69"/>
      <c r="CR61" s="69"/>
      <c r="CS61" s="69" t="s">
        <v>661</v>
      </c>
      <c r="CT61" s="69">
        <v>75</v>
      </c>
      <c r="CU61" s="69"/>
      <c r="CV61" s="69"/>
      <c r="CW61" s="69"/>
      <c r="CX61" s="69"/>
      <c r="CY61" s="69"/>
      <c r="CZ61" s="69"/>
      <c r="DA61" s="69"/>
      <c r="DB61" s="69"/>
      <c r="DC61" s="69"/>
      <c r="DD61" s="69"/>
    </row>
    <row r="62" spans="1:108" ht="16.5" x14ac:dyDescent="0.2">
      <c r="A62" s="18">
        <v>58</v>
      </c>
      <c r="B62" s="60">
        <v>8</v>
      </c>
      <c r="C62" s="38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0">
        <v>10</v>
      </c>
      <c r="M62" s="38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0">
        <v>11</v>
      </c>
      <c r="W62" s="38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0">
        <v>11</v>
      </c>
      <c r="AG62" s="38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69">
        <v>58</v>
      </c>
      <c r="CG62" s="69">
        <v>1</v>
      </c>
      <c r="CH62" s="69" t="s">
        <v>451</v>
      </c>
      <c r="CI62" s="69">
        <v>58</v>
      </c>
      <c r="CJ62" s="69"/>
      <c r="CK62" s="69"/>
      <c r="CL62" s="69"/>
      <c r="CM62" s="69" t="s">
        <v>660</v>
      </c>
      <c r="CN62" s="69">
        <v>3600</v>
      </c>
      <c r="CO62" s="69" t="s">
        <v>661</v>
      </c>
      <c r="CP62" s="69">
        <v>60</v>
      </c>
      <c r="CQ62" s="69"/>
      <c r="CR62" s="69"/>
      <c r="CS62" s="69" t="s">
        <v>661</v>
      </c>
      <c r="CT62" s="69">
        <v>75</v>
      </c>
      <c r="CU62" s="69"/>
      <c r="CV62" s="69"/>
      <c r="CW62" s="69"/>
      <c r="CX62" s="69"/>
      <c r="CY62" s="69"/>
      <c r="CZ62" s="69"/>
      <c r="DA62" s="69"/>
      <c r="DB62" s="69"/>
      <c r="DC62" s="69"/>
      <c r="DD62" s="69"/>
    </row>
    <row r="63" spans="1:108" ht="16.5" x14ac:dyDescent="0.2">
      <c r="A63" s="18">
        <v>59</v>
      </c>
      <c r="B63" s="60">
        <v>8</v>
      </c>
      <c r="C63" s="38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0">
        <v>10</v>
      </c>
      <c r="M63" s="38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0">
        <v>11</v>
      </c>
      <c r="W63" s="38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0">
        <v>11</v>
      </c>
      <c r="AG63" s="38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69">
        <v>59</v>
      </c>
      <c r="CG63" s="69">
        <v>1</v>
      </c>
      <c r="CH63" s="69" t="s">
        <v>451</v>
      </c>
      <c r="CI63" s="69">
        <v>59</v>
      </c>
      <c r="CJ63" s="69"/>
      <c r="CK63" s="69"/>
      <c r="CL63" s="69"/>
      <c r="CM63" s="69" t="s">
        <v>660</v>
      </c>
      <c r="CN63" s="69">
        <v>3600</v>
      </c>
      <c r="CO63" s="69" t="s">
        <v>661</v>
      </c>
      <c r="CP63" s="69">
        <v>60</v>
      </c>
      <c r="CQ63" s="69"/>
      <c r="CR63" s="69"/>
      <c r="CS63" s="69" t="s">
        <v>661</v>
      </c>
      <c r="CT63" s="69">
        <v>75</v>
      </c>
      <c r="CU63" s="69"/>
      <c r="CV63" s="69"/>
      <c r="CW63" s="69"/>
      <c r="CX63" s="69"/>
      <c r="CY63" s="69"/>
      <c r="CZ63" s="69"/>
      <c r="DA63" s="69"/>
      <c r="DB63" s="69"/>
      <c r="DC63" s="69"/>
      <c r="DD63" s="69"/>
    </row>
    <row r="64" spans="1:108" ht="16.5" x14ac:dyDescent="0.2">
      <c r="A64" s="18">
        <v>60</v>
      </c>
      <c r="B64" s="60">
        <v>8</v>
      </c>
      <c r="C64" s="38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0">
        <v>10</v>
      </c>
      <c r="M64" s="38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8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0">
        <v>12</v>
      </c>
      <c r="AG64" s="38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69">
        <v>60</v>
      </c>
      <c r="CG64" s="69">
        <v>1</v>
      </c>
      <c r="CH64" s="69" t="s">
        <v>451</v>
      </c>
      <c r="CI64" s="69">
        <v>60</v>
      </c>
      <c r="CJ64" s="69"/>
      <c r="CK64" s="69"/>
      <c r="CL64" s="69"/>
      <c r="CM64" s="69" t="s">
        <v>660</v>
      </c>
      <c r="CN64" s="69">
        <v>3600</v>
      </c>
      <c r="CO64" s="69" t="s">
        <v>661</v>
      </c>
      <c r="CP64" s="69">
        <v>60</v>
      </c>
      <c r="CQ64" s="69" t="s">
        <v>487</v>
      </c>
      <c r="CR64" s="69">
        <v>2</v>
      </c>
      <c r="CS64" s="69" t="s">
        <v>661</v>
      </c>
      <c r="CT64" s="69">
        <v>80</v>
      </c>
      <c r="CU64" s="69"/>
      <c r="CV64" s="69"/>
      <c r="CW64" s="69"/>
      <c r="CX64" s="69"/>
      <c r="CY64" s="69"/>
      <c r="CZ64" s="69"/>
      <c r="DA64" s="69"/>
      <c r="DB64" s="69"/>
      <c r="DC64" s="69"/>
      <c r="DD64" s="69"/>
    </row>
    <row r="65" spans="1:108" ht="16.5" x14ac:dyDescent="0.2">
      <c r="A65" s="18">
        <v>61</v>
      </c>
      <c r="B65" s="60">
        <v>8</v>
      </c>
      <c r="C65" s="38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0">
        <v>10</v>
      </c>
      <c r="M65" s="38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8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0">
        <v>12</v>
      </c>
      <c r="AG65" s="38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69">
        <v>61</v>
      </c>
      <c r="CG65" s="69">
        <v>1</v>
      </c>
      <c r="CH65" s="69" t="s">
        <v>451</v>
      </c>
      <c r="CI65" s="69">
        <v>61</v>
      </c>
      <c r="CJ65" s="69"/>
      <c r="CK65" s="69"/>
      <c r="CL65" s="69"/>
      <c r="CM65" s="69" t="s">
        <v>660</v>
      </c>
      <c r="CN65" s="69">
        <v>3600</v>
      </c>
      <c r="CO65" s="69" t="s">
        <v>661</v>
      </c>
      <c r="CP65" s="69">
        <v>65</v>
      </c>
      <c r="CQ65" s="69"/>
      <c r="CR65" s="69"/>
      <c r="CS65" s="69" t="s">
        <v>661</v>
      </c>
      <c r="CT65" s="69">
        <v>80</v>
      </c>
      <c r="CU65" s="69"/>
      <c r="CV65" s="69"/>
      <c r="CW65" s="69"/>
      <c r="CX65" s="69"/>
      <c r="CY65" s="69"/>
      <c r="CZ65" s="69"/>
      <c r="DA65" s="69"/>
      <c r="DB65" s="69"/>
      <c r="DC65" s="69"/>
      <c r="DD65" s="69"/>
    </row>
    <row r="66" spans="1:108" ht="16.5" x14ac:dyDescent="0.2">
      <c r="A66" s="18">
        <v>62</v>
      </c>
      <c r="B66" s="60">
        <v>8</v>
      </c>
      <c r="C66" s="38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0">
        <v>10</v>
      </c>
      <c r="M66" s="38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8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0">
        <v>12</v>
      </c>
      <c r="AG66" s="38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69">
        <v>62</v>
      </c>
      <c r="CG66" s="69">
        <v>1</v>
      </c>
      <c r="CH66" s="69" t="s">
        <v>451</v>
      </c>
      <c r="CI66" s="69">
        <v>62</v>
      </c>
      <c r="CJ66" s="69"/>
      <c r="CK66" s="69"/>
      <c r="CL66" s="69"/>
      <c r="CM66" s="69" t="s">
        <v>660</v>
      </c>
      <c r="CN66" s="69">
        <v>3600</v>
      </c>
      <c r="CO66" s="69" t="s">
        <v>661</v>
      </c>
      <c r="CP66" s="69">
        <v>65</v>
      </c>
      <c r="CQ66" s="69"/>
      <c r="CR66" s="69"/>
      <c r="CS66" s="69" t="s">
        <v>661</v>
      </c>
      <c r="CT66" s="69">
        <v>80</v>
      </c>
      <c r="CU66" s="69"/>
      <c r="CV66" s="69"/>
      <c r="CW66" s="69"/>
      <c r="CX66" s="69"/>
      <c r="CY66" s="69"/>
      <c r="CZ66" s="69"/>
      <c r="DA66" s="69"/>
      <c r="DB66" s="69"/>
      <c r="DC66" s="69"/>
      <c r="DD66" s="69"/>
    </row>
    <row r="67" spans="1:108" ht="16.5" x14ac:dyDescent="0.2">
      <c r="A67" s="18">
        <v>63</v>
      </c>
      <c r="B67" s="60">
        <v>8</v>
      </c>
      <c r="C67" s="38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0">
        <v>10</v>
      </c>
      <c r="M67" s="38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8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0">
        <v>12</v>
      </c>
      <c r="AG67" s="38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69">
        <v>63</v>
      </c>
      <c r="CG67" s="69">
        <v>1</v>
      </c>
      <c r="CH67" s="69" t="s">
        <v>451</v>
      </c>
      <c r="CI67" s="69">
        <v>63</v>
      </c>
      <c r="CJ67" s="69"/>
      <c r="CK67" s="69"/>
      <c r="CL67" s="69"/>
      <c r="CM67" s="69" t="s">
        <v>660</v>
      </c>
      <c r="CN67" s="69">
        <v>3600</v>
      </c>
      <c r="CO67" s="69" t="s">
        <v>661</v>
      </c>
      <c r="CP67" s="69">
        <v>65</v>
      </c>
      <c r="CQ67" s="69"/>
      <c r="CR67" s="69"/>
      <c r="CS67" s="69" t="s">
        <v>661</v>
      </c>
      <c r="CT67" s="69">
        <v>80</v>
      </c>
      <c r="CU67" s="69"/>
      <c r="CV67" s="69"/>
      <c r="CW67" s="69"/>
      <c r="CX67" s="69"/>
      <c r="CY67" s="69"/>
      <c r="CZ67" s="69"/>
      <c r="DA67" s="69"/>
      <c r="DB67" s="69"/>
      <c r="DC67" s="69"/>
      <c r="DD67" s="69"/>
    </row>
    <row r="68" spans="1:108" ht="16.5" x14ac:dyDescent="0.2">
      <c r="A68" s="18">
        <v>64</v>
      </c>
      <c r="B68" s="60">
        <v>8</v>
      </c>
      <c r="C68" s="38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0">
        <v>10</v>
      </c>
      <c r="M68" s="38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8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0">
        <v>12</v>
      </c>
      <c r="AG68" s="38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69">
        <v>64</v>
      </c>
      <c r="CG68" s="69">
        <v>1</v>
      </c>
      <c r="CH68" s="69" t="s">
        <v>451</v>
      </c>
      <c r="CI68" s="69">
        <v>64</v>
      </c>
      <c r="CJ68" s="69"/>
      <c r="CK68" s="69"/>
      <c r="CL68" s="69"/>
      <c r="CM68" s="69" t="s">
        <v>660</v>
      </c>
      <c r="CN68" s="69">
        <v>3600</v>
      </c>
      <c r="CO68" s="69" t="s">
        <v>661</v>
      </c>
      <c r="CP68" s="69">
        <v>65</v>
      </c>
      <c r="CQ68" s="69"/>
      <c r="CR68" s="69"/>
      <c r="CS68" s="69" t="s">
        <v>661</v>
      </c>
      <c r="CT68" s="69">
        <v>80</v>
      </c>
      <c r="CU68" s="69"/>
      <c r="CV68" s="69"/>
      <c r="CW68" s="69"/>
      <c r="CX68" s="69"/>
      <c r="CY68" s="69"/>
      <c r="CZ68" s="69"/>
      <c r="DA68" s="69"/>
      <c r="DB68" s="69"/>
      <c r="DC68" s="69"/>
      <c r="DD68" s="69"/>
    </row>
    <row r="69" spans="1:108" ht="16.5" x14ac:dyDescent="0.2">
      <c r="A69" s="18">
        <v>65</v>
      </c>
      <c r="B69" s="26">
        <v>9</v>
      </c>
      <c r="C69" s="38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0">
        <v>10</v>
      </c>
      <c r="M69" s="38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8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0">
        <v>12</v>
      </c>
      <c r="AG69" s="38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69">
        <v>65</v>
      </c>
      <c r="CG69" s="69">
        <v>1</v>
      </c>
      <c r="CH69" s="69" t="s">
        <v>451</v>
      </c>
      <c r="CI69" s="69">
        <v>65</v>
      </c>
      <c r="CJ69" s="69"/>
      <c r="CK69" s="69"/>
      <c r="CL69" s="69"/>
      <c r="CM69" s="69" t="s">
        <v>660</v>
      </c>
      <c r="CN69" s="69">
        <v>4320</v>
      </c>
      <c r="CO69" s="69" t="s">
        <v>661</v>
      </c>
      <c r="CP69" s="69">
        <v>65</v>
      </c>
      <c r="CQ69" s="69" t="s">
        <v>662</v>
      </c>
      <c r="CR69" s="69">
        <v>2</v>
      </c>
      <c r="CS69" s="69" t="s">
        <v>661</v>
      </c>
      <c r="CT69" s="69">
        <v>85</v>
      </c>
      <c r="CU69" s="69"/>
      <c r="CV69" s="69"/>
      <c r="CW69" s="69"/>
      <c r="CX69" s="69"/>
      <c r="CY69" s="69"/>
      <c r="CZ69" s="69"/>
      <c r="DA69" s="69"/>
      <c r="DB69" s="69"/>
      <c r="DC69" s="69"/>
      <c r="DD69" s="69"/>
    </row>
    <row r="70" spans="1:108" ht="16.5" x14ac:dyDescent="0.2">
      <c r="A70" s="18">
        <v>66</v>
      </c>
      <c r="B70" s="60">
        <v>9</v>
      </c>
      <c r="C70" s="38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0">
        <v>10</v>
      </c>
      <c r="M70" s="38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8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0">
        <v>12</v>
      </c>
      <c r="AG70" s="38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69">
        <v>66</v>
      </c>
      <c r="CG70" s="69">
        <v>1</v>
      </c>
      <c r="CH70" s="69" t="s">
        <v>451</v>
      </c>
      <c r="CI70" s="69">
        <v>66</v>
      </c>
      <c r="CJ70" s="69"/>
      <c r="CK70" s="69"/>
      <c r="CL70" s="69"/>
      <c r="CM70" s="69" t="s">
        <v>660</v>
      </c>
      <c r="CN70" s="69">
        <v>4320</v>
      </c>
      <c r="CO70" s="69" t="s">
        <v>661</v>
      </c>
      <c r="CP70" s="69">
        <v>70</v>
      </c>
      <c r="CQ70" s="69"/>
      <c r="CR70" s="69"/>
      <c r="CS70" s="69" t="s">
        <v>661</v>
      </c>
      <c r="CT70" s="69">
        <v>85</v>
      </c>
      <c r="CU70" s="69"/>
      <c r="CV70" s="69"/>
      <c r="CW70" s="69"/>
      <c r="CX70" s="69"/>
      <c r="CY70" s="69"/>
      <c r="CZ70" s="69"/>
      <c r="DA70" s="69"/>
      <c r="DB70" s="69"/>
      <c r="DC70" s="69"/>
      <c r="DD70" s="69"/>
    </row>
    <row r="71" spans="1:108" ht="16.5" x14ac:dyDescent="0.2">
      <c r="A71" s="18">
        <v>67</v>
      </c>
      <c r="B71" s="60">
        <v>9</v>
      </c>
      <c r="C71" s="38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0">
        <v>10</v>
      </c>
      <c r="M71" s="38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8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0">
        <v>12</v>
      </c>
      <c r="AG71" s="38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69">
        <v>67</v>
      </c>
      <c r="CG71" s="69">
        <v>1</v>
      </c>
      <c r="CH71" s="69" t="s">
        <v>451</v>
      </c>
      <c r="CI71" s="69">
        <v>67</v>
      </c>
      <c r="CJ71" s="69"/>
      <c r="CK71" s="69"/>
      <c r="CL71" s="69"/>
      <c r="CM71" s="69" t="s">
        <v>660</v>
      </c>
      <c r="CN71" s="69">
        <v>4320</v>
      </c>
      <c r="CO71" s="69" t="s">
        <v>661</v>
      </c>
      <c r="CP71" s="69">
        <v>70</v>
      </c>
      <c r="CQ71" s="69"/>
      <c r="CR71" s="69"/>
      <c r="CS71" s="69" t="s">
        <v>661</v>
      </c>
      <c r="CT71" s="69">
        <v>85</v>
      </c>
      <c r="CU71" s="69"/>
      <c r="CV71" s="69"/>
      <c r="CW71" s="69"/>
      <c r="CX71" s="69"/>
      <c r="CY71" s="69"/>
      <c r="CZ71" s="69"/>
      <c r="DA71" s="69"/>
      <c r="DB71" s="69"/>
      <c r="DC71" s="69"/>
      <c r="DD71" s="69"/>
    </row>
    <row r="72" spans="1:108" ht="16.5" x14ac:dyDescent="0.2">
      <c r="A72" s="18">
        <v>68</v>
      </c>
      <c r="B72" s="60">
        <v>9</v>
      </c>
      <c r="C72" s="38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0">
        <v>10</v>
      </c>
      <c r="M72" s="38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8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0">
        <v>12</v>
      </c>
      <c r="AG72" s="38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69">
        <v>68</v>
      </c>
      <c r="CG72" s="69">
        <v>1</v>
      </c>
      <c r="CH72" s="69" t="s">
        <v>451</v>
      </c>
      <c r="CI72" s="69">
        <v>68</v>
      </c>
      <c r="CJ72" s="69"/>
      <c r="CK72" s="69"/>
      <c r="CL72" s="69"/>
      <c r="CM72" s="69" t="s">
        <v>660</v>
      </c>
      <c r="CN72" s="69">
        <v>4320</v>
      </c>
      <c r="CO72" s="69" t="s">
        <v>661</v>
      </c>
      <c r="CP72" s="69">
        <v>70</v>
      </c>
      <c r="CQ72" s="69"/>
      <c r="CR72" s="69"/>
      <c r="CS72" s="69" t="s">
        <v>661</v>
      </c>
      <c r="CT72" s="69">
        <v>85</v>
      </c>
      <c r="CU72" s="69"/>
      <c r="CV72" s="69"/>
      <c r="CW72" s="69"/>
      <c r="CX72" s="69"/>
      <c r="CY72" s="69"/>
      <c r="CZ72" s="69"/>
      <c r="DA72" s="69"/>
      <c r="DB72" s="69"/>
      <c r="DC72" s="69"/>
      <c r="DD72" s="69"/>
    </row>
    <row r="73" spans="1:108" ht="16.5" x14ac:dyDescent="0.2">
      <c r="A73" s="18">
        <v>69</v>
      </c>
      <c r="B73" s="60">
        <v>9</v>
      </c>
      <c r="C73" s="38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0">
        <v>10</v>
      </c>
      <c r="M73" s="38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8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0">
        <v>12</v>
      </c>
      <c r="AG73" s="38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69">
        <v>69</v>
      </c>
      <c r="CG73" s="69">
        <v>1</v>
      </c>
      <c r="CH73" s="69" t="s">
        <v>451</v>
      </c>
      <c r="CI73" s="69">
        <v>69</v>
      </c>
      <c r="CJ73" s="69"/>
      <c r="CK73" s="69"/>
      <c r="CL73" s="69"/>
      <c r="CM73" s="69" t="s">
        <v>660</v>
      </c>
      <c r="CN73" s="69">
        <v>4320</v>
      </c>
      <c r="CO73" s="69" t="s">
        <v>661</v>
      </c>
      <c r="CP73" s="69">
        <v>70</v>
      </c>
      <c r="CQ73" s="69"/>
      <c r="CR73" s="69"/>
      <c r="CS73" s="69" t="s">
        <v>661</v>
      </c>
      <c r="CT73" s="69">
        <v>85</v>
      </c>
      <c r="CU73" s="69"/>
      <c r="CV73" s="69"/>
      <c r="CW73" s="69"/>
      <c r="CX73" s="69"/>
      <c r="CY73" s="69"/>
      <c r="CZ73" s="69"/>
      <c r="DA73" s="69"/>
      <c r="DB73" s="69"/>
      <c r="DC73" s="69"/>
      <c r="DD73" s="69"/>
    </row>
    <row r="74" spans="1:108" ht="16.5" x14ac:dyDescent="0.2">
      <c r="A74" s="18">
        <v>70</v>
      </c>
      <c r="B74" s="60">
        <v>9</v>
      </c>
      <c r="C74" s="38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8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0">
        <v>12</v>
      </c>
      <c r="W74" s="38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0">
        <v>12</v>
      </c>
      <c r="AG74" s="38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69">
        <v>70</v>
      </c>
      <c r="CG74" s="69">
        <v>1</v>
      </c>
      <c r="CH74" s="69" t="s">
        <v>451</v>
      </c>
      <c r="CI74" s="69">
        <v>70</v>
      </c>
      <c r="CJ74" s="69"/>
      <c r="CK74" s="69"/>
      <c r="CL74" s="69"/>
      <c r="CM74" s="69" t="s">
        <v>660</v>
      </c>
      <c r="CN74" s="69">
        <v>4320</v>
      </c>
      <c r="CO74" s="69" t="s">
        <v>661</v>
      </c>
      <c r="CP74" s="69">
        <v>70</v>
      </c>
      <c r="CQ74" s="69" t="s">
        <v>487</v>
      </c>
      <c r="CR74" s="69">
        <v>2</v>
      </c>
      <c r="CS74" s="69" t="s">
        <v>661</v>
      </c>
      <c r="CT74" s="69">
        <v>90</v>
      </c>
      <c r="CU74" s="69"/>
      <c r="CV74" s="69"/>
      <c r="CW74" s="69"/>
      <c r="CX74" s="69"/>
      <c r="CY74" s="69"/>
      <c r="CZ74" s="69"/>
      <c r="DA74" s="69"/>
      <c r="DB74" s="69"/>
      <c r="DC74" s="69"/>
      <c r="DD74" s="69"/>
    </row>
    <row r="75" spans="1:108" ht="16.5" x14ac:dyDescent="0.2">
      <c r="A75" s="23">
        <v>71</v>
      </c>
      <c r="B75" s="60">
        <v>9</v>
      </c>
      <c r="C75" s="38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0">
        <v>11</v>
      </c>
      <c r="M75" s="38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0">
        <v>12</v>
      </c>
      <c r="W75" s="38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0">
        <v>12</v>
      </c>
      <c r="AG75" s="38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69">
        <v>71</v>
      </c>
      <c r="CG75" s="69">
        <v>1</v>
      </c>
      <c r="CH75" s="69" t="s">
        <v>451</v>
      </c>
      <c r="CI75" s="69">
        <v>71</v>
      </c>
      <c r="CJ75" s="69"/>
      <c r="CK75" s="69"/>
      <c r="CL75" s="69"/>
      <c r="CM75" s="69" t="s">
        <v>660</v>
      </c>
      <c r="CN75" s="69">
        <v>4320</v>
      </c>
      <c r="CO75" s="69" t="s">
        <v>661</v>
      </c>
      <c r="CP75" s="69">
        <v>75</v>
      </c>
      <c r="CQ75" s="69"/>
      <c r="CR75" s="69"/>
      <c r="CS75" s="69" t="s">
        <v>661</v>
      </c>
      <c r="CT75" s="69">
        <v>90</v>
      </c>
      <c r="CU75" s="69"/>
      <c r="CV75" s="69"/>
      <c r="CW75" s="69"/>
      <c r="CX75" s="69"/>
      <c r="CY75" s="69"/>
      <c r="CZ75" s="69"/>
      <c r="DA75" s="69"/>
      <c r="DB75" s="69"/>
      <c r="DC75" s="69"/>
      <c r="DD75" s="69"/>
    </row>
    <row r="76" spans="1:108" ht="16.5" x14ac:dyDescent="0.2">
      <c r="A76" s="23">
        <v>72</v>
      </c>
      <c r="B76" s="60">
        <v>9</v>
      </c>
      <c r="C76" s="38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0">
        <v>11</v>
      </c>
      <c r="M76" s="38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0">
        <v>12</v>
      </c>
      <c r="W76" s="38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0">
        <v>12</v>
      </c>
      <c r="AG76" s="38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69">
        <v>72</v>
      </c>
      <c r="CG76" s="69">
        <v>1</v>
      </c>
      <c r="CH76" s="69" t="s">
        <v>451</v>
      </c>
      <c r="CI76" s="69">
        <v>72</v>
      </c>
      <c r="CJ76" s="69"/>
      <c r="CK76" s="69"/>
      <c r="CL76" s="69"/>
      <c r="CM76" s="69" t="s">
        <v>660</v>
      </c>
      <c r="CN76" s="69">
        <v>4320</v>
      </c>
      <c r="CO76" s="69" t="s">
        <v>661</v>
      </c>
      <c r="CP76" s="69">
        <v>75</v>
      </c>
      <c r="CQ76" s="69"/>
      <c r="CR76" s="69"/>
      <c r="CS76" s="69" t="s">
        <v>661</v>
      </c>
      <c r="CT76" s="69">
        <v>90</v>
      </c>
      <c r="CU76" s="69"/>
      <c r="CV76" s="69"/>
      <c r="CW76" s="69"/>
      <c r="CX76" s="69"/>
      <c r="CY76" s="69"/>
      <c r="CZ76" s="69"/>
      <c r="DA76" s="69"/>
      <c r="DB76" s="69"/>
      <c r="DC76" s="69"/>
      <c r="DD76" s="69"/>
    </row>
    <row r="77" spans="1:108" ht="16.5" x14ac:dyDescent="0.2">
      <c r="A77" s="23">
        <v>73</v>
      </c>
      <c r="B77" s="60">
        <v>9</v>
      </c>
      <c r="C77" s="38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0">
        <v>11</v>
      </c>
      <c r="M77" s="38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0">
        <v>12</v>
      </c>
      <c r="W77" s="38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0">
        <v>12</v>
      </c>
      <c r="AG77" s="38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69">
        <v>73</v>
      </c>
      <c r="CG77" s="69">
        <v>1</v>
      </c>
      <c r="CH77" s="69" t="s">
        <v>451</v>
      </c>
      <c r="CI77" s="69">
        <v>73</v>
      </c>
      <c r="CJ77" s="69"/>
      <c r="CK77" s="69"/>
      <c r="CL77" s="69"/>
      <c r="CM77" s="69" t="s">
        <v>660</v>
      </c>
      <c r="CN77" s="69">
        <v>4320</v>
      </c>
      <c r="CO77" s="69" t="s">
        <v>661</v>
      </c>
      <c r="CP77" s="69">
        <v>75</v>
      </c>
      <c r="CQ77" s="69"/>
      <c r="CR77" s="69"/>
      <c r="CS77" s="69" t="s">
        <v>661</v>
      </c>
      <c r="CT77" s="69">
        <v>90</v>
      </c>
      <c r="CU77" s="69"/>
      <c r="CV77" s="69"/>
      <c r="CW77" s="69"/>
      <c r="CX77" s="69"/>
      <c r="CY77" s="69"/>
      <c r="CZ77" s="69"/>
      <c r="DA77" s="69"/>
      <c r="DB77" s="69"/>
      <c r="DC77" s="69"/>
      <c r="DD77" s="69"/>
    </row>
    <row r="78" spans="1:108" ht="16.5" x14ac:dyDescent="0.2">
      <c r="A78" s="23">
        <v>74</v>
      </c>
      <c r="B78" s="60">
        <v>9</v>
      </c>
      <c r="C78" s="38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0">
        <v>11</v>
      </c>
      <c r="M78" s="38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0">
        <v>12</v>
      </c>
      <c r="W78" s="38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0">
        <v>12</v>
      </c>
      <c r="AG78" s="38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69">
        <v>74</v>
      </c>
      <c r="CG78" s="69">
        <v>1</v>
      </c>
      <c r="CH78" s="69" t="s">
        <v>451</v>
      </c>
      <c r="CI78" s="69">
        <v>74</v>
      </c>
      <c r="CJ78" s="69"/>
      <c r="CK78" s="69"/>
      <c r="CL78" s="69"/>
      <c r="CM78" s="69" t="s">
        <v>660</v>
      </c>
      <c r="CN78" s="69">
        <v>4320</v>
      </c>
      <c r="CO78" s="69" t="s">
        <v>661</v>
      </c>
      <c r="CP78" s="69">
        <v>75</v>
      </c>
      <c r="CQ78" s="69"/>
      <c r="CR78" s="69"/>
      <c r="CS78" s="69" t="s">
        <v>661</v>
      </c>
      <c r="CT78" s="69">
        <v>90</v>
      </c>
      <c r="CU78" s="69"/>
      <c r="CV78" s="69"/>
      <c r="CW78" s="69"/>
      <c r="CX78" s="69"/>
      <c r="CY78" s="69"/>
      <c r="CZ78" s="69"/>
      <c r="DA78" s="69"/>
      <c r="DB78" s="69"/>
      <c r="DC78" s="69"/>
      <c r="DD78" s="69"/>
    </row>
    <row r="79" spans="1:108" ht="16.5" x14ac:dyDescent="0.2">
      <c r="A79" s="23">
        <v>75</v>
      </c>
      <c r="B79" s="60">
        <v>9</v>
      </c>
      <c r="C79" s="38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0">
        <v>11</v>
      </c>
      <c r="M79" s="38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0">
        <v>12</v>
      </c>
      <c r="W79" s="38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0">
        <v>12</v>
      </c>
      <c r="AG79" s="38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69">
        <v>75</v>
      </c>
      <c r="CG79" s="69">
        <v>1</v>
      </c>
      <c r="CH79" s="69" t="s">
        <v>451</v>
      </c>
      <c r="CI79" s="69">
        <v>75</v>
      </c>
      <c r="CJ79" s="69"/>
      <c r="CK79" s="69"/>
      <c r="CL79" s="69"/>
      <c r="CM79" s="69" t="s">
        <v>660</v>
      </c>
      <c r="CN79" s="69">
        <v>4320</v>
      </c>
      <c r="CO79" s="69" t="s">
        <v>661</v>
      </c>
      <c r="CP79" s="69">
        <v>75</v>
      </c>
      <c r="CQ79" s="69" t="s">
        <v>662</v>
      </c>
      <c r="CR79" s="69">
        <v>2</v>
      </c>
      <c r="CS79" s="69" t="s">
        <v>661</v>
      </c>
      <c r="CT79" s="69">
        <v>95</v>
      </c>
      <c r="CU79" s="69"/>
      <c r="CV79" s="69"/>
      <c r="CW79" s="69"/>
      <c r="CX79" s="69"/>
      <c r="CY79" s="69"/>
      <c r="CZ79" s="69"/>
      <c r="DA79" s="69"/>
      <c r="DB79" s="69"/>
      <c r="DC79" s="69"/>
      <c r="DD79" s="69"/>
    </row>
    <row r="80" spans="1:108" ht="16.5" x14ac:dyDescent="0.2">
      <c r="A80" s="23">
        <v>76</v>
      </c>
      <c r="B80" s="60">
        <v>9</v>
      </c>
      <c r="C80" s="38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0">
        <v>11</v>
      </c>
      <c r="M80" s="38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0">
        <v>12</v>
      </c>
      <c r="W80" s="38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0">
        <v>12</v>
      </c>
      <c r="AG80" s="38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69">
        <v>76</v>
      </c>
      <c r="CG80" s="69">
        <v>1</v>
      </c>
      <c r="CH80" s="69" t="s">
        <v>451</v>
      </c>
      <c r="CI80" s="69">
        <v>76</v>
      </c>
      <c r="CJ80" s="69"/>
      <c r="CK80" s="69"/>
      <c r="CL80" s="69"/>
      <c r="CM80" s="69" t="s">
        <v>660</v>
      </c>
      <c r="CN80" s="69">
        <v>4320</v>
      </c>
      <c r="CO80" s="69" t="s">
        <v>661</v>
      </c>
      <c r="CP80" s="69">
        <v>80</v>
      </c>
      <c r="CQ80" s="69"/>
      <c r="CR80" s="69"/>
      <c r="CS80" s="69" t="s">
        <v>661</v>
      </c>
      <c r="CT80" s="69">
        <v>95</v>
      </c>
      <c r="CU80" s="69"/>
      <c r="CV80" s="69"/>
      <c r="CW80" s="69"/>
      <c r="CX80" s="69"/>
      <c r="CY80" s="69"/>
      <c r="CZ80" s="69"/>
      <c r="DA80" s="69"/>
      <c r="DB80" s="69"/>
      <c r="DC80" s="69"/>
      <c r="DD80" s="69"/>
    </row>
    <row r="81" spans="1:108" ht="16.5" x14ac:dyDescent="0.2">
      <c r="A81" s="23">
        <v>77</v>
      </c>
      <c r="B81" s="60">
        <v>9</v>
      </c>
      <c r="C81" s="38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0">
        <v>11</v>
      </c>
      <c r="M81" s="38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0">
        <v>12</v>
      </c>
      <c r="W81" s="38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0">
        <v>12</v>
      </c>
      <c r="AG81" s="38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69">
        <v>77</v>
      </c>
      <c r="CG81" s="69">
        <v>1</v>
      </c>
      <c r="CH81" s="69" t="s">
        <v>451</v>
      </c>
      <c r="CI81" s="69">
        <v>77</v>
      </c>
      <c r="CJ81" s="69"/>
      <c r="CK81" s="69"/>
      <c r="CL81" s="69"/>
      <c r="CM81" s="69" t="s">
        <v>660</v>
      </c>
      <c r="CN81" s="69">
        <v>4320</v>
      </c>
      <c r="CO81" s="69" t="s">
        <v>661</v>
      </c>
      <c r="CP81" s="69">
        <v>80</v>
      </c>
      <c r="CQ81" s="69"/>
      <c r="CR81" s="69"/>
      <c r="CS81" s="69" t="s">
        <v>661</v>
      </c>
      <c r="CT81" s="69">
        <v>95</v>
      </c>
      <c r="CU81" s="69"/>
      <c r="CV81" s="69"/>
      <c r="CW81" s="69"/>
      <c r="CX81" s="69"/>
      <c r="CY81" s="69"/>
      <c r="CZ81" s="69"/>
      <c r="DA81" s="69"/>
      <c r="DB81" s="69"/>
      <c r="DC81" s="69"/>
      <c r="DD81" s="69"/>
    </row>
    <row r="82" spans="1:108" ht="16.5" x14ac:dyDescent="0.2">
      <c r="A82" s="23">
        <v>78</v>
      </c>
      <c r="B82" s="60">
        <v>9</v>
      </c>
      <c r="C82" s="38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0">
        <v>11</v>
      </c>
      <c r="M82" s="38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0">
        <v>12</v>
      </c>
      <c r="W82" s="38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0">
        <v>12</v>
      </c>
      <c r="AG82" s="38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69">
        <v>78</v>
      </c>
      <c r="CG82" s="69">
        <v>1</v>
      </c>
      <c r="CH82" s="69" t="s">
        <v>451</v>
      </c>
      <c r="CI82" s="69">
        <v>78</v>
      </c>
      <c r="CJ82" s="69"/>
      <c r="CK82" s="69"/>
      <c r="CL82" s="69"/>
      <c r="CM82" s="69" t="s">
        <v>660</v>
      </c>
      <c r="CN82" s="69">
        <v>4320</v>
      </c>
      <c r="CO82" s="69" t="s">
        <v>661</v>
      </c>
      <c r="CP82" s="69">
        <v>80</v>
      </c>
      <c r="CQ82" s="69"/>
      <c r="CR82" s="69"/>
      <c r="CS82" s="69" t="s">
        <v>661</v>
      </c>
      <c r="CT82" s="69">
        <v>95</v>
      </c>
      <c r="CU82" s="69"/>
      <c r="CV82" s="69"/>
      <c r="CW82" s="69"/>
      <c r="CX82" s="69"/>
      <c r="CY82" s="69"/>
      <c r="CZ82" s="69"/>
      <c r="DA82" s="69"/>
      <c r="DB82" s="69"/>
      <c r="DC82" s="69"/>
      <c r="DD82" s="69"/>
    </row>
    <row r="83" spans="1:108" ht="16.5" x14ac:dyDescent="0.2">
      <c r="A83" s="23">
        <v>79</v>
      </c>
      <c r="B83" s="60">
        <v>9</v>
      </c>
      <c r="C83" s="38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0">
        <v>11</v>
      </c>
      <c r="M83" s="38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0">
        <v>12</v>
      </c>
      <c r="W83" s="38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0">
        <v>12</v>
      </c>
      <c r="AG83" s="38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69">
        <v>79</v>
      </c>
      <c r="CG83" s="69">
        <v>1</v>
      </c>
      <c r="CH83" s="69" t="s">
        <v>451</v>
      </c>
      <c r="CI83" s="69">
        <v>79</v>
      </c>
      <c r="CJ83" s="69"/>
      <c r="CK83" s="69"/>
      <c r="CL83" s="69"/>
      <c r="CM83" s="69" t="s">
        <v>660</v>
      </c>
      <c r="CN83" s="69">
        <v>4320</v>
      </c>
      <c r="CO83" s="69" t="s">
        <v>661</v>
      </c>
      <c r="CP83" s="69">
        <v>80</v>
      </c>
      <c r="CQ83" s="69"/>
      <c r="CR83" s="69"/>
      <c r="CS83" s="69" t="s">
        <v>661</v>
      </c>
      <c r="CT83" s="69">
        <v>95</v>
      </c>
      <c r="CU83" s="69"/>
      <c r="CV83" s="69"/>
      <c r="CW83" s="69"/>
      <c r="CX83" s="69"/>
      <c r="CY83" s="69"/>
      <c r="CZ83" s="69"/>
      <c r="DA83" s="69"/>
      <c r="DB83" s="69"/>
      <c r="DC83" s="69"/>
      <c r="DD83" s="69"/>
    </row>
    <row r="84" spans="1:108" ht="16.5" x14ac:dyDescent="0.2">
      <c r="A84" s="23">
        <v>80</v>
      </c>
      <c r="B84" s="26">
        <v>10</v>
      </c>
      <c r="C84" s="38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0">
        <v>11</v>
      </c>
      <c r="M84" s="38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8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0">
        <v>13</v>
      </c>
      <c r="AG84" s="38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69">
        <v>80</v>
      </c>
      <c r="CG84" s="69">
        <v>1</v>
      </c>
      <c r="CH84" s="69" t="s">
        <v>451</v>
      </c>
      <c r="CI84" s="69">
        <v>80</v>
      </c>
      <c r="CJ84" s="69"/>
      <c r="CK84" s="69"/>
      <c r="CL84" s="69"/>
      <c r="CM84" s="69" t="s">
        <v>660</v>
      </c>
      <c r="CN84" s="69">
        <v>5400</v>
      </c>
      <c r="CO84" s="69" t="s">
        <v>661</v>
      </c>
      <c r="CP84" s="69">
        <v>80</v>
      </c>
      <c r="CQ84" s="69" t="s">
        <v>487</v>
      </c>
      <c r="CR84" s="69">
        <v>2</v>
      </c>
      <c r="CS84" s="69" t="s">
        <v>661</v>
      </c>
      <c r="CT84" s="69">
        <v>100</v>
      </c>
      <c r="CU84" s="69"/>
      <c r="CV84" s="69"/>
      <c r="CW84" s="69"/>
      <c r="CX84" s="69"/>
      <c r="CY84" s="69"/>
      <c r="CZ84" s="69"/>
      <c r="DA84" s="69"/>
      <c r="DB84" s="69"/>
      <c r="DC84" s="69"/>
      <c r="DD84" s="69"/>
    </row>
    <row r="85" spans="1:108" ht="16.5" x14ac:dyDescent="0.2">
      <c r="A85" s="23">
        <v>81</v>
      </c>
      <c r="B85" s="60">
        <v>10</v>
      </c>
      <c r="C85" s="38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0">
        <v>11</v>
      </c>
      <c r="M85" s="38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0">
        <v>13</v>
      </c>
      <c r="W85" s="38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0">
        <v>13</v>
      </c>
      <c r="AG85" s="38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69">
        <v>81</v>
      </c>
      <c r="CG85" s="69">
        <v>1</v>
      </c>
      <c r="CH85" s="69" t="s">
        <v>451</v>
      </c>
      <c r="CI85" s="69">
        <v>81</v>
      </c>
      <c r="CJ85" s="69"/>
      <c r="CK85" s="69"/>
      <c r="CL85" s="69"/>
      <c r="CM85" s="69" t="s">
        <v>660</v>
      </c>
      <c r="CN85" s="69">
        <v>5400</v>
      </c>
      <c r="CO85" s="69" t="s">
        <v>661</v>
      </c>
      <c r="CP85" s="69">
        <v>85</v>
      </c>
      <c r="CQ85" s="69"/>
      <c r="CR85" s="69"/>
      <c r="CS85" s="69" t="s">
        <v>661</v>
      </c>
      <c r="CT85" s="69">
        <v>100</v>
      </c>
      <c r="CU85" s="69"/>
      <c r="CV85" s="69"/>
      <c r="CW85" s="69"/>
      <c r="CX85" s="69"/>
      <c r="CY85" s="69"/>
      <c r="CZ85" s="69"/>
      <c r="DA85" s="69"/>
      <c r="DB85" s="69"/>
      <c r="DC85" s="69"/>
      <c r="DD85" s="69"/>
    </row>
    <row r="86" spans="1:108" ht="16.5" x14ac:dyDescent="0.2">
      <c r="A86" s="23">
        <v>82</v>
      </c>
      <c r="B86" s="60">
        <v>10</v>
      </c>
      <c r="C86" s="38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0">
        <v>11</v>
      </c>
      <c r="M86" s="38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0">
        <v>13</v>
      </c>
      <c r="W86" s="38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0">
        <v>13</v>
      </c>
      <c r="AG86" s="38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69">
        <v>82</v>
      </c>
      <c r="CG86" s="69">
        <v>1</v>
      </c>
      <c r="CH86" s="69" t="s">
        <v>451</v>
      </c>
      <c r="CI86" s="69">
        <v>82</v>
      </c>
      <c r="CJ86" s="69"/>
      <c r="CK86" s="69"/>
      <c r="CL86" s="69"/>
      <c r="CM86" s="69" t="s">
        <v>660</v>
      </c>
      <c r="CN86" s="69">
        <v>5400</v>
      </c>
      <c r="CO86" s="69" t="s">
        <v>661</v>
      </c>
      <c r="CP86" s="69">
        <v>85</v>
      </c>
      <c r="CQ86" s="69"/>
      <c r="CR86" s="69"/>
      <c r="CS86" s="69" t="s">
        <v>661</v>
      </c>
      <c r="CT86" s="69">
        <v>100</v>
      </c>
      <c r="CU86" s="69"/>
      <c r="CV86" s="69"/>
      <c r="CW86" s="69"/>
      <c r="CX86" s="69"/>
      <c r="CY86" s="69"/>
      <c r="CZ86" s="69"/>
      <c r="DA86" s="69"/>
      <c r="DB86" s="69"/>
      <c r="DC86" s="69"/>
      <c r="DD86" s="69"/>
    </row>
    <row r="87" spans="1:108" ht="16.5" x14ac:dyDescent="0.2">
      <c r="A87" s="23">
        <v>83</v>
      </c>
      <c r="B87" s="60">
        <v>10</v>
      </c>
      <c r="C87" s="38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0">
        <v>11</v>
      </c>
      <c r="M87" s="38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0">
        <v>13</v>
      </c>
      <c r="W87" s="38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0">
        <v>13</v>
      </c>
      <c r="AG87" s="38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69">
        <v>83</v>
      </c>
      <c r="CG87" s="69">
        <v>1</v>
      </c>
      <c r="CH87" s="69" t="s">
        <v>451</v>
      </c>
      <c r="CI87" s="69">
        <v>83</v>
      </c>
      <c r="CJ87" s="69"/>
      <c r="CK87" s="69"/>
      <c r="CL87" s="69"/>
      <c r="CM87" s="69" t="s">
        <v>660</v>
      </c>
      <c r="CN87" s="69">
        <v>5400</v>
      </c>
      <c r="CO87" s="69" t="s">
        <v>661</v>
      </c>
      <c r="CP87" s="69">
        <v>85</v>
      </c>
      <c r="CQ87" s="69"/>
      <c r="CR87" s="69"/>
      <c r="CS87" s="69" t="s">
        <v>661</v>
      </c>
      <c r="CT87" s="69">
        <v>100</v>
      </c>
      <c r="CU87" s="69"/>
      <c r="CV87" s="69"/>
      <c r="CW87" s="69"/>
      <c r="CX87" s="69"/>
      <c r="CY87" s="69"/>
      <c r="CZ87" s="69"/>
      <c r="DA87" s="69"/>
      <c r="DB87" s="69"/>
      <c r="DC87" s="69"/>
      <c r="DD87" s="69"/>
    </row>
    <row r="88" spans="1:108" ht="16.5" x14ac:dyDescent="0.2">
      <c r="A88" s="23">
        <v>84</v>
      </c>
      <c r="B88" s="60">
        <v>10</v>
      </c>
      <c r="C88" s="38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0">
        <v>11</v>
      </c>
      <c r="M88" s="38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0">
        <v>13</v>
      </c>
      <c r="W88" s="38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0">
        <v>13</v>
      </c>
      <c r="AG88" s="38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69">
        <v>84</v>
      </c>
      <c r="CG88" s="69">
        <v>1</v>
      </c>
      <c r="CH88" s="69" t="s">
        <v>451</v>
      </c>
      <c r="CI88" s="69">
        <v>84</v>
      </c>
      <c r="CJ88" s="69"/>
      <c r="CK88" s="69"/>
      <c r="CL88" s="69"/>
      <c r="CM88" s="69" t="s">
        <v>660</v>
      </c>
      <c r="CN88" s="69">
        <v>5400</v>
      </c>
      <c r="CO88" s="69" t="s">
        <v>661</v>
      </c>
      <c r="CP88" s="69">
        <v>85</v>
      </c>
      <c r="CQ88" s="69"/>
      <c r="CR88" s="69"/>
      <c r="CS88" s="69" t="s">
        <v>661</v>
      </c>
      <c r="CT88" s="69">
        <v>100</v>
      </c>
      <c r="CU88" s="69"/>
      <c r="CV88" s="69"/>
      <c r="CW88" s="69"/>
      <c r="CX88" s="69"/>
      <c r="CY88" s="69"/>
      <c r="CZ88" s="69"/>
      <c r="DA88" s="69"/>
      <c r="DB88" s="69"/>
      <c r="DC88" s="69"/>
      <c r="DD88" s="69"/>
    </row>
    <row r="89" spans="1:108" ht="16.5" x14ac:dyDescent="0.2">
      <c r="A89" s="23">
        <v>85</v>
      </c>
      <c r="B89" s="60">
        <v>10</v>
      </c>
      <c r="C89" s="38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8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0">
        <v>13</v>
      </c>
      <c r="W89" s="38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0">
        <v>13</v>
      </c>
      <c r="AG89" s="38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69">
        <v>85</v>
      </c>
      <c r="CG89" s="69">
        <v>1</v>
      </c>
      <c r="CH89" s="69" t="s">
        <v>451</v>
      </c>
      <c r="CI89" s="69">
        <v>85</v>
      </c>
      <c r="CJ89" s="69"/>
      <c r="CK89" s="69"/>
      <c r="CL89" s="69"/>
      <c r="CM89" s="69" t="s">
        <v>660</v>
      </c>
      <c r="CN89" s="69">
        <v>5400</v>
      </c>
      <c r="CO89" s="69" t="s">
        <v>661</v>
      </c>
      <c r="CP89" s="69">
        <v>85</v>
      </c>
      <c r="CQ89" s="69" t="s">
        <v>662</v>
      </c>
      <c r="CR89" s="69">
        <v>2</v>
      </c>
      <c r="CS89" s="69" t="s">
        <v>661</v>
      </c>
      <c r="CT89" s="69">
        <v>105</v>
      </c>
      <c r="CU89" s="69"/>
      <c r="CV89" s="69"/>
      <c r="CW89" s="69"/>
      <c r="CX89" s="69"/>
      <c r="CY89" s="69"/>
      <c r="CZ89" s="69"/>
      <c r="DA89" s="69"/>
      <c r="DB89" s="69"/>
      <c r="DC89" s="69"/>
      <c r="DD89" s="69"/>
    </row>
    <row r="90" spans="1:108" ht="16.5" x14ac:dyDescent="0.2">
      <c r="A90" s="23">
        <v>86</v>
      </c>
      <c r="B90" s="60">
        <v>10</v>
      </c>
      <c r="C90" s="38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0">
        <v>12</v>
      </c>
      <c r="M90" s="38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0">
        <v>13</v>
      </c>
      <c r="W90" s="38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0">
        <v>13</v>
      </c>
      <c r="AG90" s="38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69">
        <v>86</v>
      </c>
      <c r="CG90" s="69">
        <v>1</v>
      </c>
      <c r="CH90" s="69" t="s">
        <v>451</v>
      </c>
      <c r="CI90" s="69">
        <v>86</v>
      </c>
      <c r="CJ90" s="69"/>
      <c r="CK90" s="69"/>
      <c r="CL90" s="69"/>
      <c r="CM90" s="69" t="s">
        <v>660</v>
      </c>
      <c r="CN90" s="69">
        <v>5400</v>
      </c>
      <c r="CO90" s="69" t="s">
        <v>661</v>
      </c>
      <c r="CP90" s="69">
        <v>90</v>
      </c>
      <c r="CQ90" s="69"/>
      <c r="CR90" s="69"/>
      <c r="CS90" s="69" t="s">
        <v>661</v>
      </c>
      <c r="CT90" s="69">
        <v>105</v>
      </c>
      <c r="CU90" s="69"/>
      <c r="CV90" s="69"/>
      <c r="CW90" s="69"/>
      <c r="CX90" s="69"/>
      <c r="CY90" s="69"/>
      <c r="CZ90" s="69"/>
      <c r="DA90" s="69"/>
      <c r="DB90" s="69"/>
      <c r="DC90" s="69"/>
      <c r="DD90" s="69"/>
    </row>
    <row r="91" spans="1:108" ht="16.5" x14ac:dyDescent="0.2">
      <c r="A91" s="23">
        <v>87</v>
      </c>
      <c r="B91" s="60">
        <v>10</v>
      </c>
      <c r="C91" s="38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0">
        <v>12</v>
      </c>
      <c r="M91" s="38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0">
        <v>13</v>
      </c>
      <c r="W91" s="38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0">
        <v>13</v>
      </c>
      <c r="AG91" s="38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69">
        <v>87</v>
      </c>
      <c r="CG91" s="69">
        <v>1</v>
      </c>
      <c r="CH91" s="69" t="s">
        <v>451</v>
      </c>
      <c r="CI91" s="69">
        <v>87</v>
      </c>
      <c r="CJ91" s="69"/>
      <c r="CK91" s="69"/>
      <c r="CL91" s="69"/>
      <c r="CM91" s="69" t="s">
        <v>660</v>
      </c>
      <c r="CN91" s="69">
        <v>5400</v>
      </c>
      <c r="CO91" s="69" t="s">
        <v>661</v>
      </c>
      <c r="CP91" s="69">
        <v>90</v>
      </c>
      <c r="CQ91" s="69"/>
      <c r="CR91" s="69"/>
      <c r="CS91" s="69" t="s">
        <v>661</v>
      </c>
      <c r="CT91" s="69">
        <v>105</v>
      </c>
      <c r="CU91" s="69"/>
      <c r="CV91" s="69"/>
      <c r="CW91" s="69"/>
      <c r="CX91" s="69"/>
      <c r="CY91" s="69"/>
      <c r="CZ91" s="69"/>
      <c r="DA91" s="69"/>
      <c r="DB91" s="69"/>
      <c r="DC91" s="69"/>
      <c r="DD91" s="69"/>
    </row>
    <row r="92" spans="1:108" ht="16.5" x14ac:dyDescent="0.2">
      <c r="A92" s="23">
        <v>88</v>
      </c>
      <c r="B92" s="60">
        <v>10</v>
      </c>
      <c r="C92" s="38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0">
        <v>12</v>
      </c>
      <c r="M92" s="38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0">
        <v>13</v>
      </c>
      <c r="W92" s="38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0">
        <v>13</v>
      </c>
      <c r="AG92" s="38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69">
        <v>88</v>
      </c>
      <c r="CG92" s="69">
        <v>1</v>
      </c>
      <c r="CH92" s="69" t="s">
        <v>451</v>
      </c>
      <c r="CI92" s="69">
        <v>88</v>
      </c>
      <c r="CJ92" s="69"/>
      <c r="CK92" s="69"/>
      <c r="CL92" s="69"/>
      <c r="CM92" s="69" t="s">
        <v>660</v>
      </c>
      <c r="CN92" s="69">
        <v>5400</v>
      </c>
      <c r="CO92" s="69" t="s">
        <v>661</v>
      </c>
      <c r="CP92" s="69">
        <v>90</v>
      </c>
      <c r="CQ92" s="69"/>
      <c r="CR92" s="69"/>
      <c r="CS92" s="69" t="s">
        <v>661</v>
      </c>
      <c r="CT92" s="69">
        <v>105</v>
      </c>
      <c r="CU92" s="69"/>
      <c r="CV92" s="69"/>
      <c r="CW92" s="69"/>
      <c r="CX92" s="69"/>
      <c r="CY92" s="69"/>
      <c r="CZ92" s="69"/>
      <c r="DA92" s="69"/>
      <c r="DB92" s="69"/>
      <c r="DC92" s="69"/>
      <c r="DD92" s="69"/>
    </row>
    <row r="93" spans="1:108" ht="16.5" x14ac:dyDescent="0.2">
      <c r="A93" s="23">
        <v>89</v>
      </c>
      <c r="B93" s="60">
        <v>10</v>
      </c>
      <c r="C93" s="38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0">
        <v>12</v>
      </c>
      <c r="M93" s="38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0">
        <v>13</v>
      </c>
      <c r="W93" s="38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0">
        <v>13</v>
      </c>
      <c r="AG93" s="38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69">
        <v>89</v>
      </c>
      <c r="CG93" s="69">
        <v>1</v>
      </c>
      <c r="CH93" s="69" t="s">
        <v>451</v>
      </c>
      <c r="CI93" s="69">
        <v>89</v>
      </c>
      <c r="CJ93" s="69"/>
      <c r="CK93" s="69"/>
      <c r="CL93" s="69"/>
      <c r="CM93" s="69" t="s">
        <v>660</v>
      </c>
      <c r="CN93" s="69">
        <v>5400</v>
      </c>
      <c r="CO93" s="69" t="s">
        <v>661</v>
      </c>
      <c r="CP93" s="69">
        <v>90</v>
      </c>
      <c r="CQ93" s="69"/>
      <c r="CR93" s="69"/>
      <c r="CS93" s="69" t="s">
        <v>661</v>
      </c>
      <c r="CT93" s="69">
        <v>105</v>
      </c>
      <c r="CU93" s="69"/>
      <c r="CV93" s="69"/>
      <c r="CW93" s="69"/>
      <c r="CX93" s="69"/>
      <c r="CY93" s="69"/>
      <c r="CZ93" s="69"/>
      <c r="DA93" s="69"/>
      <c r="DB93" s="69"/>
      <c r="DC93" s="69"/>
      <c r="DD93" s="69"/>
    </row>
    <row r="94" spans="1:108" ht="16.5" x14ac:dyDescent="0.2">
      <c r="A94" s="23">
        <v>90</v>
      </c>
      <c r="B94" s="60">
        <v>10</v>
      </c>
      <c r="C94" s="38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0">
        <v>12</v>
      </c>
      <c r="M94" s="38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8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0">
        <v>14</v>
      </c>
      <c r="AG94" s="38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69">
        <v>90</v>
      </c>
      <c r="CG94" s="69">
        <v>1</v>
      </c>
      <c r="CH94" s="69" t="s">
        <v>451</v>
      </c>
      <c r="CI94" s="69">
        <v>90</v>
      </c>
      <c r="CJ94" s="69"/>
      <c r="CK94" s="69"/>
      <c r="CL94" s="69"/>
      <c r="CM94" s="69" t="s">
        <v>660</v>
      </c>
      <c r="CN94" s="69">
        <v>5400</v>
      </c>
      <c r="CO94" s="69" t="s">
        <v>661</v>
      </c>
      <c r="CP94" s="69">
        <v>90</v>
      </c>
      <c r="CQ94" s="69" t="s">
        <v>487</v>
      </c>
      <c r="CR94" s="69">
        <v>2</v>
      </c>
      <c r="CS94" s="69" t="s">
        <v>661</v>
      </c>
      <c r="CT94" s="69">
        <v>110</v>
      </c>
      <c r="CU94" s="69"/>
      <c r="CV94" s="69"/>
      <c r="CW94" s="69"/>
      <c r="CX94" s="69"/>
      <c r="CY94" s="69"/>
      <c r="CZ94" s="69"/>
      <c r="DA94" s="69"/>
      <c r="DB94" s="69"/>
      <c r="DC94" s="69"/>
      <c r="DD94" s="69"/>
    </row>
    <row r="95" spans="1:108" ht="16.5" x14ac:dyDescent="0.2">
      <c r="A95" s="23">
        <v>91</v>
      </c>
      <c r="B95" s="60">
        <v>10</v>
      </c>
      <c r="C95" s="38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0">
        <v>12</v>
      </c>
      <c r="M95" s="38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0">
        <v>14</v>
      </c>
      <c r="W95" s="38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0">
        <v>14</v>
      </c>
      <c r="AG95" s="38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69">
        <v>91</v>
      </c>
      <c r="CG95" s="69">
        <v>1</v>
      </c>
      <c r="CH95" s="69" t="s">
        <v>451</v>
      </c>
      <c r="CI95" s="69">
        <v>91</v>
      </c>
      <c r="CJ95" s="69"/>
      <c r="CK95" s="69"/>
      <c r="CL95" s="69"/>
      <c r="CM95" s="69" t="s">
        <v>660</v>
      </c>
      <c r="CN95" s="69">
        <v>5400</v>
      </c>
      <c r="CO95" s="69" t="s">
        <v>661</v>
      </c>
      <c r="CP95" s="69">
        <v>95</v>
      </c>
      <c r="CQ95" s="69"/>
      <c r="CR95" s="69"/>
      <c r="CS95" s="69" t="s">
        <v>661</v>
      </c>
      <c r="CT95" s="69">
        <v>110</v>
      </c>
      <c r="CU95" s="69"/>
      <c r="CV95" s="69"/>
      <c r="CW95" s="69"/>
      <c r="CX95" s="69"/>
      <c r="CY95" s="69"/>
      <c r="CZ95" s="69"/>
      <c r="DA95" s="69"/>
      <c r="DB95" s="69"/>
      <c r="DC95" s="69"/>
      <c r="DD95" s="69"/>
    </row>
    <row r="96" spans="1:108" ht="16.5" x14ac:dyDescent="0.2">
      <c r="A96" s="23">
        <v>92</v>
      </c>
      <c r="B96" s="60">
        <v>10</v>
      </c>
      <c r="C96" s="38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0">
        <v>12</v>
      </c>
      <c r="M96" s="38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0">
        <v>14</v>
      </c>
      <c r="W96" s="38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0">
        <v>14</v>
      </c>
      <c r="AG96" s="38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69">
        <v>92</v>
      </c>
      <c r="CG96" s="69">
        <v>1</v>
      </c>
      <c r="CH96" s="69" t="s">
        <v>451</v>
      </c>
      <c r="CI96" s="69">
        <v>92</v>
      </c>
      <c r="CJ96" s="69"/>
      <c r="CK96" s="69"/>
      <c r="CL96" s="69"/>
      <c r="CM96" s="69" t="s">
        <v>660</v>
      </c>
      <c r="CN96" s="69">
        <v>5400</v>
      </c>
      <c r="CO96" s="69" t="s">
        <v>661</v>
      </c>
      <c r="CP96" s="69">
        <v>95</v>
      </c>
      <c r="CQ96" s="69"/>
      <c r="CR96" s="69"/>
      <c r="CS96" s="69" t="s">
        <v>661</v>
      </c>
      <c r="CT96" s="69">
        <v>110</v>
      </c>
      <c r="CU96" s="69"/>
      <c r="CV96" s="69"/>
      <c r="CW96" s="69"/>
      <c r="CX96" s="69"/>
      <c r="CY96" s="69"/>
      <c r="CZ96" s="69"/>
      <c r="DA96" s="69"/>
      <c r="DB96" s="69"/>
      <c r="DC96" s="69"/>
      <c r="DD96" s="69"/>
    </row>
    <row r="97" spans="1:108" ht="16.5" x14ac:dyDescent="0.2">
      <c r="A97" s="23">
        <v>93</v>
      </c>
      <c r="B97" s="60">
        <v>10</v>
      </c>
      <c r="C97" s="38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0">
        <v>12</v>
      </c>
      <c r="M97" s="38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0">
        <v>14</v>
      </c>
      <c r="W97" s="38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0">
        <v>14</v>
      </c>
      <c r="AG97" s="38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69">
        <v>93</v>
      </c>
      <c r="CG97" s="69">
        <v>1</v>
      </c>
      <c r="CH97" s="69" t="s">
        <v>451</v>
      </c>
      <c r="CI97" s="69">
        <v>93</v>
      </c>
      <c r="CJ97" s="69"/>
      <c r="CK97" s="69"/>
      <c r="CL97" s="69"/>
      <c r="CM97" s="69" t="s">
        <v>660</v>
      </c>
      <c r="CN97" s="69">
        <v>5400</v>
      </c>
      <c r="CO97" s="69" t="s">
        <v>661</v>
      </c>
      <c r="CP97" s="69">
        <v>95</v>
      </c>
      <c r="CQ97" s="69"/>
      <c r="CR97" s="69"/>
      <c r="CS97" s="69" t="s">
        <v>661</v>
      </c>
      <c r="CT97" s="69">
        <v>110</v>
      </c>
      <c r="CU97" s="69"/>
      <c r="CV97" s="69"/>
      <c r="CW97" s="69"/>
      <c r="CX97" s="69"/>
      <c r="CY97" s="69"/>
      <c r="CZ97" s="69"/>
      <c r="DA97" s="69"/>
      <c r="DB97" s="69"/>
      <c r="DC97" s="69"/>
      <c r="DD97" s="69"/>
    </row>
    <row r="98" spans="1:108" ht="16.5" x14ac:dyDescent="0.2">
      <c r="A98" s="23">
        <v>94</v>
      </c>
      <c r="B98" s="60">
        <v>10</v>
      </c>
      <c r="C98" s="38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0">
        <v>12</v>
      </c>
      <c r="M98" s="38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0">
        <v>14</v>
      </c>
      <c r="W98" s="38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0">
        <v>14</v>
      </c>
      <c r="AG98" s="38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69">
        <v>94</v>
      </c>
      <c r="CG98" s="69">
        <v>1</v>
      </c>
      <c r="CH98" s="69" t="s">
        <v>451</v>
      </c>
      <c r="CI98" s="69">
        <v>94</v>
      </c>
      <c r="CJ98" s="69"/>
      <c r="CK98" s="69"/>
      <c r="CL98" s="69"/>
      <c r="CM98" s="69" t="s">
        <v>660</v>
      </c>
      <c r="CN98" s="69">
        <v>5400</v>
      </c>
      <c r="CO98" s="69" t="s">
        <v>661</v>
      </c>
      <c r="CP98" s="69">
        <v>95</v>
      </c>
      <c r="CQ98" s="69"/>
      <c r="CR98" s="69"/>
      <c r="CS98" s="69" t="s">
        <v>661</v>
      </c>
      <c r="CT98" s="69">
        <v>110</v>
      </c>
      <c r="CU98" s="69"/>
      <c r="CV98" s="69"/>
      <c r="CW98" s="69"/>
      <c r="CX98" s="69"/>
      <c r="CY98" s="69"/>
      <c r="CZ98" s="69"/>
      <c r="DA98" s="69"/>
      <c r="DB98" s="69"/>
      <c r="DC98" s="69"/>
      <c r="DD98" s="69"/>
    </row>
    <row r="99" spans="1:108" ht="16.5" x14ac:dyDescent="0.2">
      <c r="A99" s="23">
        <v>95</v>
      </c>
      <c r="B99" s="60">
        <v>10</v>
      </c>
      <c r="C99" s="38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0">
        <v>12</v>
      </c>
      <c r="M99" s="38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0">
        <v>14</v>
      </c>
      <c r="W99" s="38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0">
        <v>14</v>
      </c>
      <c r="AG99" s="38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69">
        <v>95</v>
      </c>
      <c r="CG99" s="69">
        <v>1</v>
      </c>
      <c r="CH99" s="69" t="s">
        <v>451</v>
      </c>
      <c r="CI99" s="69">
        <v>95</v>
      </c>
      <c r="CJ99" s="69"/>
      <c r="CK99" s="69"/>
      <c r="CL99" s="69"/>
      <c r="CM99" s="69" t="s">
        <v>660</v>
      </c>
      <c r="CN99" s="69">
        <v>5400</v>
      </c>
      <c r="CO99" s="69" t="s">
        <v>661</v>
      </c>
      <c r="CP99" s="69">
        <v>95</v>
      </c>
      <c r="CQ99" s="69" t="s">
        <v>662</v>
      </c>
      <c r="CR99" s="69">
        <v>2</v>
      </c>
      <c r="CS99" s="69" t="s">
        <v>661</v>
      </c>
      <c r="CT99" s="69">
        <v>115</v>
      </c>
      <c r="CU99" s="69"/>
      <c r="CV99" s="69"/>
      <c r="CW99" s="69"/>
      <c r="CX99" s="69"/>
      <c r="CY99" s="69"/>
      <c r="CZ99" s="69"/>
      <c r="DA99" s="69"/>
      <c r="DB99" s="69"/>
      <c r="DC99" s="69"/>
      <c r="DD99" s="69"/>
    </row>
    <row r="100" spans="1:108" ht="16.5" x14ac:dyDescent="0.2">
      <c r="A100" s="23">
        <v>96</v>
      </c>
      <c r="B100" s="26">
        <v>11</v>
      </c>
      <c r="C100" s="38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0">
        <v>12</v>
      </c>
      <c r="M100" s="38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8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0">
        <v>15</v>
      </c>
      <c r="AG100" s="38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69">
        <v>96</v>
      </c>
      <c r="CG100" s="69">
        <v>1</v>
      </c>
      <c r="CH100" s="69" t="s">
        <v>451</v>
      </c>
      <c r="CI100" s="69">
        <v>96</v>
      </c>
      <c r="CJ100" s="69"/>
      <c r="CK100" s="69"/>
      <c r="CL100" s="69"/>
      <c r="CM100" s="69" t="s">
        <v>660</v>
      </c>
      <c r="CN100" s="69">
        <v>6600</v>
      </c>
      <c r="CO100" s="69" t="s">
        <v>661</v>
      </c>
      <c r="CP100" s="69">
        <v>100</v>
      </c>
      <c r="CQ100" s="69"/>
      <c r="CR100" s="69"/>
      <c r="CS100" s="69" t="s">
        <v>661</v>
      </c>
      <c r="CT100" s="69">
        <v>115</v>
      </c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</row>
    <row r="101" spans="1:108" ht="16.5" x14ac:dyDescent="0.2">
      <c r="A101" s="23">
        <v>97</v>
      </c>
      <c r="B101" s="60">
        <v>11</v>
      </c>
      <c r="C101" s="38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0">
        <v>12</v>
      </c>
      <c r="M101" s="38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8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0">
        <v>15</v>
      </c>
      <c r="AG101" s="38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69">
        <v>97</v>
      </c>
      <c r="CG101" s="69">
        <v>1</v>
      </c>
      <c r="CH101" s="69" t="s">
        <v>451</v>
      </c>
      <c r="CI101" s="69">
        <v>97</v>
      </c>
      <c r="CJ101" s="69"/>
      <c r="CK101" s="69"/>
      <c r="CL101" s="69"/>
      <c r="CM101" s="69" t="s">
        <v>660</v>
      </c>
      <c r="CN101" s="69">
        <v>6600</v>
      </c>
      <c r="CO101" s="69" t="s">
        <v>661</v>
      </c>
      <c r="CP101" s="69">
        <v>100</v>
      </c>
      <c r="CQ101" s="69"/>
      <c r="CR101" s="69"/>
      <c r="CS101" s="69" t="s">
        <v>661</v>
      </c>
      <c r="CT101" s="69">
        <v>115</v>
      </c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</row>
    <row r="102" spans="1:108" ht="16.5" x14ac:dyDescent="0.2">
      <c r="A102" s="23">
        <v>98</v>
      </c>
      <c r="B102" s="60">
        <v>11</v>
      </c>
      <c r="C102" s="38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0">
        <v>12</v>
      </c>
      <c r="M102" s="38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8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0">
        <v>15</v>
      </c>
      <c r="AG102" s="38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69">
        <v>98</v>
      </c>
      <c r="CG102" s="69">
        <v>1</v>
      </c>
      <c r="CH102" s="69" t="s">
        <v>451</v>
      </c>
      <c r="CI102" s="69">
        <v>98</v>
      </c>
      <c r="CJ102" s="69"/>
      <c r="CK102" s="69"/>
      <c r="CL102" s="69"/>
      <c r="CM102" s="69" t="s">
        <v>660</v>
      </c>
      <c r="CN102" s="69">
        <v>6600</v>
      </c>
      <c r="CO102" s="69" t="s">
        <v>661</v>
      </c>
      <c r="CP102" s="69">
        <v>100</v>
      </c>
      <c r="CQ102" s="69"/>
      <c r="CR102" s="69"/>
      <c r="CS102" s="69" t="s">
        <v>661</v>
      </c>
      <c r="CT102" s="69">
        <v>115</v>
      </c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</row>
    <row r="103" spans="1:108" ht="16.5" x14ac:dyDescent="0.2">
      <c r="A103" s="23">
        <v>99</v>
      </c>
      <c r="B103" s="60">
        <v>11</v>
      </c>
      <c r="C103" s="38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0">
        <v>12</v>
      </c>
      <c r="M103" s="38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8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0">
        <v>15</v>
      </c>
      <c r="AG103" s="38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69">
        <v>99</v>
      </c>
      <c r="CG103" s="69">
        <v>1</v>
      </c>
      <c r="CH103" s="69" t="s">
        <v>451</v>
      </c>
      <c r="CI103" s="69">
        <v>99</v>
      </c>
      <c r="CJ103" s="69"/>
      <c r="CK103" s="69"/>
      <c r="CL103" s="69"/>
      <c r="CM103" s="69" t="s">
        <v>660</v>
      </c>
      <c r="CN103" s="69">
        <v>6600</v>
      </c>
      <c r="CO103" s="69" t="s">
        <v>661</v>
      </c>
      <c r="CP103" s="69">
        <v>100</v>
      </c>
      <c r="CQ103" s="69"/>
      <c r="CR103" s="69"/>
      <c r="CS103" s="69" t="s">
        <v>661</v>
      </c>
      <c r="CT103" s="69">
        <v>115</v>
      </c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</row>
    <row r="104" spans="1:108" ht="16.5" x14ac:dyDescent="0.2">
      <c r="A104" s="23">
        <v>100</v>
      </c>
      <c r="B104" s="60">
        <v>11</v>
      </c>
      <c r="C104" s="38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8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8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0">
        <v>15</v>
      </c>
      <c r="AG104" s="38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69">
        <v>100</v>
      </c>
      <c r="CG104" s="69">
        <v>1</v>
      </c>
      <c r="CH104" s="69" t="s">
        <v>451</v>
      </c>
      <c r="CI104" s="69">
        <v>100</v>
      </c>
      <c r="CJ104" s="69"/>
      <c r="CK104" s="69"/>
      <c r="CL104" s="69"/>
      <c r="CM104" s="69" t="s">
        <v>660</v>
      </c>
      <c r="CN104" s="69">
        <v>6600</v>
      </c>
      <c r="CO104" s="69" t="s">
        <v>661</v>
      </c>
      <c r="CP104" s="69">
        <v>100</v>
      </c>
      <c r="CQ104" s="69" t="s">
        <v>487</v>
      </c>
      <c r="CR104" s="69">
        <v>2</v>
      </c>
      <c r="CS104" s="69" t="s">
        <v>661</v>
      </c>
      <c r="CT104" s="69">
        <v>120</v>
      </c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69">
        <v>101</v>
      </c>
      <c r="CG105" s="69">
        <v>2</v>
      </c>
      <c r="CH105" s="69" t="s">
        <v>451</v>
      </c>
      <c r="CI105" s="69">
        <v>1</v>
      </c>
      <c r="CJ105" s="69"/>
      <c r="CK105" s="69"/>
      <c r="CL105" s="69"/>
      <c r="CM105" s="69" t="s">
        <v>660</v>
      </c>
      <c r="CN105" s="69">
        <v>3000</v>
      </c>
      <c r="CO105" s="69" t="s">
        <v>661</v>
      </c>
      <c r="CP105" s="69">
        <v>10</v>
      </c>
      <c r="CQ105" s="69"/>
      <c r="CR105" s="69"/>
      <c r="CS105" s="69" t="s">
        <v>661</v>
      </c>
      <c r="CT105" s="69">
        <v>20</v>
      </c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</row>
    <row r="106" spans="1:108" ht="16.5" x14ac:dyDescent="0.2">
      <c r="BB106" s="69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69">
        <v>102</v>
      </c>
      <c r="CG106" s="69">
        <v>2</v>
      </c>
      <c r="CH106" s="69" t="s">
        <v>451</v>
      </c>
      <c r="CI106" s="69">
        <v>2</v>
      </c>
      <c r="CJ106" s="69"/>
      <c r="CK106" s="69"/>
      <c r="CL106" s="69"/>
      <c r="CM106" s="69" t="s">
        <v>660</v>
      </c>
      <c r="CN106" s="69">
        <v>3000</v>
      </c>
      <c r="CO106" s="69" t="s">
        <v>661</v>
      </c>
      <c r="CP106" s="69">
        <v>10</v>
      </c>
      <c r="CQ106" s="69" t="s">
        <v>488</v>
      </c>
      <c r="CR106" s="69">
        <v>1</v>
      </c>
      <c r="CS106" s="69" t="s">
        <v>661</v>
      </c>
      <c r="CT106" s="69">
        <v>20</v>
      </c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</row>
    <row r="107" spans="1:108" ht="16.5" x14ac:dyDescent="0.2">
      <c r="BB107" s="69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69">
        <v>103</v>
      </c>
      <c r="CG107" s="69">
        <v>2</v>
      </c>
      <c r="CH107" s="69" t="s">
        <v>451</v>
      </c>
      <c r="CI107" s="69">
        <v>3</v>
      </c>
      <c r="CJ107" s="69"/>
      <c r="CK107" s="69"/>
      <c r="CL107" s="69"/>
      <c r="CM107" s="69" t="s">
        <v>660</v>
      </c>
      <c r="CN107" s="69">
        <v>3000</v>
      </c>
      <c r="CO107" s="69" t="s">
        <v>661</v>
      </c>
      <c r="CP107" s="69">
        <v>10</v>
      </c>
      <c r="CQ107" s="69"/>
      <c r="CR107" s="69"/>
      <c r="CS107" s="69" t="s">
        <v>661</v>
      </c>
      <c r="CT107" s="69">
        <v>20</v>
      </c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</row>
    <row r="108" spans="1:108" ht="16.5" x14ac:dyDescent="0.2">
      <c r="BB108" s="69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69">
        <v>104</v>
      </c>
      <c r="CG108" s="69">
        <v>2</v>
      </c>
      <c r="CH108" s="69" t="s">
        <v>451</v>
      </c>
      <c r="CI108" s="69">
        <v>4</v>
      </c>
      <c r="CJ108" s="69"/>
      <c r="CK108" s="69"/>
      <c r="CL108" s="69"/>
      <c r="CM108" s="69" t="s">
        <v>660</v>
      </c>
      <c r="CN108" s="69">
        <v>3000</v>
      </c>
      <c r="CO108" s="69" t="s">
        <v>661</v>
      </c>
      <c r="CP108" s="69">
        <v>10</v>
      </c>
      <c r="CQ108" s="69" t="s">
        <v>489</v>
      </c>
      <c r="CR108" s="69">
        <v>1</v>
      </c>
      <c r="CS108" s="69" t="s">
        <v>661</v>
      </c>
      <c r="CT108" s="69">
        <v>20</v>
      </c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</row>
    <row r="109" spans="1:108" ht="16.5" x14ac:dyDescent="0.2">
      <c r="BB109" s="69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69">
        <v>105</v>
      </c>
      <c r="CG109" s="69">
        <v>2</v>
      </c>
      <c r="CH109" s="69" t="s">
        <v>451</v>
      </c>
      <c r="CI109" s="69">
        <v>5</v>
      </c>
      <c r="CJ109" s="69"/>
      <c r="CK109" s="69"/>
      <c r="CL109" s="69"/>
      <c r="CM109" s="69" t="s">
        <v>660</v>
      </c>
      <c r="CN109" s="69">
        <v>3840</v>
      </c>
      <c r="CO109" s="69" t="s">
        <v>661</v>
      </c>
      <c r="CP109" s="69">
        <v>10</v>
      </c>
      <c r="CQ109" s="69"/>
      <c r="CR109" s="69"/>
      <c r="CS109" s="69" t="s">
        <v>661</v>
      </c>
      <c r="CT109" s="69">
        <v>25</v>
      </c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</row>
    <row r="110" spans="1:108" ht="16.5" x14ac:dyDescent="0.2">
      <c r="BB110" s="69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69">
        <v>106</v>
      </c>
      <c r="CG110" s="69">
        <v>2</v>
      </c>
      <c r="CH110" s="69" t="s">
        <v>451</v>
      </c>
      <c r="CI110" s="69">
        <v>6</v>
      </c>
      <c r="CJ110" s="69"/>
      <c r="CK110" s="69"/>
      <c r="CL110" s="69"/>
      <c r="CM110" s="69" t="s">
        <v>660</v>
      </c>
      <c r="CN110" s="69">
        <v>3840</v>
      </c>
      <c r="CO110" s="69" t="s">
        <v>661</v>
      </c>
      <c r="CP110" s="69">
        <v>15</v>
      </c>
      <c r="CQ110" s="69"/>
      <c r="CR110" s="69"/>
      <c r="CS110" s="69" t="s">
        <v>661</v>
      </c>
      <c r="CT110" s="69">
        <v>25</v>
      </c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</row>
    <row r="111" spans="1:108" ht="16.5" x14ac:dyDescent="0.2">
      <c r="BB111" s="69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69">
        <v>107</v>
      </c>
      <c r="CG111" s="69">
        <v>2</v>
      </c>
      <c r="CH111" s="69" t="s">
        <v>451</v>
      </c>
      <c r="CI111" s="69">
        <v>7</v>
      </c>
      <c r="CJ111" s="69"/>
      <c r="CK111" s="69"/>
      <c r="CL111" s="69"/>
      <c r="CM111" s="69" t="s">
        <v>660</v>
      </c>
      <c r="CN111" s="69">
        <v>3840</v>
      </c>
      <c r="CO111" s="69" t="s">
        <v>661</v>
      </c>
      <c r="CP111" s="69">
        <v>15</v>
      </c>
      <c r="CQ111" s="69" t="s">
        <v>488</v>
      </c>
      <c r="CR111" s="69">
        <v>1</v>
      </c>
      <c r="CS111" s="69" t="s">
        <v>661</v>
      </c>
      <c r="CT111" s="69">
        <v>25</v>
      </c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</row>
    <row r="112" spans="1:108" ht="16.5" x14ac:dyDescent="0.2">
      <c r="BB112" s="69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69">
        <v>108</v>
      </c>
      <c r="CG112" s="69">
        <v>2</v>
      </c>
      <c r="CH112" s="69" t="s">
        <v>451</v>
      </c>
      <c r="CI112" s="69">
        <v>8</v>
      </c>
      <c r="CJ112" s="69"/>
      <c r="CK112" s="69"/>
      <c r="CL112" s="69"/>
      <c r="CM112" s="69" t="s">
        <v>660</v>
      </c>
      <c r="CN112" s="69">
        <v>3840</v>
      </c>
      <c r="CO112" s="69" t="s">
        <v>661</v>
      </c>
      <c r="CP112" s="69">
        <v>15</v>
      </c>
      <c r="CQ112" s="69"/>
      <c r="CR112" s="69"/>
      <c r="CS112" s="69" t="s">
        <v>661</v>
      </c>
      <c r="CT112" s="69">
        <v>25</v>
      </c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</row>
    <row r="113" spans="54:108" ht="16.5" x14ac:dyDescent="0.2">
      <c r="BB113" s="69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69">
        <v>109</v>
      </c>
      <c r="CG113" s="69">
        <v>2</v>
      </c>
      <c r="CH113" s="69" t="s">
        <v>451</v>
      </c>
      <c r="CI113" s="69">
        <v>9</v>
      </c>
      <c r="CJ113" s="69"/>
      <c r="CK113" s="69"/>
      <c r="CL113" s="69"/>
      <c r="CM113" s="69" t="s">
        <v>660</v>
      </c>
      <c r="CN113" s="69">
        <v>3840</v>
      </c>
      <c r="CO113" s="69" t="s">
        <v>661</v>
      </c>
      <c r="CP113" s="69">
        <v>15</v>
      </c>
      <c r="CQ113" s="69"/>
      <c r="CR113" s="69"/>
      <c r="CS113" s="69" t="s">
        <v>661</v>
      </c>
      <c r="CT113" s="69">
        <v>25</v>
      </c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</row>
    <row r="114" spans="54:108" ht="16.5" x14ac:dyDescent="0.2">
      <c r="BB114" s="69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69">
        <v>110</v>
      </c>
      <c r="CG114" s="69">
        <v>2</v>
      </c>
      <c r="CH114" s="69" t="s">
        <v>451</v>
      </c>
      <c r="CI114" s="69">
        <v>10</v>
      </c>
      <c r="CJ114" s="69"/>
      <c r="CK114" s="69"/>
      <c r="CL114" s="69"/>
      <c r="CM114" s="69" t="s">
        <v>660</v>
      </c>
      <c r="CN114" s="69">
        <v>3840</v>
      </c>
      <c r="CO114" s="69" t="s">
        <v>661</v>
      </c>
      <c r="CP114" s="69">
        <v>15</v>
      </c>
      <c r="CQ114" s="69" t="s">
        <v>489</v>
      </c>
      <c r="CR114" s="69">
        <v>1</v>
      </c>
      <c r="CS114" s="69" t="s">
        <v>661</v>
      </c>
      <c r="CT114" s="69">
        <v>30</v>
      </c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</row>
    <row r="115" spans="54:108" ht="16.5" x14ac:dyDescent="0.2">
      <c r="BB115" s="69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69">
        <v>111</v>
      </c>
      <c r="CG115" s="69">
        <v>2</v>
      </c>
      <c r="CH115" s="69" t="s">
        <v>451</v>
      </c>
      <c r="CI115" s="69">
        <v>11</v>
      </c>
      <c r="CJ115" s="69"/>
      <c r="CK115" s="69"/>
      <c r="CL115" s="69"/>
      <c r="CM115" s="69" t="s">
        <v>660</v>
      </c>
      <c r="CN115" s="69">
        <v>4800</v>
      </c>
      <c r="CO115" s="69" t="s">
        <v>661</v>
      </c>
      <c r="CP115" s="69">
        <v>20</v>
      </c>
      <c r="CQ115" s="69"/>
      <c r="CR115" s="69"/>
      <c r="CS115" s="69" t="s">
        <v>661</v>
      </c>
      <c r="CT115" s="69">
        <v>30</v>
      </c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</row>
    <row r="116" spans="54:108" ht="16.5" x14ac:dyDescent="0.2">
      <c r="BB116" s="69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69">
        <v>112</v>
      </c>
      <c r="CG116" s="69">
        <v>2</v>
      </c>
      <c r="CH116" s="69" t="s">
        <v>451</v>
      </c>
      <c r="CI116" s="69">
        <v>12</v>
      </c>
      <c r="CJ116" s="69"/>
      <c r="CK116" s="69"/>
      <c r="CL116" s="69"/>
      <c r="CM116" s="69" t="s">
        <v>660</v>
      </c>
      <c r="CN116" s="69">
        <v>4800</v>
      </c>
      <c r="CO116" s="69" t="s">
        <v>661</v>
      </c>
      <c r="CP116" s="69">
        <v>20</v>
      </c>
      <c r="CQ116" s="69"/>
      <c r="CR116" s="69"/>
      <c r="CS116" s="69" t="s">
        <v>661</v>
      </c>
      <c r="CT116" s="69">
        <v>30</v>
      </c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</row>
    <row r="117" spans="54:108" ht="16.5" x14ac:dyDescent="0.2">
      <c r="BB117" s="69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69">
        <v>113</v>
      </c>
      <c r="CG117" s="69">
        <v>2</v>
      </c>
      <c r="CH117" s="69" t="s">
        <v>451</v>
      </c>
      <c r="CI117" s="69">
        <v>13</v>
      </c>
      <c r="CJ117" s="69"/>
      <c r="CK117" s="69"/>
      <c r="CL117" s="69"/>
      <c r="CM117" s="69" t="s">
        <v>660</v>
      </c>
      <c r="CN117" s="69">
        <v>4800</v>
      </c>
      <c r="CO117" s="69" t="s">
        <v>661</v>
      </c>
      <c r="CP117" s="69">
        <v>20</v>
      </c>
      <c r="CQ117" s="69"/>
      <c r="CR117" s="69"/>
      <c r="CS117" s="69" t="s">
        <v>661</v>
      </c>
      <c r="CT117" s="69">
        <v>30</v>
      </c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</row>
    <row r="118" spans="54:108" ht="16.5" x14ac:dyDescent="0.2">
      <c r="BB118" s="69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69">
        <v>114</v>
      </c>
      <c r="CG118" s="69">
        <v>2</v>
      </c>
      <c r="CH118" s="69" t="s">
        <v>451</v>
      </c>
      <c r="CI118" s="69">
        <v>14</v>
      </c>
      <c r="CJ118" s="69"/>
      <c r="CK118" s="69"/>
      <c r="CL118" s="69"/>
      <c r="CM118" s="69" t="s">
        <v>660</v>
      </c>
      <c r="CN118" s="69">
        <v>4800</v>
      </c>
      <c r="CO118" s="69" t="s">
        <v>661</v>
      </c>
      <c r="CP118" s="69">
        <v>20</v>
      </c>
      <c r="CQ118" s="69"/>
      <c r="CR118" s="69"/>
      <c r="CS118" s="69" t="s">
        <v>661</v>
      </c>
      <c r="CT118" s="69">
        <v>30</v>
      </c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</row>
    <row r="119" spans="54:108" ht="16.5" x14ac:dyDescent="0.2">
      <c r="BB119" s="69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69">
        <v>115</v>
      </c>
      <c r="CG119" s="69">
        <v>2</v>
      </c>
      <c r="CH119" s="69" t="s">
        <v>451</v>
      </c>
      <c r="CI119" s="69">
        <v>15</v>
      </c>
      <c r="CJ119" s="69"/>
      <c r="CK119" s="69"/>
      <c r="CL119" s="69"/>
      <c r="CM119" s="69" t="s">
        <v>660</v>
      </c>
      <c r="CN119" s="69">
        <v>4800</v>
      </c>
      <c r="CO119" s="69" t="s">
        <v>661</v>
      </c>
      <c r="CP119" s="69">
        <v>20</v>
      </c>
      <c r="CQ119" s="69" t="s">
        <v>488</v>
      </c>
      <c r="CR119" s="69">
        <v>2</v>
      </c>
      <c r="CS119" s="69" t="s">
        <v>661</v>
      </c>
      <c r="CT119" s="69">
        <v>35</v>
      </c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</row>
    <row r="120" spans="54:108" ht="16.5" x14ac:dyDescent="0.2">
      <c r="BB120" s="69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69">
        <v>116</v>
      </c>
      <c r="CG120" s="69">
        <v>2</v>
      </c>
      <c r="CH120" s="69" t="s">
        <v>451</v>
      </c>
      <c r="CI120" s="69">
        <v>16</v>
      </c>
      <c r="CJ120" s="69"/>
      <c r="CK120" s="69"/>
      <c r="CL120" s="69"/>
      <c r="CM120" s="69" t="s">
        <v>660</v>
      </c>
      <c r="CN120" s="69">
        <v>4800</v>
      </c>
      <c r="CO120" s="69" t="s">
        <v>661</v>
      </c>
      <c r="CP120" s="69">
        <v>25</v>
      </c>
      <c r="CQ120" s="69"/>
      <c r="CR120" s="69"/>
      <c r="CS120" s="69" t="s">
        <v>661</v>
      </c>
      <c r="CT120" s="69">
        <v>35</v>
      </c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</row>
    <row r="121" spans="54:108" ht="16.5" x14ac:dyDescent="0.2">
      <c r="BB121" s="69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69">
        <v>117</v>
      </c>
      <c r="CG121" s="69">
        <v>2</v>
      </c>
      <c r="CH121" s="69" t="s">
        <v>451</v>
      </c>
      <c r="CI121" s="69">
        <v>17</v>
      </c>
      <c r="CJ121" s="69"/>
      <c r="CK121" s="69"/>
      <c r="CL121" s="69"/>
      <c r="CM121" s="69" t="s">
        <v>660</v>
      </c>
      <c r="CN121" s="69">
        <v>4800</v>
      </c>
      <c r="CO121" s="69" t="s">
        <v>661</v>
      </c>
      <c r="CP121" s="69">
        <v>25</v>
      </c>
      <c r="CQ121" s="69"/>
      <c r="CR121" s="69"/>
      <c r="CS121" s="69" t="s">
        <v>661</v>
      </c>
      <c r="CT121" s="69">
        <v>35</v>
      </c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</row>
    <row r="122" spans="54:108" ht="16.5" x14ac:dyDescent="0.2">
      <c r="BB122" s="69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69">
        <v>118</v>
      </c>
      <c r="CG122" s="69">
        <v>2</v>
      </c>
      <c r="CH122" s="69" t="s">
        <v>451</v>
      </c>
      <c r="CI122" s="69">
        <v>18</v>
      </c>
      <c r="CJ122" s="69"/>
      <c r="CK122" s="69"/>
      <c r="CL122" s="69"/>
      <c r="CM122" s="69" t="s">
        <v>660</v>
      </c>
      <c r="CN122" s="69">
        <v>4800</v>
      </c>
      <c r="CO122" s="69" t="s">
        <v>661</v>
      </c>
      <c r="CP122" s="69">
        <v>25</v>
      </c>
      <c r="CQ122" s="69"/>
      <c r="CR122" s="69"/>
      <c r="CS122" s="69" t="s">
        <v>661</v>
      </c>
      <c r="CT122" s="69">
        <v>35</v>
      </c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</row>
    <row r="123" spans="54:108" ht="16.5" x14ac:dyDescent="0.2">
      <c r="BB123" s="69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69">
        <v>119</v>
      </c>
      <c r="CG123" s="69">
        <v>2</v>
      </c>
      <c r="CH123" s="69" t="s">
        <v>451</v>
      </c>
      <c r="CI123" s="69">
        <v>19</v>
      </c>
      <c r="CJ123" s="69"/>
      <c r="CK123" s="69"/>
      <c r="CL123" s="69"/>
      <c r="CM123" s="69" t="s">
        <v>660</v>
      </c>
      <c r="CN123" s="69">
        <v>4800</v>
      </c>
      <c r="CO123" s="69" t="s">
        <v>661</v>
      </c>
      <c r="CP123" s="69">
        <v>25</v>
      </c>
      <c r="CQ123" s="69"/>
      <c r="CR123" s="69"/>
      <c r="CS123" s="69" t="s">
        <v>661</v>
      </c>
      <c r="CT123" s="69">
        <v>35</v>
      </c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</row>
    <row r="124" spans="54:108" ht="16.5" x14ac:dyDescent="0.2">
      <c r="BB124" s="69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69">
        <v>120</v>
      </c>
      <c r="CG124" s="69">
        <v>2</v>
      </c>
      <c r="CH124" s="69" t="s">
        <v>451</v>
      </c>
      <c r="CI124" s="69">
        <v>20</v>
      </c>
      <c r="CJ124" s="69"/>
      <c r="CK124" s="69"/>
      <c r="CL124" s="69"/>
      <c r="CM124" s="69" t="s">
        <v>660</v>
      </c>
      <c r="CN124" s="69">
        <v>6000</v>
      </c>
      <c r="CO124" s="69" t="s">
        <v>661</v>
      </c>
      <c r="CP124" s="69">
        <v>25</v>
      </c>
      <c r="CQ124" s="69" t="s">
        <v>489</v>
      </c>
      <c r="CR124" s="69">
        <v>2</v>
      </c>
      <c r="CS124" s="69" t="s">
        <v>661</v>
      </c>
      <c r="CT124" s="69">
        <v>40</v>
      </c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</row>
    <row r="125" spans="54:108" ht="16.5" x14ac:dyDescent="0.2">
      <c r="BB125" s="69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69">
        <v>121</v>
      </c>
      <c r="CG125" s="69">
        <v>2</v>
      </c>
      <c r="CH125" s="69" t="s">
        <v>451</v>
      </c>
      <c r="CI125" s="69">
        <v>21</v>
      </c>
      <c r="CJ125" s="69"/>
      <c r="CK125" s="69"/>
      <c r="CL125" s="69"/>
      <c r="CM125" s="69" t="s">
        <v>660</v>
      </c>
      <c r="CN125" s="69">
        <v>6000</v>
      </c>
      <c r="CO125" s="69" t="s">
        <v>661</v>
      </c>
      <c r="CP125" s="69">
        <v>30</v>
      </c>
      <c r="CQ125" s="69"/>
      <c r="CR125" s="69"/>
      <c r="CS125" s="69" t="s">
        <v>661</v>
      </c>
      <c r="CT125" s="69">
        <v>40</v>
      </c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</row>
    <row r="126" spans="54:108" ht="16.5" x14ac:dyDescent="0.2">
      <c r="BB126" s="69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69">
        <v>122</v>
      </c>
      <c r="CG126" s="69">
        <v>2</v>
      </c>
      <c r="CH126" s="69" t="s">
        <v>451</v>
      </c>
      <c r="CI126" s="69">
        <v>22</v>
      </c>
      <c r="CJ126" s="69"/>
      <c r="CK126" s="69"/>
      <c r="CL126" s="69"/>
      <c r="CM126" s="69" t="s">
        <v>660</v>
      </c>
      <c r="CN126" s="69">
        <v>6000</v>
      </c>
      <c r="CO126" s="69" t="s">
        <v>661</v>
      </c>
      <c r="CP126" s="69">
        <v>30</v>
      </c>
      <c r="CQ126" s="69"/>
      <c r="CR126" s="69"/>
      <c r="CS126" s="69" t="s">
        <v>661</v>
      </c>
      <c r="CT126" s="69">
        <v>40</v>
      </c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</row>
    <row r="127" spans="54:108" ht="16.5" x14ac:dyDescent="0.2">
      <c r="BB127" s="69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69">
        <v>123</v>
      </c>
      <c r="CG127" s="69">
        <v>2</v>
      </c>
      <c r="CH127" s="69" t="s">
        <v>451</v>
      </c>
      <c r="CI127" s="69">
        <v>23</v>
      </c>
      <c r="CJ127" s="69"/>
      <c r="CK127" s="69"/>
      <c r="CL127" s="69"/>
      <c r="CM127" s="69" t="s">
        <v>660</v>
      </c>
      <c r="CN127" s="69">
        <v>6000</v>
      </c>
      <c r="CO127" s="69" t="s">
        <v>661</v>
      </c>
      <c r="CP127" s="69">
        <v>30</v>
      </c>
      <c r="CQ127" s="69"/>
      <c r="CR127" s="69"/>
      <c r="CS127" s="69" t="s">
        <v>661</v>
      </c>
      <c r="CT127" s="69">
        <v>40</v>
      </c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</row>
    <row r="128" spans="54:108" ht="16.5" x14ac:dyDescent="0.2">
      <c r="BB128" s="69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69">
        <v>124</v>
      </c>
      <c r="CG128" s="69">
        <v>2</v>
      </c>
      <c r="CH128" s="69" t="s">
        <v>451</v>
      </c>
      <c r="CI128" s="69">
        <v>24</v>
      </c>
      <c r="CJ128" s="69"/>
      <c r="CK128" s="69"/>
      <c r="CL128" s="69"/>
      <c r="CM128" s="69" t="s">
        <v>660</v>
      </c>
      <c r="CN128" s="69">
        <v>6000</v>
      </c>
      <c r="CO128" s="69" t="s">
        <v>661</v>
      </c>
      <c r="CP128" s="69">
        <v>30</v>
      </c>
      <c r="CQ128" s="69"/>
      <c r="CR128" s="69"/>
      <c r="CS128" s="69" t="s">
        <v>661</v>
      </c>
      <c r="CT128" s="69">
        <v>40</v>
      </c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</row>
    <row r="129" spans="54:108" ht="16.5" x14ac:dyDescent="0.2">
      <c r="BB129" s="69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69">
        <v>125</v>
      </c>
      <c r="CG129" s="69">
        <v>2</v>
      </c>
      <c r="CH129" s="69" t="s">
        <v>451</v>
      </c>
      <c r="CI129" s="69">
        <v>25</v>
      </c>
      <c r="CJ129" s="69"/>
      <c r="CK129" s="69"/>
      <c r="CL129" s="69"/>
      <c r="CM129" s="69" t="s">
        <v>660</v>
      </c>
      <c r="CN129" s="69">
        <v>6000</v>
      </c>
      <c r="CO129" s="69" t="s">
        <v>661</v>
      </c>
      <c r="CP129" s="69">
        <v>30</v>
      </c>
      <c r="CQ129" s="69" t="s">
        <v>488</v>
      </c>
      <c r="CR129" s="69">
        <v>2</v>
      </c>
      <c r="CS129" s="69" t="s">
        <v>661</v>
      </c>
      <c r="CT129" s="69">
        <v>45</v>
      </c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</row>
    <row r="130" spans="54:108" ht="16.5" x14ac:dyDescent="0.2">
      <c r="BB130" s="69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69">
        <v>126</v>
      </c>
      <c r="CG130" s="69">
        <v>2</v>
      </c>
      <c r="CH130" s="69" t="s">
        <v>451</v>
      </c>
      <c r="CI130" s="69">
        <v>26</v>
      </c>
      <c r="CJ130" s="69"/>
      <c r="CK130" s="69"/>
      <c r="CL130" s="69"/>
      <c r="CM130" s="69" t="s">
        <v>660</v>
      </c>
      <c r="CN130" s="69">
        <v>6000</v>
      </c>
      <c r="CO130" s="69" t="s">
        <v>661</v>
      </c>
      <c r="CP130" s="69">
        <v>35</v>
      </c>
      <c r="CQ130" s="69"/>
      <c r="CR130" s="69"/>
      <c r="CS130" s="69" t="s">
        <v>661</v>
      </c>
      <c r="CT130" s="69">
        <v>45</v>
      </c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</row>
    <row r="131" spans="54:108" ht="16.5" x14ac:dyDescent="0.2">
      <c r="BB131" s="69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69">
        <v>127</v>
      </c>
      <c r="CG131" s="69">
        <v>2</v>
      </c>
      <c r="CH131" s="69" t="s">
        <v>451</v>
      </c>
      <c r="CI131" s="69">
        <v>27</v>
      </c>
      <c r="CJ131" s="69"/>
      <c r="CK131" s="69"/>
      <c r="CL131" s="69"/>
      <c r="CM131" s="69" t="s">
        <v>660</v>
      </c>
      <c r="CN131" s="69">
        <v>6000</v>
      </c>
      <c r="CO131" s="69" t="s">
        <v>661</v>
      </c>
      <c r="CP131" s="69">
        <v>35</v>
      </c>
      <c r="CQ131" s="69"/>
      <c r="CR131" s="69"/>
      <c r="CS131" s="69" t="s">
        <v>661</v>
      </c>
      <c r="CT131" s="69">
        <v>45</v>
      </c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</row>
    <row r="132" spans="54:108" ht="16.5" x14ac:dyDescent="0.2">
      <c r="BB132" s="69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69">
        <v>128</v>
      </c>
      <c r="CG132" s="69">
        <v>2</v>
      </c>
      <c r="CH132" s="69" t="s">
        <v>451</v>
      </c>
      <c r="CI132" s="69">
        <v>28</v>
      </c>
      <c r="CJ132" s="69"/>
      <c r="CK132" s="69"/>
      <c r="CL132" s="69"/>
      <c r="CM132" s="69" t="s">
        <v>660</v>
      </c>
      <c r="CN132" s="69">
        <v>6000</v>
      </c>
      <c r="CO132" s="69" t="s">
        <v>661</v>
      </c>
      <c r="CP132" s="69">
        <v>35</v>
      </c>
      <c r="CQ132" s="69"/>
      <c r="CR132" s="69"/>
      <c r="CS132" s="69" t="s">
        <v>661</v>
      </c>
      <c r="CT132" s="69">
        <v>45</v>
      </c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</row>
    <row r="133" spans="54:108" ht="16.5" x14ac:dyDescent="0.2">
      <c r="BB133" s="69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69">
        <v>129</v>
      </c>
      <c r="CG133" s="69">
        <v>2</v>
      </c>
      <c r="CH133" s="69" t="s">
        <v>451</v>
      </c>
      <c r="CI133" s="69">
        <v>29</v>
      </c>
      <c r="CJ133" s="69"/>
      <c r="CK133" s="69"/>
      <c r="CL133" s="69"/>
      <c r="CM133" s="69" t="s">
        <v>660</v>
      </c>
      <c r="CN133" s="69">
        <v>6000</v>
      </c>
      <c r="CO133" s="69" t="s">
        <v>661</v>
      </c>
      <c r="CP133" s="69">
        <v>35</v>
      </c>
      <c r="CQ133" s="69"/>
      <c r="CR133" s="69"/>
      <c r="CS133" s="69" t="s">
        <v>661</v>
      </c>
      <c r="CT133" s="69">
        <v>45</v>
      </c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</row>
    <row r="134" spans="54:108" ht="16.5" x14ac:dyDescent="0.2">
      <c r="BB134" s="69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69">
        <v>130</v>
      </c>
      <c r="CG134" s="69">
        <v>2</v>
      </c>
      <c r="CH134" s="69" t="s">
        <v>451</v>
      </c>
      <c r="CI134" s="69">
        <v>30</v>
      </c>
      <c r="CJ134" s="69"/>
      <c r="CK134" s="69"/>
      <c r="CL134" s="69"/>
      <c r="CM134" s="69" t="s">
        <v>660</v>
      </c>
      <c r="CN134" s="69">
        <v>7200</v>
      </c>
      <c r="CO134" s="69" t="s">
        <v>661</v>
      </c>
      <c r="CP134" s="69">
        <v>35</v>
      </c>
      <c r="CQ134" s="69" t="s">
        <v>488</v>
      </c>
      <c r="CR134" s="69">
        <v>2</v>
      </c>
      <c r="CS134" s="69" t="s">
        <v>661</v>
      </c>
      <c r="CT134" s="69">
        <v>50</v>
      </c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</row>
    <row r="135" spans="54:108" ht="16.5" x14ac:dyDescent="0.2">
      <c r="BB135" s="69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69">
        <v>131</v>
      </c>
      <c r="CG135" s="69">
        <v>2</v>
      </c>
      <c r="CH135" s="69" t="s">
        <v>451</v>
      </c>
      <c r="CI135" s="69">
        <v>31</v>
      </c>
      <c r="CJ135" s="69"/>
      <c r="CK135" s="69"/>
      <c r="CL135" s="69"/>
      <c r="CM135" s="69" t="s">
        <v>660</v>
      </c>
      <c r="CN135" s="69">
        <v>7200</v>
      </c>
      <c r="CO135" s="69" t="s">
        <v>661</v>
      </c>
      <c r="CP135" s="69">
        <v>40</v>
      </c>
      <c r="CQ135" s="69"/>
      <c r="CR135" s="69"/>
      <c r="CS135" s="69" t="s">
        <v>661</v>
      </c>
      <c r="CT135" s="69">
        <v>50</v>
      </c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</row>
    <row r="136" spans="54:108" ht="16.5" x14ac:dyDescent="0.2">
      <c r="BB136" s="69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69">
        <v>132</v>
      </c>
      <c r="CG136" s="69">
        <v>2</v>
      </c>
      <c r="CH136" s="69" t="s">
        <v>451</v>
      </c>
      <c r="CI136" s="69">
        <v>32</v>
      </c>
      <c r="CJ136" s="69"/>
      <c r="CK136" s="69"/>
      <c r="CL136" s="69"/>
      <c r="CM136" s="69" t="s">
        <v>660</v>
      </c>
      <c r="CN136" s="69">
        <v>7200</v>
      </c>
      <c r="CO136" s="69" t="s">
        <v>661</v>
      </c>
      <c r="CP136" s="69">
        <v>40</v>
      </c>
      <c r="CQ136" s="69"/>
      <c r="CR136" s="69"/>
      <c r="CS136" s="69" t="s">
        <v>661</v>
      </c>
      <c r="CT136" s="69">
        <v>50</v>
      </c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</row>
    <row r="137" spans="54:108" ht="16.5" x14ac:dyDescent="0.2">
      <c r="BB137" s="69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69">
        <v>133</v>
      </c>
      <c r="CG137" s="69">
        <v>2</v>
      </c>
      <c r="CH137" s="69" t="s">
        <v>451</v>
      </c>
      <c r="CI137" s="69">
        <v>33</v>
      </c>
      <c r="CJ137" s="69"/>
      <c r="CK137" s="69"/>
      <c r="CL137" s="69"/>
      <c r="CM137" s="69" t="s">
        <v>660</v>
      </c>
      <c r="CN137" s="69">
        <v>7200</v>
      </c>
      <c r="CO137" s="69" t="s">
        <v>661</v>
      </c>
      <c r="CP137" s="69">
        <v>40</v>
      </c>
      <c r="CQ137" s="69"/>
      <c r="CR137" s="69"/>
      <c r="CS137" s="69" t="s">
        <v>661</v>
      </c>
      <c r="CT137" s="69">
        <v>50</v>
      </c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</row>
    <row r="138" spans="54:108" ht="16.5" x14ac:dyDescent="0.2">
      <c r="BB138" s="69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69">
        <v>134</v>
      </c>
      <c r="CG138" s="69">
        <v>2</v>
      </c>
      <c r="CH138" s="69" t="s">
        <v>451</v>
      </c>
      <c r="CI138" s="69">
        <v>34</v>
      </c>
      <c r="CJ138" s="69"/>
      <c r="CK138" s="69"/>
      <c r="CL138" s="69"/>
      <c r="CM138" s="69" t="s">
        <v>660</v>
      </c>
      <c r="CN138" s="69">
        <v>7200</v>
      </c>
      <c r="CO138" s="69" t="s">
        <v>661</v>
      </c>
      <c r="CP138" s="69">
        <v>40</v>
      </c>
      <c r="CQ138" s="69"/>
      <c r="CR138" s="69"/>
      <c r="CS138" s="69" t="s">
        <v>661</v>
      </c>
      <c r="CT138" s="69">
        <v>50</v>
      </c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</row>
    <row r="139" spans="54:108" ht="16.5" x14ac:dyDescent="0.2">
      <c r="BB139" s="69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69">
        <v>135</v>
      </c>
      <c r="CG139" s="69">
        <v>2</v>
      </c>
      <c r="CH139" s="69" t="s">
        <v>451</v>
      </c>
      <c r="CI139" s="69">
        <v>35</v>
      </c>
      <c r="CJ139" s="69"/>
      <c r="CK139" s="69"/>
      <c r="CL139" s="69"/>
      <c r="CM139" s="69" t="s">
        <v>660</v>
      </c>
      <c r="CN139" s="69">
        <v>7200</v>
      </c>
      <c r="CO139" s="69" t="s">
        <v>661</v>
      </c>
      <c r="CP139" s="69">
        <v>40</v>
      </c>
      <c r="CQ139" s="69" t="s">
        <v>489</v>
      </c>
      <c r="CR139" s="69">
        <v>2</v>
      </c>
      <c r="CS139" s="69" t="s">
        <v>661</v>
      </c>
      <c r="CT139" s="69">
        <v>55</v>
      </c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</row>
    <row r="140" spans="54:108" ht="16.5" x14ac:dyDescent="0.2">
      <c r="BB140" s="69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69">
        <v>136</v>
      </c>
      <c r="CG140" s="69">
        <v>2</v>
      </c>
      <c r="CH140" s="69" t="s">
        <v>451</v>
      </c>
      <c r="CI140" s="69">
        <v>36</v>
      </c>
      <c r="CJ140" s="69"/>
      <c r="CK140" s="69"/>
      <c r="CL140" s="69"/>
      <c r="CM140" s="69" t="s">
        <v>660</v>
      </c>
      <c r="CN140" s="69">
        <v>7200</v>
      </c>
      <c r="CO140" s="69" t="s">
        <v>661</v>
      </c>
      <c r="CP140" s="69">
        <v>45</v>
      </c>
      <c r="CQ140" s="69"/>
      <c r="CR140" s="69"/>
      <c r="CS140" s="69" t="s">
        <v>661</v>
      </c>
      <c r="CT140" s="69">
        <v>55</v>
      </c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</row>
    <row r="141" spans="54:108" ht="16.5" x14ac:dyDescent="0.2">
      <c r="BB141" s="69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69">
        <v>137</v>
      </c>
      <c r="CG141" s="69">
        <v>2</v>
      </c>
      <c r="CH141" s="69" t="s">
        <v>451</v>
      </c>
      <c r="CI141" s="69">
        <v>37</v>
      </c>
      <c r="CJ141" s="69"/>
      <c r="CK141" s="69"/>
      <c r="CL141" s="69"/>
      <c r="CM141" s="69" t="s">
        <v>660</v>
      </c>
      <c r="CN141" s="69">
        <v>7200</v>
      </c>
      <c r="CO141" s="69" t="s">
        <v>661</v>
      </c>
      <c r="CP141" s="69">
        <v>45</v>
      </c>
      <c r="CQ141" s="69"/>
      <c r="CR141" s="69"/>
      <c r="CS141" s="69" t="s">
        <v>661</v>
      </c>
      <c r="CT141" s="69">
        <v>55</v>
      </c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</row>
    <row r="142" spans="54:108" ht="16.5" x14ac:dyDescent="0.2">
      <c r="BB142" s="69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69">
        <v>138</v>
      </c>
      <c r="CG142" s="69">
        <v>2</v>
      </c>
      <c r="CH142" s="69" t="s">
        <v>451</v>
      </c>
      <c r="CI142" s="69">
        <v>38</v>
      </c>
      <c r="CJ142" s="69"/>
      <c r="CK142" s="69"/>
      <c r="CL142" s="69"/>
      <c r="CM142" s="69" t="s">
        <v>660</v>
      </c>
      <c r="CN142" s="69">
        <v>7200</v>
      </c>
      <c r="CO142" s="69" t="s">
        <v>661</v>
      </c>
      <c r="CP142" s="69">
        <v>45</v>
      </c>
      <c r="CQ142" s="69"/>
      <c r="CR142" s="69"/>
      <c r="CS142" s="69" t="s">
        <v>661</v>
      </c>
      <c r="CT142" s="69">
        <v>55</v>
      </c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</row>
    <row r="143" spans="54:108" ht="16.5" x14ac:dyDescent="0.2">
      <c r="BB143" s="69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69">
        <v>139</v>
      </c>
      <c r="CG143" s="69">
        <v>2</v>
      </c>
      <c r="CH143" s="69" t="s">
        <v>451</v>
      </c>
      <c r="CI143" s="69">
        <v>39</v>
      </c>
      <c r="CJ143" s="69"/>
      <c r="CK143" s="69"/>
      <c r="CL143" s="69"/>
      <c r="CM143" s="69" t="s">
        <v>660</v>
      </c>
      <c r="CN143" s="69">
        <v>7200</v>
      </c>
      <c r="CO143" s="69" t="s">
        <v>661</v>
      </c>
      <c r="CP143" s="69">
        <v>45</v>
      </c>
      <c r="CQ143" s="69"/>
      <c r="CR143" s="69"/>
      <c r="CS143" s="69" t="s">
        <v>661</v>
      </c>
      <c r="CT143" s="69">
        <v>55</v>
      </c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</row>
    <row r="144" spans="54:108" ht="16.5" x14ac:dyDescent="0.2">
      <c r="BB144" s="69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69">
        <v>140</v>
      </c>
      <c r="CG144" s="69">
        <v>2</v>
      </c>
      <c r="CH144" s="69" t="s">
        <v>451</v>
      </c>
      <c r="CI144" s="69">
        <v>40</v>
      </c>
      <c r="CJ144" s="69"/>
      <c r="CK144" s="69"/>
      <c r="CL144" s="69"/>
      <c r="CM144" s="69" t="s">
        <v>660</v>
      </c>
      <c r="CN144" s="69">
        <v>8640</v>
      </c>
      <c r="CO144" s="69" t="s">
        <v>661</v>
      </c>
      <c r="CP144" s="69">
        <v>45</v>
      </c>
      <c r="CQ144" s="69" t="s">
        <v>488</v>
      </c>
      <c r="CR144" s="69">
        <v>2</v>
      </c>
      <c r="CS144" s="69" t="s">
        <v>661</v>
      </c>
      <c r="CT144" s="69">
        <v>60</v>
      </c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</row>
    <row r="145" spans="54:108" ht="16.5" x14ac:dyDescent="0.2">
      <c r="BB145" s="69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69">
        <v>141</v>
      </c>
      <c r="CG145" s="69">
        <v>2</v>
      </c>
      <c r="CH145" s="69" t="s">
        <v>451</v>
      </c>
      <c r="CI145" s="69">
        <v>41</v>
      </c>
      <c r="CJ145" s="69"/>
      <c r="CK145" s="69"/>
      <c r="CL145" s="69"/>
      <c r="CM145" s="69" t="s">
        <v>660</v>
      </c>
      <c r="CN145" s="69">
        <v>8640</v>
      </c>
      <c r="CO145" s="69" t="s">
        <v>661</v>
      </c>
      <c r="CP145" s="69">
        <v>50</v>
      </c>
      <c r="CQ145" s="69"/>
      <c r="CR145" s="69"/>
      <c r="CS145" s="69" t="s">
        <v>661</v>
      </c>
      <c r="CT145" s="69">
        <v>60</v>
      </c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</row>
    <row r="146" spans="54:108" ht="16.5" x14ac:dyDescent="0.2">
      <c r="BB146" s="69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69">
        <v>142</v>
      </c>
      <c r="CG146" s="69">
        <v>2</v>
      </c>
      <c r="CH146" s="69" t="s">
        <v>451</v>
      </c>
      <c r="CI146" s="69">
        <v>42</v>
      </c>
      <c r="CJ146" s="69"/>
      <c r="CK146" s="69"/>
      <c r="CL146" s="69"/>
      <c r="CM146" s="69" t="s">
        <v>660</v>
      </c>
      <c r="CN146" s="69">
        <v>8640</v>
      </c>
      <c r="CO146" s="69" t="s">
        <v>661</v>
      </c>
      <c r="CP146" s="69">
        <v>50</v>
      </c>
      <c r="CQ146" s="69"/>
      <c r="CR146" s="69"/>
      <c r="CS146" s="69" t="s">
        <v>661</v>
      </c>
      <c r="CT146" s="69">
        <v>60</v>
      </c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</row>
    <row r="147" spans="54:108" ht="16.5" x14ac:dyDescent="0.2">
      <c r="BB147" s="69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69">
        <v>143</v>
      </c>
      <c r="CG147" s="69">
        <v>2</v>
      </c>
      <c r="CH147" s="69" t="s">
        <v>451</v>
      </c>
      <c r="CI147" s="69">
        <v>43</v>
      </c>
      <c r="CJ147" s="69"/>
      <c r="CK147" s="69"/>
      <c r="CL147" s="69"/>
      <c r="CM147" s="69" t="s">
        <v>660</v>
      </c>
      <c r="CN147" s="69">
        <v>8640</v>
      </c>
      <c r="CO147" s="69" t="s">
        <v>661</v>
      </c>
      <c r="CP147" s="69">
        <v>50</v>
      </c>
      <c r="CQ147" s="69"/>
      <c r="CR147" s="69"/>
      <c r="CS147" s="69" t="s">
        <v>661</v>
      </c>
      <c r="CT147" s="69">
        <v>60</v>
      </c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</row>
    <row r="148" spans="54:108" ht="16.5" x14ac:dyDescent="0.2">
      <c r="BB148" s="69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69">
        <v>144</v>
      </c>
      <c r="CG148" s="69">
        <v>2</v>
      </c>
      <c r="CH148" s="69" t="s">
        <v>451</v>
      </c>
      <c r="CI148" s="69">
        <v>44</v>
      </c>
      <c r="CJ148" s="69"/>
      <c r="CK148" s="69"/>
      <c r="CL148" s="69"/>
      <c r="CM148" s="69" t="s">
        <v>660</v>
      </c>
      <c r="CN148" s="69">
        <v>8640</v>
      </c>
      <c r="CO148" s="69" t="s">
        <v>661</v>
      </c>
      <c r="CP148" s="69">
        <v>50</v>
      </c>
      <c r="CQ148" s="69"/>
      <c r="CR148" s="69"/>
      <c r="CS148" s="69" t="s">
        <v>661</v>
      </c>
      <c r="CT148" s="69">
        <v>60</v>
      </c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</row>
    <row r="149" spans="54:108" ht="16.5" x14ac:dyDescent="0.2">
      <c r="BB149" s="69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69">
        <v>145</v>
      </c>
      <c r="CG149" s="69">
        <v>2</v>
      </c>
      <c r="CH149" s="69" t="s">
        <v>451</v>
      </c>
      <c r="CI149" s="69">
        <v>45</v>
      </c>
      <c r="CJ149" s="69"/>
      <c r="CK149" s="69"/>
      <c r="CL149" s="69"/>
      <c r="CM149" s="69" t="s">
        <v>660</v>
      </c>
      <c r="CN149" s="69">
        <v>8640</v>
      </c>
      <c r="CO149" s="69" t="s">
        <v>661</v>
      </c>
      <c r="CP149" s="69">
        <v>50</v>
      </c>
      <c r="CQ149" s="69" t="s">
        <v>489</v>
      </c>
      <c r="CR149" s="69">
        <v>2</v>
      </c>
      <c r="CS149" s="69" t="s">
        <v>661</v>
      </c>
      <c r="CT149" s="69">
        <v>65</v>
      </c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</row>
    <row r="150" spans="54:108" ht="16.5" x14ac:dyDescent="0.2">
      <c r="BB150" s="69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69">
        <v>146</v>
      </c>
      <c r="CG150" s="69">
        <v>2</v>
      </c>
      <c r="CH150" s="69" t="s">
        <v>451</v>
      </c>
      <c r="CI150" s="69">
        <v>46</v>
      </c>
      <c r="CJ150" s="69"/>
      <c r="CK150" s="69"/>
      <c r="CL150" s="69"/>
      <c r="CM150" s="69" t="s">
        <v>660</v>
      </c>
      <c r="CN150" s="69">
        <v>8640</v>
      </c>
      <c r="CO150" s="69" t="s">
        <v>661</v>
      </c>
      <c r="CP150" s="69">
        <v>55</v>
      </c>
      <c r="CQ150" s="69"/>
      <c r="CR150" s="69"/>
      <c r="CS150" s="69" t="s">
        <v>661</v>
      </c>
      <c r="CT150" s="69">
        <v>65</v>
      </c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</row>
    <row r="151" spans="54:108" ht="16.5" x14ac:dyDescent="0.2">
      <c r="BB151" s="69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69">
        <v>147</v>
      </c>
      <c r="CG151" s="69">
        <v>2</v>
      </c>
      <c r="CH151" s="69" t="s">
        <v>451</v>
      </c>
      <c r="CI151" s="69">
        <v>47</v>
      </c>
      <c r="CJ151" s="69"/>
      <c r="CK151" s="69"/>
      <c r="CL151" s="69"/>
      <c r="CM151" s="69" t="s">
        <v>660</v>
      </c>
      <c r="CN151" s="69">
        <v>8640</v>
      </c>
      <c r="CO151" s="69" t="s">
        <v>661</v>
      </c>
      <c r="CP151" s="69">
        <v>55</v>
      </c>
      <c r="CQ151" s="69"/>
      <c r="CR151" s="69"/>
      <c r="CS151" s="69" t="s">
        <v>661</v>
      </c>
      <c r="CT151" s="69">
        <v>65</v>
      </c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</row>
    <row r="152" spans="54:108" ht="16.5" x14ac:dyDescent="0.2">
      <c r="BB152" s="69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69">
        <v>148</v>
      </c>
      <c r="CG152" s="69">
        <v>2</v>
      </c>
      <c r="CH152" s="69" t="s">
        <v>451</v>
      </c>
      <c r="CI152" s="69">
        <v>48</v>
      </c>
      <c r="CJ152" s="69"/>
      <c r="CK152" s="69"/>
      <c r="CL152" s="69"/>
      <c r="CM152" s="69" t="s">
        <v>660</v>
      </c>
      <c r="CN152" s="69">
        <v>8640</v>
      </c>
      <c r="CO152" s="69" t="s">
        <v>661</v>
      </c>
      <c r="CP152" s="69">
        <v>55</v>
      </c>
      <c r="CQ152" s="69"/>
      <c r="CR152" s="69"/>
      <c r="CS152" s="69" t="s">
        <v>661</v>
      </c>
      <c r="CT152" s="69">
        <v>65</v>
      </c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</row>
    <row r="153" spans="54:108" ht="16.5" x14ac:dyDescent="0.2">
      <c r="BB153" s="69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69">
        <v>149</v>
      </c>
      <c r="CG153" s="69">
        <v>2</v>
      </c>
      <c r="CH153" s="69" t="s">
        <v>451</v>
      </c>
      <c r="CI153" s="69">
        <v>49</v>
      </c>
      <c r="CJ153" s="69"/>
      <c r="CK153" s="69"/>
      <c r="CL153" s="69"/>
      <c r="CM153" s="69" t="s">
        <v>660</v>
      </c>
      <c r="CN153" s="69">
        <v>8640</v>
      </c>
      <c r="CO153" s="69" t="s">
        <v>661</v>
      </c>
      <c r="CP153" s="69">
        <v>55</v>
      </c>
      <c r="CQ153" s="69"/>
      <c r="CR153" s="69"/>
      <c r="CS153" s="69" t="s">
        <v>661</v>
      </c>
      <c r="CT153" s="69">
        <v>65</v>
      </c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</row>
    <row r="154" spans="54:108" ht="16.5" x14ac:dyDescent="0.2">
      <c r="BB154" s="69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69">
        <v>150</v>
      </c>
      <c r="CG154" s="69">
        <v>2</v>
      </c>
      <c r="CH154" s="69" t="s">
        <v>451</v>
      </c>
      <c r="CI154" s="69">
        <v>50</v>
      </c>
      <c r="CJ154" s="69"/>
      <c r="CK154" s="69"/>
      <c r="CL154" s="69"/>
      <c r="CM154" s="69" t="s">
        <v>660</v>
      </c>
      <c r="CN154" s="69">
        <v>8640</v>
      </c>
      <c r="CO154" s="69" t="s">
        <v>661</v>
      </c>
      <c r="CP154" s="69">
        <v>55</v>
      </c>
      <c r="CQ154" s="69" t="s">
        <v>488</v>
      </c>
      <c r="CR154" s="69">
        <v>2</v>
      </c>
      <c r="CS154" s="69" t="s">
        <v>661</v>
      </c>
      <c r="CT154" s="69">
        <v>70</v>
      </c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</row>
    <row r="155" spans="54:108" ht="16.5" x14ac:dyDescent="0.2">
      <c r="BB155" s="69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69">
        <v>151</v>
      </c>
      <c r="CG155" s="69">
        <v>2</v>
      </c>
      <c r="CH155" s="69" t="s">
        <v>451</v>
      </c>
      <c r="CI155" s="69">
        <v>51</v>
      </c>
      <c r="CJ155" s="69"/>
      <c r="CK155" s="69"/>
      <c r="CL155" s="69"/>
      <c r="CM155" s="69" t="s">
        <v>660</v>
      </c>
      <c r="CN155" s="69">
        <v>8640</v>
      </c>
      <c r="CO155" s="69" t="s">
        <v>661</v>
      </c>
      <c r="CP155" s="69">
        <v>60</v>
      </c>
      <c r="CQ155" s="69"/>
      <c r="CR155" s="69"/>
      <c r="CS155" s="69" t="s">
        <v>661</v>
      </c>
      <c r="CT155" s="69">
        <v>70</v>
      </c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</row>
    <row r="156" spans="54:108" ht="16.5" x14ac:dyDescent="0.2">
      <c r="BB156" s="69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69">
        <v>152</v>
      </c>
      <c r="CG156" s="69">
        <v>2</v>
      </c>
      <c r="CH156" s="69" t="s">
        <v>451</v>
      </c>
      <c r="CI156" s="69">
        <v>52</v>
      </c>
      <c r="CJ156" s="69"/>
      <c r="CK156" s="69"/>
      <c r="CL156" s="69"/>
      <c r="CM156" s="69" t="s">
        <v>660</v>
      </c>
      <c r="CN156" s="69">
        <v>8640</v>
      </c>
      <c r="CO156" s="69" t="s">
        <v>661</v>
      </c>
      <c r="CP156" s="69">
        <v>60</v>
      </c>
      <c r="CQ156" s="69"/>
      <c r="CR156" s="69"/>
      <c r="CS156" s="69" t="s">
        <v>661</v>
      </c>
      <c r="CT156" s="69">
        <v>70</v>
      </c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</row>
    <row r="157" spans="54:108" ht="16.5" x14ac:dyDescent="0.2">
      <c r="BB157" s="69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69">
        <v>153</v>
      </c>
      <c r="CG157" s="69">
        <v>2</v>
      </c>
      <c r="CH157" s="69" t="s">
        <v>451</v>
      </c>
      <c r="CI157" s="69">
        <v>53</v>
      </c>
      <c r="CJ157" s="69"/>
      <c r="CK157" s="69"/>
      <c r="CL157" s="69"/>
      <c r="CM157" s="69" t="s">
        <v>660</v>
      </c>
      <c r="CN157" s="69">
        <v>8640</v>
      </c>
      <c r="CO157" s="69" t="s">
        <v>661</v>
      </c>
      <c r="CP157" s="69">
        <v>60</v>
      </c>
      <c r="CQ157" s="69"/>
      <c r="CR157" s="69"/>
      <c r="CS157" s="69" t="s">
        <v>661</v>
      </c>
      <c r="CT157" s="69">
        <v>70</v>
      </c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</row>
    <row r="158" spans="54:108" ht="16.5" x14ac:dyDescent="0.2">
      <c r="BB158" s="69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69">
        <v>154</v>
      </c>
      <c r="CG158" s="69">
        <v>2</v>
      </c>
      <c r="CH158" s="69" t="s">
        <v>451</v>
      </c>
      <c r="CI158" s="69">
        <v>54</v>
      </c>
      <c r="CJ158" s="69"/>
      <c r="CK158" s="69"/>
      <c r="CL158" s="69"/>
      <c r="CM158" s="69" t="s">
        <v>660</v>
      </c>
      <c r="CN158" s="69">
        <v>8640</v>
      </c>
      <c r="CO158" s="69" t="s">
        <v>661</v>
      </c>
      <c r="CP158" s="69">
        <v>60</v>
      </c>
      <c r="CQ158" s="69"/>
      <c r="CR158" s="69"/>
      <c r="CS158" s="69" t="s">
        <v>661</v>
      </c>
      <c r="CT158" s="69">
        <v>70</v>
      </c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</row>
    <row r="159" spans="54:108" ht="16.5" x14ac:dyDescent="0.2">
      <c r="BB159" s="69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69">
        <v>155</v>
      </c>
      <c r="CG159" s="69">
        <v>2</v>
      </c>
      <c r="CH159" s="69" t="s">
        <v>451</v>
      </c>
      <c r="CI159" s="69">
        <v>55</v>
      </c>
      <c r="CJ159" s="69"/>
      <c r="CK159" s="69"/>
      <c r="CL159" s="69"/>
      <c r="CM159" s="69" t="s">
        <v>660</v>
      </c>
      <c r="CN159" s="69">
        <v>10800</v>
      </c>
      <c r="CO159" s="69" t="s">
        <v>661</v>
      </c>
      <c r="CP159" s="69">
        <v>60</v>
      </c>
      <c r="CQ159" s="69" t="s">
        <v>489</v>
      </c>
      <c r="CR159" s="69">
        <v>2</v>
      </c>
      <c r="CS159" s="69" t="s">
        <v>661</v>
      </c>
      <c r="CT159" s="69">
        <v>75</v>
      </c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</row>
    <row r="160" spans="54:108" ht="16.5" x14ac:dyDescent="0.2">
      <c r="BB160" s="69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69">
        <v>156</v>
      </c>
      <c r="CG160" s="69">
        <v>2</v>
      </c>
      <c r="CH160" s="69" t="s">
        <v>451</v>
      </c>
      <c r="CI160" s="69">
        <v>56</v>
      </c>
      <c r="CJ160" s="69"/>
      <c r="CK160" s="69"/>
      <c r="CL160" s="69"/>
      <c r="CM160" s="69" t="s">
        <v>660</v>
      </c>
      <c r="CN160" s="69">
        <v>10800</v>
      </c>
      <c r="CO160" s="69" t="s">
        <v>661</v>
      </c>
      <c r="CP160" s="69">
        <v>65</v>
      </c>
      <c r="CQ160" s="69"/>
      <c r="CR160" s="69"/>
      <c r="CS160" s="69" t="s">
        <v>661</v>
      </c>
      <c r="CT160" s="69">
        <v>75</v>
      </c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</row>
    <row r="161" spans="54:108" ht="16.5" x14ac:dyDescent="0.2">
      <c r="BB161" s="69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69">
        <v>157</v>
      </c>
      <c r="CG161" s="69">
        <v>2</v>
      </c>
      <c r="CH161" s="69" t="s">
        <v>451</v>
      </c>
      <c r="CI161" s="69">
        <v>57</v>
      </c>
      <c r="CJ161" s="69"/>
      <c r="CK161" s="69"/>
      <c r="CL161" s="69"/>
      <c r="CM161" s="69" t="s">
        <v>660</v>
      </c>
      <c r="CN161" s="69">
        <v>10800</v>
      </c>
      <c r="CO161" s="69" t="s">
        <v>661</v>
      </c>
      <c r="CP161" s="69">
        <v>65</v>
      </c>
      <c r="CQ161" s="69"/>
      <c r="CR161" s="69"/>
      <c r="CS161" s="69" t="s">
        <v>661</v>
      </c>
      <c r="CT161" s="69">
        <v>75</v>
      </c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</row>
    <row r="162" spans="54:108" ht="16.5" x14ac:dyDescent="0.2">
      <c r="BB162" s="69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69">
        <v>158</v>
      </c>
      <c r="CG162" s="69">
        <v>2</v>
      </c>
      <c r="CH162" s="69" t="s">
        <v>451</v>
      </c>
      <c r="CI162" s="69">
        <v>58</v>
      </c>
      <c r="CJ162" s="69"/>
      <c r="CK162" s="69"/>
      <c r="CL162" s="69"/>
      <c r="CM162" s="69" t="s">
        <v>660</v>
      </c>
      <c r="CN162" s="69">
        <v>10800</v>
      </c>
      <c r="CO162" s="69" t="s">
        <v>661</v>
      </c>
      <c r="CP162" s="69">
        <v>65</v>
      </c>
      <c r="CQ162" s="69"/>
      <c r="CR162" s="69"/>
      <c r="CS162" s="69" t="s">
        <v>661</v>
      </c>
      <c r="CT162" s="69">
        <v>75</v>
      </c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</row>
    <row r="163" spans="54:108" ht="16.5" x14ac:dyDescent="0.2">
      <c r="BB163" s="69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69">
        <v>159</v>
      </c>
      <c r="CG163" s="69">
        <v>2</v>
      </c>
      <c r="CH163" s="69" t="s">
        <v>451</v>
      </c>
      <c r="CI163" s="69">
        <v>59</v>
      </c>
      <c r="CJ163" s="69"/>
      <c r="CK163" s="69"/>
      <c r="CL163" s="69"/>
      <c r="CM163" s="69" t="s">
        <v>660</v>
      </c>
      <c r="CN163" s="69">
        <v>10800</v>
      </c>
      <c r="CO163" s="69" t="s">
        <v>661</v>
      </c>
      <c r="CP163" s="69">
        <v>65</v>
      </c>
      <c r="CQ163" s="69"/>
      <c r="CR163" s="69"/>
      <c r="CS163" s="69" t="s">
        <v>661</v>
      </c>
      <c r="CT163" s="69">
        <v>75</v>
      </c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</row>
    <row r="164" spans="54:108" ht="16.5" x14ac:dyDescent="0.2">
      <c r="BB164" s="69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69">
        <v>160</v>
      </c>
      <c r="CG164" s="69">
        <v>2</v>
      </c>
      <c r="CH164" s="69" t="s">
        <v>451</v>
      </c>
      <c r="CI164" s="69">
        <v>60</v>
      </c>
      <c r="CJ164" s="69"/>
      <c r="CK164" s="69"/>
      <c r="CL164" s="69"/>
      <c r="CM164" s="69" t="s">
        <v>660</v>
      </c>
      <c r="CN164" s="69">
        <v>10800</v>
      </c>
      <c r="CO164" s="69" t="s">
        <v>661</v>
      </c>
      <c r="CP164" s="69">
        <v>65</v>
      </c>
      <c r="CQ164" s="69" t="s">
        <v>488</v>
      </c>
      <c r="CR164" s="69">
        <v>2</v>
      </c>
      <c r="CS164" s="69" t="s">
        <v>661</v>
      </c>
      <c r="CT164" s="69">
        <v>80</v>
      </c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</row>
    <row r="165" spans="54:108" ht="16.5" x14ac:dyDescent="0.2">
      <c r="BB165" s="69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69">
        <v>161</v>
      </c>
      <c r="CG165" s="69">
        <v>2</v>
      </c>
      <c r="CH165" s="69" t="s">
        <v>451</v>
      </c>
      <c r="CI165" s="69">
        <v>61</v>
      </c>
      <c r="CJ165" s="69"/>
      <c r="CK165" s="69"/>
      <c r="CL165" s="69"/>
      <c r="CM165" s="69" t="s">
        <v>660</v>
      </c>
      <c r="CN165" s="69">
        <v>10800</v>
      </c>
      <c r="CO165" s="69" t="s">
        <v>661</v>
      </c>
      <c r="CP165" s="69">
        <v>70</v>
      </c>
      <c r="CQ165" s="69"/>
      <c r="CR165" s="69"/>
      <c r="CS165" s="69" t="s">
        <v>661</v>
      </c>
      <c r="CT165" s="69">
        <v>80</v>
      </c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</row>
    <row r="166" spans="54:108" ht="16.5" x14ac:dyDescent="0.2">
      <c r="BB166" s="69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69">
        <v>162</v>
      </c>
      <c r="CG166" s="69">
        <v>2</v>
      </c>
      <c r="CH166" s="69" t="s">
        <v>451</v>
      </c>
      <c r="CI166" s="69">
        <v>62</v>
      </c>
      <c r="CJ166" s="69"/>
      <c r="CK166" s="69"/>
      <c r="CL166" s="69"/>
      <c r="CM166" s="69" t="s">
        <v>660</v>
      </c>
      <c r="CN166" s="69">
        <v>10800</v>
      </c>
      <c r="CO166" s="69" t="s">
        <v>661</v>
      </c>
      <c r="CP166" s="69">
        <v>70</v>
      </c>
      <c r="CQ166" s="69"/>
      <c r="CR166" s="69"/>
      <c r="CS166" s="69" t="s">
        <v>661</v>
      </c>
      <c r="CT166" s="69">
        <v>80</v>
      </c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</row>
    <row r="167" spans="54:108" ht="16.5" x14ac:dyDescent="0.2">
      <c r="BB167" s="69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69">
        <v>163</v>
      </c>
      <c r="CG167" s="69">
        <v>2</v>
      </c>
      <c r="CH167" s="69" t="s">
        <v>451</v>
      </c>
      <c r="CI167" s="69">
        <v>63</v>
      </c>
      <c r="CJ167" s="69"/>
      <c r="CK167" s="69"/>
      <c r="CL167" s="69"/>
      <c r="CM167" s="69" t="s">
        <v>660</v>
      </c>
      <c r="CN167" s="69">
        <v>10800</v>
      </c>
      <c r="CO167" s="69" t="s">
        <v>661</v>
      </c>
      <c r="CP167" s="69">
        <v>70</v>
      </c>
      <c r="CQ167" s="69"/>
      <c r="CR167" s="69"/>
      <c r="CS167" s="69" t="s">
        <v>661</v>
      </c>
      <c r="CT167" s="69">
        <v>80</v>
      </c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</row>
    <row r="168" spans="54:108" ht="16.5" x14ac:dyDescent="0.2">
      <c r="BB168" s="69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69">
        <v>164</v>
      </c>
      <c r="CG168" s="69">
        <v>2</v>
      </c>
      <c r="CH168" s="69" t="s">
        <v>451</v>
      </c>
      <c r="CI168" s="69">
        <v>64</v>
      </c>
      <c r="CJ168" s="69"/>
      <c r="CK168" s="69"/>
      <c r="CL168" s="69"/>
      <c r="CM168" s="69" t="s">
        <v>660</v>
      </c>
      <c r="CN168" s="69">
        <v>10800</v>
      </c>
      <c r="CO168" s="69" t="s">
        <v>661</v>
      </c>
      <c r="CP168" s="69">
        <v>70</v>
      </c>
      <c r="CQ168" s="69"/>
      <c r="CR168" s="69"/>
      <c r="CS168" s="69" t="s">
        <v>661</v>
      </c>
      <c r="CT168" s="69">
        <v>80</v>
      </c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</row>
    <row r="169" spans="54:108" ht="16.5" x14ac:dyDescent="0.2">
      <c r="BB169" s="69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69">
        <v>165</v>
      </c>
      <c r="CG169" s="69">
        <v>2</v>
      </c>
      <c r="CH169" s="69" t="s">
        <v>451</v>
      </c>
      <c r="CI169" s="69">
        <v>65</v>
      </c>
      <c r="CJ169" s="69"/>
      <c r="CK169" s="69"/>
      <c r="CL169" s="69"/>
      <c r="CM169" s="69" t="s">
        <v>660</v>
      </c>
      <c r="CN169" s="69">
        <v>10800</v>
      </c>
      <c r="CO169" s="69" t="s">
        <v>661</v>
      </c>
      <c r="CP169" s="69">
        <v>70</v>
      </c>
      <c r="CQ169" s="69" t="s">
        <v>489</v>
      </c>
      <c r="CR169" s="69">
        <v>2</v>
      </c>
      <c r="CS169" s="69" t="s">
        <v>661</v>
      </c>
      <c r="CT169" s="69">
        <v>85</v>
      </c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</row>
    <row r="170" spans="54:108" ht="16.5" x14ac:dyDescent="0.2">
      <c r="BB170" s="69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69">
        <v>166</v>
      </c>
      <c r="CG170" s="69">
        <v>2</v>
      </c>
      <c r="CH170" s="69" t="s">
        <v>451</v>
      </c>
      <c r="CI170" s="69">
        <v>66</v>
      </c>
      <c r="CJ170" s="69"/>
      <c r="CK170" s="69"/>
      <c r="CL170" s="69"/>
      <c r="CM170" s="69" t="s">
        <v>660</v>
      </c>
      <c r="CN170" s="69">
        <v>10800</v>
      </c>
      <c r="CO170" s="69" t="s">
        <v>661</v>
      </c>
      <c r="CP170" s="69">
        <v>75</v>
      </c>
      <c r="CQ170" s="69"/>
      <c r="CR170" s="69"/>
      <c r="CS170" s="69" t="s">
        <v>661</v>
      </c>
      <c r="CT170" s="69">
        <v>85</v>
      </c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</row>
    <row r="171" spans="54:108" ht="16.5" x14ac:dyDescent="0.2">
      <c r="BB171" s="69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69">
        <v>167</v>
      </c>
      <c r="CG171" s="69">
        <v>2</v>
      </c>
      <c r="CH171" s="69" t="s">
        <v>451</v>
      </c>
      <c r="CI171" s="69">
        <v>67</v>
      </c>
      <c r="CJ171" s="69"/>
      <c r="CK171" s="69"/>
      <c r="CL171" s="69"/>
      <c r="CM171" s="69" t="s">
        <v>660</v>
      </c>
      <c r="CN171" s="69">
        <v>10800</v>
      </c>
      <c r="CO171" s="69" t="s">
        <v>661</v>
      </c>
      <c r="CP171" s="69">
        <v>75</v>
      </c>
      <c r="CQ171" s="69"/>
      <c r="CR171" s="69"/>
      <c r="CS171" s="69" t="s">
        <v>661</v>
      </c>
      <c r="CT171" s="69">
        <v>85</v>
      </c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</row>
    <row r="172" spans="54:108" ht="16.5" x14ac:dyDescent="0.2">
      <c r="BB172" s="69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69">
        <v>168</v>
      </c>
      <c r="CG172" s="69">
        <v>2</v>
      </c>
      <c r="CH172" s="69" t="s">
        <v>451</v>
      </c>
      <c r="CI172" s="69">
        <v>68</v>
      </c>
      <c r="CJ172" s="69"/>
      <c r="CK172" s="69"/>
      <c r="CL172" s="69"/>
      <c r="CM172" s="69" t="s">
        <v>660</v>
      </c>
      <c r="CN172" s="69">
        <v>10800</v>
      </c>
      <c r="CO172" s="69" t="s">
        <v>661</v>
      </c>
      <c r="CP172" s="69">
        <v>75</v>
      </c>
      <c r="CQ172" s="69"/>
      <c r="CR172" s="69"/>
      <c r="CS172" s="69" t="s">
        <v>661</v>
      </c>
      <c r="CT172" s="69">
        <v>85</v>
      </c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</row>
    <row r="173" spans="54:108" ht="16.5" x14ac:dyDescent="0.2">
      <c r="BB173" s="69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69">
        <v>169</v>
      </c>
      <c r="CG173" s="69">
        <v>2</v>
      </c>
      <c r="CH173" s="69" t="s">
        <v>451</v>
      </c>
      <c r="CI173" s="69">
        <v>69</v>
      </c>
      <c r="CJ173" s="69"/>
      <c r="CK173" s="69"/>
      <c r="CL173" s="69"/>
      <c r="CM173" s="69" t="s">
        <v>660</v>
      </c>
      <c r="CN173" s="69">
        <v>10800</v>
      </c>
      <c r="CO173" s="69" t="s">
        <v>661</v>
      </c>
      <c r="CP173" s="69">
        <v>75</v>
      </c>
      <c r="CQ173" s="69"/>
      <c r="CR173" s="69"/>
      <c r="CS173" s="69" t="s">
        <v>661</v>
      </c>
      <c r="CT173" s="69">
        <v>85</v>
      </c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</row>
    <row r="174" spans="54:108" ht="16.5" x14ac:dyDescent="0.2">
      <c r="BB174" s="69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69">
        <v>170</v>
      </c>
      <c r="CG174" s="69">
        <v>2</v>
      </c>
      <c r="CH174" s="69" t="s">
        <v>451</v>
      </c>
      <c r="CI174" s="69">
        <v>70</v>
      </c>
      <c r="CJ174" s="69"/>
      <c r="CK174" s="69"/>
      <c r="CL174" s="69"/>
      <c r="CM174" s="69" t="s">
        <v>660</v>
      </c>
      <c r="CN174" s="69">
        <v>13200</v>
      </c>
      <c r="CO174" s="69" t="s">
        <v>661</v>
      </c>
      <c r="CP174" s="69">
        <v>75</v>
      </c>
      <c r="CQ174" s="69" t="s">
        <v>488</v>
      </c>
      <c r="CR174" s="69">
        <v>2</v>
      </c>
      <c r="CS174" s="69" t="s">
        <v>661</v>
      </c>
      <c r="CT174" s="69">
        <v>90</v>
      </c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</row>
    <row r="175" spans="54:108" ht="16.5" x14ac:dyDescent="0.2">
      <c r="BB175" s="69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69">
        <v>171</v>
      </c>
      <c r="CG175" s="69">
        <v>2</v>
      </c>
      <c r="CH175" s="69" t="s">
        <v>451</v>
      </c>
      <c r="CI175" s="69">
        <v>71</v>
      </c>
      <c r="CJ175" s="69"/>
      <c r="CK175" s="69"/>
      <c r="CL175" s="69"/>
      <c r="CM175" s="69" t="s">
        <v>660</v>
      </c>
      <c r="CN175" s="69">
        <v>13200</v>
      </c>
      <c r="CO175" s="69" t="s">
        <v>661</v>
      </c>
      <c r="CP175" s="69">
        <v>80</v>
      </c>
      <c r="CQ175" s="69"/>
      <c r="CR175" s="69"/>
      <c r="CS175" s="69" t="s">
        <v>661</v>
      </c>
      <c r="CT175" s="69">
        <v>90</v>
      </c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</row>
    <row r="176" spans="54:108" ht="16.5" x14ac:dyDescent="0.2">
      <c r="BB176" s="69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69">
        <v>172</v>
      </c>
      <c r="CG176" s="69">
        <v>2</v>
      </c>
      <c r="CH176" s="69" t="s">
        <v>451</v>
      </c>
      <c r="CI176" s="69">
        <v>72</v>
      </c>
      <c r="CJ176" s="69"/>
      <c r="CK176" s="69"/>
      <c r="CL176" s="69"/>
      <c r="CM176" s="69" t="s">
        <v>660</v>
      </c>
      <c r="CN176" s="69">
        <v>13200</v>
      </c>
      <c r="CO176" s="69" t="s">
        <v>661</v>
      </c>
      <c r="CP176" s="69">
        <v>80</v>
      </c>
      <c r="CQ176" s="69"/>
      <c r="CR176" s="69"/>
      <c r="CS176" s="69" t="s">
        <v>661</v>
      </c>
      <c r="CT176" s="69">
        <v>90</v>
      </c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</row>
    <row r="177" spans="54:108" ht="16.5" x14ac:dyDescent="0.2">
      <c r="BB177" s="69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69">
        <v>173</v>
      </c>
      <c r="CG177" s="69">
        <v>2</v>
      </c>
      <c r="CH177" s="69" t="s">
        <v>451</v>
      </c>
      <c r="CI177" s="69">
        <v>73</v>
      </c>
      <c r="CJ177" s="69"/>
      <c r="CK177" s="69"/>
      <c r="CL177" s="69"/>
      <c r="CM177" s="69" t="s">
        <v>660</v>
      </c>
      <c r="CN177" s="69">
        <v>13200</v>
      </c>
      <c r="CO177" s="69" t="s">
        <v>661</v>
      </c>
      <c r="CP177" s="69">
        <v>80</v>
      </c>
      <c r="CQ177" s="69"/>
      <c r="CR177" s="69"/>
      <c r="CS177" s="69" t="s">
        <v>661</v>
      </c>
      <c r="CT177" s="69">
        <v>90</v>
      </c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</row>
    <row r="178" spans="54:108" ht="16.5" x14ac:dyDescent="0.2">
      <c r="BB178" s="69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69">
        <v>174</v>
      </c>
      <c r="CG178" s="69">
        <v>2</v>
      </c>
      <c r="CH178" s="69" t="s">
        <v>451</v>
      </c>
      <c r="CI178" s="69">
        <v>74</v>
      </c>
      <c r="CJ178" s="69"/>
      <c r="CK178" s="69"/>
      <c r="CL178" s="69"/>
      <c r="CM178" s="69" t="s">
        <v>660</v>
      </c>
      <c r="CN178" s="69">
        <v>13200</v>
      </c>
      <c r="CO178" s="69" t="s">
        <v>661</v>
      </c>
      <c r="CP178" s="69">
        <v>80</v>
      </c>
      <c r="CQ178" s="69"/>
      <c r="CR178" s="69"/>
      <c r="CS178" s="69" t="s">
        <v>661</v>
      </c>
      <c r="CT178" s="69">
        <v>90</v>
      </c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</row>
    <row r="179" spans="54:108" ht="16.5" x14ac:dyDescent="0.2">
      <c r="BB179" s="69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69">
        <v>175</v>
      </c>
      <c r="CG179" s="69">
        <v>2</v>
      </c>
      <c r="CH179" s="69" t="s">
        <v>451</v>
      </c>
      <c r="CI179" s="69">
        <v>75</v>
      </c>
      <c r="CJ179" s="69"/>
      <c r="CK179" s="69"/>
      <c r="CL179" s="69"/>
      <c r="CM179" s="69" t="s">
        <v>660</v>
      </c>
      <c r="CN179" s="69">
        <v>13200</v>
      </c>
      <c r="CO179" s="69" t="s">
        <v>661</v>
      </c>
      <c r="CP179" s="69">
        <v>80</v>
      </c>
      <c r="CQ179" s="69" t="s">
        <v>489</v>
      </c>
      <c r="CR179" s="69">
        <v>2</v>
      </c>
      <c r="CS179" s="69" t="s">
        <v>661</v>
      </c>
      <c r="CT179" s="69">
        <v>95</v>
      </c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</row>
    <row r="180" spans="54:108" ht="16.5" x14ac:dyDescent="0.2">
      <c r="BB180" s="69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69">
        <v>176</v>
      </c>
      <c r="CG180" s="69">
        <v>2</v>
      </c>
      <c r="CH180" s="69" t="s">
        <v>451</v>
      </c>
      <c r="CI180" s="69">
        <v>76</v>
      </c>
      <c r="CJ180" s="69"/>
      <c r="CK180" s="69"/>
      <c r="CL180" s="69"/>
      <c r="CM180" s="69" t="s">
        <v>660</v>
      </c>
      <c r="CN180" s="69">
        <v>13200</v>
      </c>
      <c r="CO180" s="69" t="s">
        <v>661</v>
      </c>
      <c r="CP180" s="69">
        <v>85</v>
      </c>
      <c r="CQ180" s="69"/>
      <c r="CR180" s="69"/>
      <c r="CS180" s="69" t="s">
        <v>661</v>
      </c>
      <c r="CT180" s="69">
        <v>95</v>
      </c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</row>
    <row r="181" spans="54:108" ht="16.5" x14ac:dyDescent="0.2">
      <c r="BB181" s="69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69">
        <v>177</v>
      </c>
      <c r="CG181" s="69">
        <v>2</v>
      </c>
      <c r="CH181" s="69" t="s">
        <v>451</v>
      </c>
      <c r="CI181" s="69">
        <v>77</v>
      </c>
      <c r="CJ181" s="69"/>
      <c r="CK181" s="69"/>
      <c r="CL181" s="69"/>
      <c r="CM181" s="69" t="s">
        <v>660</v>
      </c>
      <c r="CN181" s="69">
        <v>13200</v>
      </c>
      <c r="CO181" s="69" t="s">
        <v>661</v>
      </c>
      <c r="CP181" s="69">
        <v>85</v>
      </c>
      <c r="CQ181" s="69"/>
      <c r="CR181" s="69"/>
      <c r="CS181" s="69" t="s">
        <v>661</v>
      </c>
      <c r="CT181" s="69">
        <v>95</v>
      </c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</row>
    <row r="182" spans="54:108" ht="16.5" x14ac:dyDescent="0.2">
      <c r="BB182" s="69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69">
        <v>178</v>
      </c>
      <c r="CG182" s="69">
        <v>2</v>
      </c>
      <c r="CH182" s="69" t="s">
        <v>451</v>
      </c>
      <c r="CI182" s="69">
        <v>78</v>
      </c>
      <c r="CJ182" s="69"/>
      <c r="CK182" s="69"/>
      <c r="CL182" s="69"/>
      <c r="CM182" s="69" t="s">
        <v>660</v>
      </c>
      <c r="CN182" s="69">
        <v>13200</v>
      </c>
      <c r="CO182" s="69" t="s">
        <v>661</v>
      </c>
      <c r="CP182" s="69">
        <v>85</v>
      </c>
      <c r="CQ182" s="69"/>
      <c r="CR182" s="69"/>
      <c r="CS182" s="69" t="s">
        <v>661</v>
      </c>
      <c r="CT182" s="69">
        <v>95</v>
      </c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</row>
    <row r="183" spans="54:108" ht="16.5" x14ac:dyDescent="0.2">
      <c r="BB183" s="69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69">
        <v>179</v>
      </c>
      <c r="CG183" s="69">
        <v>2</v>
      </c>
      <c r="CH183" s="69" t="s">
        <v>451</v>
      </c>
      <c r="CI183" s="69">
        <v>79</v>
      </c>
      <c r="CJ183" s="69"/>
      <c r="CK183" s="69"/>
      <c r="CL183" s="69"/>
      <c r="CM183" s="69" t="s">
        <v>660</v>
      </c>
      <c r="CN183" s="69">
        <v>13200</v>
      </c>
      <c r="CO183" s="69" t="s">
        <v>661</v>
      </c>
      <c r="CP183" s="69">
        <v>85</v>
      </c>
      <c r="CQ183" s="69"/>
      <c r="CR183" s="69"/>
      <c r="CS183" s="69" t="s">
        <v>661</v>
      </c>
      <c r="CT183" s="69">
        <v>95</v>
      </c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</row>
    <row r="184" spans="54:108" ht="16.5" x14ac:dyDescent="0.2">
      <c r="BB184" s="69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69">
        <v>180</v>
      </c>
      <c r="CG184" s="69">
        <v>2</v>
      </c>
      <c r="CH184" s="69" t="s">
        <v>451</v>
      </c>
      <c r="CI184" s="69">
        <v>80</v>
      </c>
      <c r="CJ184" s="69"/>
      <c r="CK184" s="69"/>
      <c r="CL184" s="69"/>
      <c r="CM184" s="69" t="s">
        <v>660</v>
      </c>
      <c r="CN184" s="69">
        <v>13200</v>
      </c>
      <c r="CO184" s="69" t="s">
        <v>661</v>
      </c>
      <c r="CP184" s="69">
        <v>85</v>
      </c>
      <c r="CQ184" s="69" t="s">
        <v>488</v>
      </c>
      <c r="CR184" s="69">
        <v>2</v>
      </c>
      <c r="CS184" s="69" t="s">
        <v>661</v>
      </c>
      <c r="CT184" s="69">
        <v>100</v>
      </c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</row>
    <row r="185" spans="54:108" ht="16.5" x14ac:dyDescent="0.2">
      <c r="BB185" s="69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69">
        <v>181</v>
      </c>
      <c r="CG185" s="69">
        <v>2</v>
      </c>
      <c r="CH185" s="69" t="s">
        <v>451</v>
      </c>
      <c r="CI185" s="69">
        <v>81</v>
      </c>
      <c r="CJ185" s="69"/>
      <c r="CK185" s="69"/>
      <c r="CL185" s="69"/>
      <c r="CM185" s="69" t="s">
        <v>660</v>
      </c>
      <c r="CN185" s="69">
        <v>13200</v>
      </c>
      <c r="CO185" s="69" t="s">
        <v>661</v>
      </c>
      <c r="CP185" s="69">
        <v>90</v>
      </c>
      <c r="CQ185" s="69"/>
      <c r="CR185" s="69"/>
      <c r="CS185" s="69" t="s">
        <v>661</v>
      </c>
      <c r="CT185" s="69">
        <v>100</v>
      </c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</row>
    <row r="186" spans="54:108" ht="16.5" x14ac:dyDescent="0.2">
      <c r="BB186" s="69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69">
        <v>182</v>
      </c>
      <c r="CG186" s="69">
        <v>2</v>
      </c>
      <c r="CH186" s="69" t="s">
        <v>451</v>
      </c>
      <c r="CI186" s="69">
        <v>82</v>
      </c>
      <c r="CJ186" s="69"/>
      <c r="CK186" s="69"/>
      <c r="CL186" s="69"/>
      <c r="CM186" s="69" t="s">
        <v>660</v>
      </c>
      <c r="CN186" s="69">
        <v>13200</v>
      </c>
      <c r="CO186" s="69" t="s">
        <v>661</v>
      </c>
      <c r="CP186" s="69">
        <v>90</v>
      </c>
      <c r="CQ186" s="69"/>
      <c r="CR186" s="69"/>
      <c r="CS186" s="69" t="s">
        <v>661</v>
      </c>
      <c r="CT186" s="69">
        <v>100</v>
      </c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</row>
    <row r="187" spans="54:108" ht="16.5" x14ac:dyDescent="0.2">
      <c r="BB187" s="69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69">
        <v>183</v>
      </c>
      <c r="CG187" s="69">
        <v>2</v>
      </c>
      <c r="CH187" s="69" t="s">
        <v>451</v>
      </c>
      <c r="CI187" s="69">
        <v>83</v>
      </c>
      <c r="CJ187" s="69"/>
      <c r="CK187" s="69"/>
      <c r="CL187" s="69"/>
      <c r="CM187" s="69" t="s">
        <v>660</v>
      </c>
      <c r="CN187" s="69">
        <v>13200</v>
      </c>
      <c r="CO187" s="69" t="s">
        <v>661</v>
      </c>
      <c r="CP187" s="69">
        <v>90</v>
      </c>
      <c r="CQ187" s="69"/>
      <c r="CR187" s="69"/>
      <c r="CS187" s="69" t="s">
        <v>661</v>
      </c>
      <c r="CT187" s="69">
        <v>100</v>
      </c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</row>
    <row r="188" spans="54:108" ht="16.5" x14ac:dyDescent="0.2">
      <c r="BB188" s="69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69">
        <v>184</v>
      </c>
      <c r="CG188" s="69">
        <v>2</v>
      </c>
      <c r="CH188" s="69" t="s">
        <v>451</v>
      </c>
      <c r="CI188" s="69">
        <v>84</v>
      </c>
      <c r="CJ188" s="69"/>
      <c r="CK188" s="69"/>
      <c r="CL188" s="69"/>
      <c r="CM188" s="69" t="s">
        <v>660</v>
      </c>
      <c r="CN188" s="69">
        <v>13200</v>
      </c>
      <c r="CO188" s="69" t="s">
        <v>661</v>
      </c>
      <c r="CP188" s="69">
        <v>90</v>
      </c>
      <c r="CQ188" s="69"/>
      <c r="CR188" s="69"/>
      <c r="CS188" s="69" t="s">
        <v>661</v>
      </c>
      <c r="CT188" s="69">
        <v>100</v>
      </c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</row>
    <row r="189" spans="54:108" ht="16.5" x14ac:dyDescent="0.2">
      <c r="BB189" s="69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69">
        <v>185</v>
      </c>
      <c r="CG189" s="69">
        <v>2</v>
      </c>
      <c r="CH189" s="69" t="s">
        <v>451</v>
      </c>
      <c r="CI189" s="69">
        <v>85</v>
      </c>
      <c r="CJ189" s="69"/>
      <c r="CK189" s="69"/>
      <c r="CL189" s="69"/>
      <c r="CM189" s="69" t="s">
        <v>660</v>
      </c>
      <c r="CN189" s="69">
        <v>15600</v>
      </c>
      <c r="CO189" s="69" t="s">
        <v>661</v>
      </c>
      <c r="CP189" s="69">
        <v>90</v>
      </c>
      <c r="CQ189" s="69" t="s">
        <v>489</v>
      </c>
      <c r="CR189" s="69">
        <v>2</v>
      </c>
      <c r="CS189" s="69" t="s">
        <v>661</v>
      </c>
      <c r="CT189" s="69">
        <v>105</v>
      </c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</row>
    <row r="190" spans="54:108" ht="16.5" x14ac:dyDescent="0.2">
      <c r="BB190" s="69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69">
        <v>186</v>
      </c>
      <c r="CG190" s="69">
        <v>2</v>
      </c>
      <c r="CH190" s="69" t="s">
        <v>451</v>
      </c>
      <c r="CI190" s="69">
        <v>86</v>
      </c>
      <c r="CJ190" s="69"/>
      <c r="CK190" s="69"/>
      <c r="CL190" s="69"/>
      <c r="CM190" s="69" t="s">
        <v>660</v>
      </c>
      <c r="CN190" s="69">
        <v>15600</v>
      </c>
      <c r="CO190" s="69" t="s">
        <v>661</v>
      </c>
      <c r="CP190" s="69">
        <v>95</v>
      </c>
      <c r="CQ190" s="69"/>
      <c r="CR190" s="69"/>
      <c r="CS190" s="69" t="s">
        <v>661</v>
      </c>
      <c r="CT190" s="69">
        <v>105</v>
      </c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</row>
    <row r="191" spans="54:108" ht="16.5" x14ac:dyDescent="0.2">
      <c r="BB191" s="69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69">
        <v>187</v>
      </c>
      <c r="CG191" s="69">
        <v>2</v>
      </c>
      <c r="CH191" s="69" t="s">
        <v>451</v>
      </c>
      <c r="CI191" s="69">
        <v>87</v>
      </c>
      <c r="CJ191" s="69"/>
      <c r="CK191" s="69"/>
      <c r="CL191" s="69"/>
      <c r="CM191" s="69" t="s">
        <v>660</v>
      </c>
      <c r="CN191" s="69">
        <v>15600</v>
      </c>
      <c r="CO191" s="69" t="s">
        <v>661</v>
      </c>
      <c r="CP191" s="69">
        <v>95</v>
      </c>
      <c r="CQ191" s="69"/>
      <c r="CR191" s="69"/>
      <c r="CS191" s="69" t="s">
        <v>661</v>
      </c>
      <c r="CT191" s="69">
        <v>105</v>
      </c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</row>
    <row r="192" spans="54:108" ht="16.5" x14ac:dyDescent="0.2">
      <c r="BB192" s="69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69">
        <v>188</v>
      </c>
      <c r="CG192" s="69">
        <v>2</v>
      </c>
      <c r="CH192" s="69" t="s">
        <v>451</v>
      </c>
      <c r="CI192" s="69">
        <v>88</v>
      </c>
      <c r="CJ192" s="69"/>
      <c r="CK192" s="69"/>
      <c r="CL192" s="69"/>
      <c r="CM192" s="69" t="s">
        <v>660</v>
      </c>
      <c r="CN192" s="69">
        <v>15600</v>
      </c>
      <c r="CO192" s="69" t="s">
        <v>661</v>
      </c>
      <c r="CP192" s="69">
        <v>95</v>
      </c>
      <c r="CQ192" s="69"/>
      <c r="CR192" s="69"/>
      <c r="CS192" s="69" t="s">
        <v>661</v>
      </c>
      <c r="CT192" s="69">
        <v>105</v>
      </c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</row>
    <row r="193" spans="54:108" ht="16.5" x14ac:dyDescent="0.2">
      <c r="BB193" s="69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69">
        <v>189</v>
      </c>
      <c r="CG193" s="69">
        <v>2</v>
      </c>
      <c r="CH193" s="69" t="s">
        <v>451</v>
      </c>
      <c r="CI193" s="69">
        <v>89</v>
      </c>
      <c r="CJ193" s="69"/>
      <c r="CK193" s="69"/>
      <c r="CL193" s="69"/>
      <c r="CM193" s="69" t="s">
        <v>660</v>
      </c>
      <c r="CN193" s="69">
        <v>15600</v>
      </c>
      <c r="CO193" s="69" t="s">
        <v>661</v>
      </c>
      <c r="CP193" s="69">
        <v>95</v>
      </c>
      <c r="CQ193" s="69"/>
      <c r="CR193" s="69"/>
      <c r="CS193" s="69" t="s">
        <v>661</v>
      </c>
      <c r="CT193" s="69">
        <v>105</v>
      </c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</row>
    <row r="194" spans="54:108" ht="16.5" x14ac:dyDescent="0.2">
      <c r="BB194" s="69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69">
        <v>190</v>
      </c>
      <c r="CG194" s="69">
        <v>2</v>
      </c>
      <c r="CH194" s="69" t="s">
        <v>451</v>
      </c>
      <c r="CI194" s="69">
        <v>90</v>
      </c>
      <c r="CJ194" s="69"/>
      <c r="CK194" s="69"/>
      <c r="CL194" s="69"/>
      <c r="CM194" s="69" t="s">
        <v>660</v>
      </c>
      <c r="CN194" s="69">
        <v>15600</v>
      </c>
      <c r="CO194" s="69" t="s">
        <v>661</v>
      </c>
      <c r="CP194" s="69">
        <v>95</v>
      </c>
      <c r="CQ194" s="69" t="s">
        <v>488</v>
      </c>
      <c r="CR194" s="69">
        <v>2</v>
      </c>
      <c r="CS194" s="69" t="s">
        <v>661</v>
      </c>
      <c r="CT194" s="69">
        <v>110</v>
      </c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</row>
    <row r="195" spans="54:108" ht="16.5" x14ac:dyDescent="0.2">
      <c r="BB195" s="69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69">
        <v>191</v>
      </c>
      <c r="CG195" s="69">
        <v>2</v>
      </c>
      <c r="CH195" s="69" t="s">
        <v>451</v>
      </c>
      <c r="CI195" s="69">
        <v>91</v>
      </c>
      <c r="CJ195" s="69"/>
      <c r="CK195" s="69"/>
      <c r="CL195" s="69"/>
      <c r="CM195" s="69" t="s">
        <v>660</v>
      </c>
      <c r="CN195" s="69">
        <v>15600</v>
      </c>
      <c r="CO195" s="69" t="s">
        <v>661</v>
      </c>
      <c r="CP195" s="69">
        <v>100</v>
      </c>
      <c r="CQ195" s="69"/>
      <c r="CR195" s="69"/>
      <c r="CS195" s="69" t="s">
        <v>661</v>
      </c>
      <c r="CT195" s="69">
        <v>110</v>
      </c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</row>
    <row r="196" spans="54:108" ht="16.5" x14ac:dyDescent="0.2">
      <c r="BB196" s="69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69">
        <v>192</v>
      </c>
      <c r="CG196" s="69">
        <v>2</v>
      </c>
      <c r="CH196" s="69" t="s">
        <v>451</v>
      </c>
      <c r="CI196" s="69">
        <v>92</v>
      </c>
      <c r="CJ196" s="69"/>
      <c r="CK196" s="69"/>
      <c r="CL196" s="69"/>
      <c r="CM196" s="69" t="s">
        <v>660</v>
      </c>
      <c r="CN196" s="69">
        <v>15600</v>
      </c>
      <c r="CO196" s="69" t="s">
        <v>661</v>
      </c>
      <c r="CP196" s="69">
        <v>100</v>
      </c>
      <c r="CQ196" s="69"/>
      <c r="CR196" s="69"/>
      <c r="CS196" s="69" t="s">
        <v>661</v>
      </c>
      <c r="CT196" s="69">
        <v>110</v>
      </c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</row>
    <row r="197" spans="54:108" ht="16.5" x14ac:dyDescent="0.2">
      <c r="BB197" s="69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69">
        <v>193</v>
      </c>
      <c r="CG197" s="69">
        <v>2</v>
      </c>
      <c r="CH197" s="69" t="s">
        <v>451</v>
      </c>
      <c r="CI197" s="69">
        <v>93</v>
      </c>
      <c r="CJ197" s="69"/>
      <c r="CK197" s="69"/>
      <c r="CL197" s="69"/>
      <c r="CM197" s="69" t="s">
        <v>660</v>
      </c>
      <c r="CN197" s="69">
        <v>15600</v>
      </c>
      <c r="CO197" s="69" t="s">
        <v>661</v>
      </c>
      <c r="CP197" s="69">
        <v>100</v>
      </c>
      <c r="CQ197" s="69"/>
      <c r="CR197" s="69"/>
      <c r="CS197" s="69" t="s">
        <v>661</v>
      </c>
      <c r="CT197" s="69">
        <v>110</v>
      </c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</row>
    <row r="198" spans="54:108" ht="16.5" x14ac:dyDescent="0.2">
      <c r="BB198" s="69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69">
        <v>194</v>
      </c>
      <c r="CG198" s="69">
        <v>2</v>
      </c>
      <c r="CH198" s="69" t="s">
        <v>451</v>
      </c>
      <c r="CI198" s="69">
        <v>94</v>
      </c>
      <c r="CJ198" s="69"/>
      <c r="CK198" s="69"/>
      <c r="CL198" s="69"/>
      <c r="CM198" s="69" t="s">
        <v>660</v>
      </c>
      <c r="CN198" s="69">
        <v>15600</v>
      </c>
      <c r="CO198" s="69" t="s">
        <v>661</v>
      </c>
      <c r="CP198" s="69">
        <v>100</v>
      </c>
      <c r="CQ198" s="69"/>
      <c r="CR198" s="69"/>
      <c r="CS198" s="69" t="s">
        <v>661</v>
      </c>
      <c r="CT198" s="69">
        <v>110</v>
      </c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</row>
    <row r="199" spans="54:108" ht="16.5" x14ac:dyDescent="0.2">
      <c r="BB199" s="69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69">
        <v>195</v>
      </c>
      <c r="CG199" s="69">
        <v>2</v>
      </c>
      <c r="CH199" s="69" t="s">
        <v>451</v>
      </c>
      <c r="CI199" s="69">
        <v>95</v>
      </c>
      <c r="CJ199" s="69"/>
      <c r="CK199" s="69"/>
      <c r="CL199" s="69"/>
      <c r="CM199" s="69" t="s">
        <v>660</v>
      </c>
      <c r="CN199" s="69">
        <v>15600</v>
      </c>
      <c r="CO199" s="69" t="s">
        <v>661</v>
      </c>
      <c r="CP199" s="69">
        <v>100</v>
      </c>
      <c r="CQ199" s="69" t="s">
        <v>489</v>
      </c>
      <c r="CR199" s="69">
        <v>2</v>
      </c>
      <c r="CS199" s="69" t="s">
        <v>661</v>
      </c>
      <c r="CT199" s="69">
        <v>115</v>
      </c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</row>
    <row r="200" spans="54:108" ht="16.5" x14ac:dyDescent="0.2">
      <c r="BB200" s="69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69">
        <v>196</v>
      </c>
      <c r="CG200" s="69">
        <v>2</v>
      </c>
      <c r="CH200" s="69" t="s">
        <v>451</v>
      </c>
      <c r="CI200" s="69">
        <v>96</v>
      </c>
      <c r="CJ200" s="69"/>
      <c r="CK200" s="69"/>
      <c r="CL200" s="69"/>
      <c r="CM200" s="69" t="s">
        <v>660</v>
      </c>
      <c r="CN200" s="69">
        <v>15600</v>
      </c>
      <c r="CO200" s="69" t="s">
        <v>661</v>
      </c>
      <c r="CP200" s="69">
        <v>105</v>
      </c>
      <c r="CQ200" s="69"/>
      <c r="CR200" s="69"/>
      <c r="CS200" s="69" t="s">
        <v>661</v>
      </c>
      <c r="CT200" s="69">
        <v>115</v>
      </c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</row>
    <row r="201" spans="54:108" ht="16.5" x14ac:dyDescent="0.2">
      <c r="BB201" s="69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69">
        <v>197</v>
      </c>
      <c r="CG201" s="69">
        <v>2</v>
      </c>
      <c r="CH201" s="69" t="s">
        <v>451</v>
      </c>
      <c r="CI201" s="69">
        <v>97</v>
      </c>
      <c r="CJ201" s="69"/>
      <c r="CK201" s="69"/>
      <c r="CL201" s="69"/>
      <c r="CM201" s="69" t="s">
        <v>660</v>
      </c>
      <c r="CN201" s="69">
        <v>15600</v>
      </c>
      <c r="CO201" s="69" t="s">
        <v>661</v>
      </c>
      <c r="CP201" s="69">
        <v>105</v>
      </c>
      <c r="CQ201" s="69"/>
      <c r="CR201" s="69"/>
      <c r="CS201" s="69" t="s">
        <v>661</v>
      </c>
      <c r="CT201" s="69">
        <v>115</v>
      </c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</row>
    <row r="202" spans="54:108" ht="16.5" x14ac:dyDescent="0.2">
      <c r="BB202" s="69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69">
        <v>198</v>
      </c>
      <c r="CG202" s="69">
        <v>2</v>
      </c>
      <c r="CH202" s="69" t="s">
        <v>451</v>
      </c>
      <c r="CI202" s="69">
        <v>98</v>
      </c>
      <c r="CJ202" s="69"/>
      <c r="CK202" s="69"/>
      <c r="CL202" s="69"/>
      <c r="CM202" s="69" t="s">
        <v>660</v>
      </c>
      <c r="CN202" s="69">
        <v>15600</v>
      </c>
      <c r="CO202" s="69" t="s">
        <v>661</v>
      </c>
      <c r="CP202" s="69">
        <v>105</v>
      </c>
      <c r="CQ202" s="69"/>
      <c r="CR202" s="69"/>
      <c r="CS202" s="69" t="s">
        <v>661</v>
      </c>
      <c r="CT202" s="69">
        <v>115</v>
      </c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</row>
    <row r="203" spans="54:108" ht="16.5" x14ac:dyDescent="0.2">
      <c r="BB203" s="69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69">
        <v>199</v>
      </c>
      <c r="CG203" s="69">
        <v>2</v>
      </c>
      <c r="CH203" s="69" t="s">
        <v>451</v>
      </c>
      <c r="CI203" s="69">
        <v>99</v>
      </c>
      <c r="CJ203" s="69"/>
      <c r="CK203" s="69"/>
      <c r="CL203" s="69"/>
      <c r="CM203" s="69" t="s">
        <v>660</v>
      </c>
      <c r="CN203" s="69">
        <v>15600</v>
      </c>
      <c r="CO203" s="69" t="s">
        <v>661</v>
      </c>
      <c r="CP203" s="69">
        <v>105</v>
      </c>
      <c r="CQ203" s="69"/>
      <c r="CR203" s="69"/>
      <c r="CS203" s="69" t="s">
        <v>661</v>
      </c>
      <c r="CT203" s="69">
        <v>115</v>
      </c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</row>
    <row r="204" spans="54:108" ht="16.5" x14ac:dyDescent="0.2">
      <c r="BB204" s="69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69">
        <v>200</v>
      </c>
      <c r="CG204" s="69">
        <v>2</v>
      </c>
      <c r="CH204" s="69" t="s">
        <v>451</v>
      </c>
      <c r="CI204" s="69">
        <v>100</v>
      </c>
      <c r="CJ204" s="69"/>
      <c r="CK204" s="69"/>
      <c r="CL204" s="69"/>
      <c r="CM204" s="69" t="s">
        <v>660</v>
      </c>
      <c r="CN204" s="69">
        <v>18000</v>
      </c>
      <c r="CO204" s="69" t="s">
        <v>661</v>
      </c>
      <c r="CP204" s="69">
        <v>105</v>
      </c>
      <c r="CQ204" s="69" t="s">
        <v>488</v>
      </c>
      <c r="CR204" s="69">
        <v>2</v>
      </c>
      <c r="CS204" s="69" t="s">
        <v>661</v>
      </c>
      <c r="CT204" s="69">
        <v>120</v>
      </c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</row>
    <row r="205" spans="54:108" ht="16.5" x14ac:dyDescent="0.2">
      <c r="BB205" s="69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69">
        <v>201</v>
      </c>
      <c r="CG205" s="69">
        <v>3</v>
      </c>
      <c r="CH205" s="69" t="s">
        <v>451</v>
      </c>
      <c r="CI205" s="69">
        <v>1</v>
      </c>
      <c r="CJ205" s="69"/>
      <c r="CK205" s="69"/>
      <c r="CL205" s="69"/>
      <c r="CM205" s="69" t="s">
        <v>660</v>
      </c>
      <c r="CN205" s="69">
        <v>5760</v>
      </c>
      <c r="CO205" s="69" t="s">
        <v>661</v>
      </c>
      <c r="CP205" s="69">
        <v>15</v>
      </c>
      <c r="CQ205" s="69"/>
      <c r="CR205" s="69"/>
      <c r="CS205" s="69" t="s">
        <v>661</v>
      </c>
      <c r="CT205" s="69">
        <v>20</v>
      </c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</row>
    <row r="206" spans="54:108" ht="16.5" x14ac:dyDescent="0.2">
      <c r="BB206" s="69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69">
        <v>202</v>
      </c>
      <c r="CG206" s="69">
        <v>3</v>
      </c>
      <c r="CH206" s="69" t="s">
        <v>451</v>
      </c>
      <c r="CI206" s="69">
        <v>2</v>
      </c>
      <c r="CJ206" s="69"/>
      <c r="CK206" s="69"/>
      <c r="CL206" s="69"/>
      <c r="CM206" s="69" t="s">
        <v>660</v>
      </c>
      <c r="CN206" s="69">
        <v>5760</v>
      </c>
      <c r="CO206" s="69" t="s">
        <v>661</v>
      </c>
      <c r="CP206" s="69">
        <v>15</v>
      </c>
      <c r="CQ206" s="69" t="s">
        <v>490</v>
      </c>
      <c r="CR206" s="69">
        <v>1</v>
      </c>
      <c r="CS206" s="69" t="s">
        <v>661</v>
      </c>
      <c r="CT206" s="69">
        <v>20</v>
      </c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</row>
    <row r="207" spans="54:108" ht="16.5" x14ac:dyDescent="0.2">
      <c r="BB207" s="69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69">
        <v>203</v>
      </c>
      <c r="CG207" s="69">
        <v>3</v>
      </c>
      <c r="CH207" s="69" t="s">
        <v>451</v>
      </c>
      <c r="CI207" s="69">
        <v>3</v>
      </c>
      <c r="CJ207" s="69"/>
      <c r="CK207" s="69"/>
      <c r="CL207" s="69"/>
      <c r="CM207" s="69" t="s">
        <v>660</v>
      </c>
      <c r="CN207" s="69">
        <v>5760</v>
      </c>
      <c r="CO207" s="69" t="s">
        <v>661</v>
      </c>
      <c r="CP207" s="69">
        <v>15</v>
      </c>
      <c r="CQ207" s="69"/>
      <c r="CR207" s="69"/>
      <c r="CS207" s="69" t="s">
        <v>661</v>
      </c>
      <c r="CT207" s="69">
        <v>20</v>
      </c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</row>
    <row r="208" spans="54:108" ht="16.5" x14ac:dyDescent="0.2">
      <c r="BB208" s="69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69">
        <v>204</v>
      </c>
      <c r="CG208" s="69">
        <v>3</v>
      </c>
      <c r="CH208" s="69" t="s">
        <v>451</v>
      </c>
      <c r="CI208" s="69">
        <v>4</v>
      </c>
      <c r="CJ208" s="69"/>
      <c r="CK208" s="69"/>
      <c r="CL208" s="69"/>
      <c r="CM208" s="69" t="s">
        <v>660</v>
      </c>
      <c r="CN208" s="69">
        <v>5760</v>
      </c>
      <c r="CO208" s="69" t="s">
        <v>661</v>
      </c>
      <c r="CP208" s="69">
        <v>15</v>
      </c>
      <c r="CQ208" s="69" t="s">
        <v>491</v>
      </c>
      <c r="CR208" s="69">
        <v>1</v>
      </c>
      <c r="CS208" s="69" t="s">
        <v>661</v>
      </c>
      <c r="CT208" s="69">
        <v>20</v>
      </c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</row>
    <row r="209" spans="54:108" ht="16.5" x14ac:dyDescent="0.2">
      <c r="BB209" s="69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69">
        <v>205</v>
      </c>
      <c r="CG209" s="69">
        <v>3</v>
      </c>
      <c r="CH209" s="69" t="s">
        <v>451</v>
      </c>
      <c r="CI209" s="69">
        <v>5</v>
      </c>
      <c r="CJ209" s="69"/>
      <c r="CK209" s="69"/>
      <c r="CL209" s="69"/>
      <c r="CM209" s="69" t="s">
        <v>660</v>
      </c>
      <c r="CN209" s="69">
        <v>5760</v>
      </c>
      <c r="CO209" s="69" t="s">
        <v>661</v>
      </c>
      <c r="CP209" s="69">
        <v>15</v>
      </c>
      <c r="CQ209" s="69"/>
      <c r="CR209" s="69"/>
      <c r="CS209" s="69" t="s">
        <v>661</v>
      </c>
      <c r="CT209" s="69">
        <v>25</v>
      </c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</row>
    <row r="210" spans="54:108" ht="16.5" x14ac:dyDescent="0.2">
      <c r="BB210" s="69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69">
        <v>206</v>
      </c>
      <c r="CG210" s="69">
        <v>3</v>
      </c>
      <c r="CH210" s="69" t="s">
        <v>451</v>
      </c>
      <c r="CI210" s="69">
        <v>6</v>
      </c>
      <c r="CJ210" s="69"/>
      <c r="CK210" s="69"/>
      <c r="CL210" s="69"/>
      <c r="CM210" s="69" t="s">
        <v>660</v>
      </c>
      <c r="CN210" s="69">
        <v>7200</v>
      </c>
      <c r="CO210" s="69" t="s">
        <v>661</v>
      </c>
      <c r="CP210" s="69">
        <v>20</v>
      </c>
      <c r="CQ210" s="69"/>
      <c r="CR210" s="69"/>
      <c r="CS210" s="69" t="s">
        <v>661</v>
      </c>
      <c r="CT210" s="69">
        <v>25</v>
      </c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</row>
    <row r="211" spans="54:108" ht="16.5" x14ac:dyDescent="0.2">
      <c r="BB211" s="69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69">
        <v>207</v>
      </c>
      <c r="CG211" s="69">
        <v>3</v>
      </c>
      <c r="CH211" s="69" t="s">
        <v>451</v>
      </c>
      <c r="CI211" s="69">
        <v>7</v>
      </c>
      <c r="CJ211" s="69"/>
      <c r="CK211" s="69"/>
      <c r="CL211" s="69"/>
      <c r="CM211" s="69" t="s">
        <v>660</v>
      </c>
      <c r="CN211" s="69">
        <v>7200</v>
      </c>
      <c r="CO211" s="69" t="s">
        <v>661</v>
      </c>
      <c r="CP211" s="69">
        <v>20</v>
      </c>
      <c r="CQ211" s="69" t="s">
        <v>494</v>
      </c>
      <c r="CR211" s="69">
        <v>1</v>
      </c>
      <c r="CS211" s="69" t="s">
        <v>661</v>
      </c>
      <c r="CT211" s="69">
        <v>25</v>
      </c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</row>
    <row r="212" spans="54:108" ht="16.5" x14ac:dyDescent="0.2">
      <c r="BB212" s="69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69">
        <v>208</v>
      </c>
      <c r="CG212" s="69">
        <v>3</v>
      </c>
      <c r="CH212" s="69" t="s">
        <v>451</v>
      </c>
      <c r="CI212" s="69">
        <v>8</v>
      </c>
      <c r="CJ212" s="69"/>
      <c r="CK212" s="69"/>
      <c r="CL212" s="69"/>
      <c r="CM212" s="69" t="s">
        <v>660</v>
      </c>
      <c r="CN212" s="69">
        <v>7200</v>
      </c>
      <c r="CO212" s="69" t="s">
        <v>661</v>
      </c>
      <c r="CP212" s="69">
        <v>20</v>
      </c>
      <c r="CQ212" s="69"/>
      <c r="CR212" s="69"/>
      <c r="CS212" s="69" t="s">
        <v>661</v>
      </c>
      <c r="CT212" s="69">
        <v>25</v>
      </c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</row>
    <row r="213" spans="54:108" ht="16.5" x14ac:dyDescent="0.2">
      <c r="BB213" s="69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69">
        <v>209</v>
      </c>
      <c r="CG213" s="69">
        <v>3</v>
      </c>
      <c r="CH213" s="69" t="s">
        <v>451</v>
      </c>
      <c r="CI213" s="69">
        <v>9</v>
      </c>
      <c r="CJ213" s="69"/>
      <c r="CK213" s="69"/>
      <c r="CL213" s="69"/>
      <c r="CM213" s="69" t="s">
        <v>660</v>
      </c>
      <c r="CN213" s="69">
        <v>7200</v>
      </c>
      <c r="CO213" s="69" t="s">
        <v>661</v>
      </c>
      <c r="CP213" s="69">
        <v>20</v>
      </c>
      <c r="CQ213" s="69"/>
      <c r="CR213" s="69"/>
      <c r="CS213" s="69" t="s">
        <v>661</v>
      </c>
      <c r="CT213" s="69">
        <v>25</v>
      </c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</row>
    <row r="214" spans="54:108" ht="16.5" x14ac:dyDescent="0.2">
      <c r="BB214" s="69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69">
        <v>210</v>
      </c>
      <c r="CG214" s="69">
        <v>3</v>
      </c>
      <c r="CH214" s="69" t="s">
        <v>451</v>
      </c>
      <c r="CI214" s="69">
        <v>10</v>
      </c>
      <c r="CJ214" s="69"/>
      <c r="CK214" s="69"/>
      <c r="CL214" s="69"/>
      <c r="CM214" s="69" t="s">
        <v>660</v>
      </c>
      <c r="CN214" s="69">
        <v>7200</v>
      </c>
      <c r="CO214" s="69" t="s">
        <v>661</v>
      </c>
      <c r="CP214" s="69">
        <v>20</v>
      </c>
      <c r="CQ214" s="69" t="s">
        <v>495</v>
      </c>
      <c r="CR214" s="69">
        <v>1</v>
      </c>
      <c r="CS214" s="69" t="s">
        <v>661</v>
      </c>
      <c r="CT214" s="69">
        <v>30</v>
      </c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</row>
    <row r="215" spans="54:108" ht="16.5" x14ac:dyDescent="0.2">
      <c r="BB215" s="69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69">
        <v>211</v>
      </c>
      <c r="CG215" s="69">
        <v>3</v>
      </c>
      <c r="CH215" s="69" t="s">
        <v>451</v>
      </c>
      <c r="CI215" s="69">
        <v>11</v>
      </c>
      <c r="CJ215" s="69"/>
      <c r="CK215" s="69"/>
      <c r="CL215" s="69"/>
      <c r="CM215" s="69" t="s">
        <v>660</v>
      </c>
      <c r="CN215" s="69">
        <v>9000</v>
      </c>
      <c r="CO215" s="69" t="s">
        <v>661</v>
      </c>
      <c r="CP215" s="69">
        <v>25</v>
      </c>
      <c r="CQ215" s="69"/>
      <c r="CR215" s="69"/>
      <c r="CS215" s="69" t="s">
        <v>661</v>
      </c>
      <c r="CT215" s="69">
        <v>30</v>
      </c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</row>
    <row r="216" spans="54:108" ht="16.5" x14ac:dyDescent="0.2">
      <c r="BB216" s="69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69">
        <v>212</v>
      </c>
      <c r="CG216" s="69">
        <v>3</v>
      </c>
      <c r="CH216" s="69" t="s">
        <v>451</v>
      </c>
      <c r="CI216" s="69">
        <v>12</v>
      </c>
      <c r="CJ216" s="69"/>
      <c r="CK216" s="69"/>
      <c r="CL216" s="69"/>
      <c r="CM216" s="69" t="s">
        <v>660</v>
      </c>
      <c r="CN216" s="69">
        <v>9000</v>
      </c>
      <c r="CO216" s="69" t="s">
        <v>661</v>
      </c>
      <c r="CP216" s="69">
        <v>25</v>
      </c>
      <c r="CQ216" s="69"/>
      <c r="CR216" s="69"/>
      <c r="CS216" s="69" t="s">
        <v>661</v>
      </c>
      <c r="CT216" s="69">
        <v>30</v>
      </c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</row>
    <row r="217" spans="54:108" ht="16.5" x14ac:dyDescent="0.2">
      <c r="BB217" s="69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69">
        <v>213</v>
      </c>
      <c r="CG217" s="69">
        <v>3</v>
      </c>
      <c r="CH217" s="69" t="s">
        <v>451</v>
      </c>
      <c r="CI217" s="69">
        <v>13</v>
      </c>
      <c r="CJ217" s="69"/>
      <c r="CK217" s="69"/>
      <c r="CL217" s="69"/>
      <c r="CM217" s="69" t="s">
        <v>660</v>
      </c>
      <c r="CN217" s="69">
        <v>9000</v>
      </c>
      <c r="CO217" s="69" t="s">
        <v>661</v>
      </c>
      <c r="CP217" s="69">
        <v>25</v>
      </c>
      <c r="CQ217" s="69"/>
      <c r="CR217" s="69"/>
      <c r="CS217" s="69" t="s">
        <v>661</v>
      </c>
      <c r="CT217" s="69">
        <v>30</v>
      </c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</row>
    <row r="218" spans="54:108" ht="16.5" x14ac:dyDescent="0.2">
      <c r="BB218" s="69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69">
        <v>214</v>
      </c>
      <c r="CG218" s="69">
        <v>3</v>
      </c>
      <c r="CH218" s="69" t="s">
        <v>451</v>
      </c>
      <c r="CI218" s="69">
        <v>14</v>
      </c>
      <c r="CJ218" s="69"/>
      <c r="CK218" s="69"/>
      <c r="CL218" s="69"/>
      <c r="CM218" s="69" t="s">
        <v>660</v>
      </c>
      <c r="CN218" s="69">
        <v>9000</v>
      </c>
      <c r="CO218" s="69" t="s">
        <v>661</v>
      </c>
      <c r="CP218" s="69">
        <v>25</v>
      </c>
      <c r="CQ218" s="69"/>
      <c r="CR218" s="69"/>
      <c r="CS218" s="69" t="s">
        <v>661</v>
      </c>
      <c r="CT218" s="69">
        <v>30</v>
      </c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</row>
    <row r="219" spans="54:108" ht="16.5" x14ac:dyDescent="0.2">
      <c r="BB219" s="69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69">
        <v>215</v>
      </c>
      <c r="CG219" s="69">
        <v>3</v>
      </c>
      <c r="CH219" s="69" t="s">
        <v>451</v>
      </c>
      <c r="CI219" s="69">
        <v>15</v>
      </c>
      <c r="CJ219" s="69"/>
      <c r="CK219" s="69"/>
      <c r="CL219" s="69"/>
      <c r="CM219" s="69" t="s">
        <v>660</v>
      </c>
      <c r="CN219" s="69">
        <v>9000</v>
      </c>
      <c r="CO219" s="69" t="s">
        <v>661</v>
      </c>
      <c r="CP219" s="69">
        <v>25</v>
      </c>
      <c r="CQ219" s="69" t="s">
        <v>490</v>
      </c>
      <c r="CR219" s="69">
        <v>2</v>
      </c>
      <c r="CS219" s="69" t="s">
        <v>661</v>
      </c>
      <c r="CT219" s="69">
        <v>35</v>
      </c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</row>
    <row r="220" spans="54:108" ht="16.5" x14ac:dyDescent="0.2">
      <c r="BB220" s="69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69">
        <v>216</v>
      </c>
      <c r="CG220" s="69">
        <v>3</v>
      </c>
      <c r="CH220" s="69" t="s">
        <v>451</v>
      </c>
      <c r="CI220" s="69">
        <v>16</v>
      </c>
      <c r="CJ220" s="69"/>
      <c r="CK220" s="69"/>
      <c r="CL220" s="69"/>
      <c r="CM220" s="69" t="s">
        <v>660</v>
      </c>
      <c r="CN220" s="69">
        <v>10800</v>
      </c>
      <c r="CO220" s="69" t="s">
        <v>661</v>
      </c>
      <c r="CP220" s="69">
        <v>30</v>
      </c>
      <c r="CQ220" s="69"/>
      <c r="CR220" s="69"/>
      <c r="CS220" s="69" t="s">
        <v>661</v>
      </c>
      <c r="CT220" s="69">
        <v>35</v>
      </c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</row>
    <row r="221" spans="54:108" ht="16.5" x14ac:dyDescent="0.2">
      <c r="BB221" s="69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69">
        <v>217</v>
      </c>
      <c r="CG221" s="69">
        <v>3</v>
      </c>
      <c r="CH221" s="69" t="s">
        <v>451</v>
      </c>
      <c r="CI221" s="69">
        <v>17</v>
      </c>
      <c r="CJ221" s="69"/>
      <c r="CK221" s="69"/>
      <c r="CL221" s="69"/>
      <c r="CM221" s="69" t="s">
        <v>660</v>
      </c>
      <c r="CN221" s="69">
        <v>10800</v>
      </c>
      <c r="CO221" s="69" t="s">
        <v>661</v>
      </c>
      <c r="CP221" s="69">
        <v>30</v>
      </c>
      <c r="CQ221" s="69"/>
      <c r="CR221" s="69"/>
      <c r="CS221" s="69" t="s">
        <v>661</v>
      </c>
      <c r="CT221" s="69">
        <v>35</v>
      </c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</row>
    <row r="222" spans="54:108" ht="16.5" x14ac:dyDescent="0.2">
      <c r="BB222" s="69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69">
        <v>218</v>
      </c>
      <c r="CG222" s="69">
        <v>3</v>
      </c>
      <c r="CH222" s="69" t="s">
        <v>451</v>
      </c>
      <c r="CI222" s="69">
        <v>18</v>
      </c>
      <c r="CJ222" s="69"/>
      <c r="CK222" s="69"/>
      <c r="CL222" s="69"/>
      <c r="CM222" s="69" t="s">
        <v>660</v>
      </c>
      <c r="CN222" s="69">
        <v>10800</v>
      </c>
      <c r="CO222" s="69" t="s">
        <v>661</v>
      </c>
      <c r="CP222" s="69">
        <v>30</v>
      </c>
      <c r="CQ222" s="69"/>
      <c r="CR222" s="69"/>
      <c r="CS222" s="69" t="s">
        <v>661</v>
      </c>
      <c r="CT222" s="69">
        <v>35</v>
      </c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</row>
    <row r="223" spans="54:108" ht="16.5" x14ac:dyDescent="0.2">
      <c r="BB223" s="69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69">
        <v>219</v>
      </c>
      <c r="CG223" s="69">
        <v>3</v>
      </c>
      <c r="CH223" s="69" t="s">
        <v>451</v>
      </c>
      <c r="CI223" s="69">
        <v>19</v>
      </c>
      <c r="CJ223" s="69"/>
      <c r="CK223" s="69"/>
      <c r="CL223" s="69"/>
      <c r="CM223" s="69" t="s">
        <v>660</v>
      </c>
      <c r="CN223" s="69">
        <v>10800</v>
      </c>
      <c r="CO223" s="69" t="s">
        <v>661</v>
      </c>
      <c r="CP223" s="69">
        <v>30</v>
      </c>
      <c r="CQ223" s="69"/>
      <c r="CR223" s="69"/>
      <c r="CS223" s="69" t="s">
        <v>661</v>
      </c>
      <c r="CT223" s="69">
        <v>35</v>
      </c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</row>
    <row r="224" spans="54:108" ht="16.5" x14ac:dyDescent="0.2">
      <c r="BB224" s="69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69">
        <v>220</v>
      </c>
      <c r="CG224" s="69">
        <v>3</v>
      </c>
      <c r="CH224" s="69" t="s">
        <v>451</v>
      </c>
      <c r="CI224" s="69">
        <v>20</v>
      </c>
      <c r="CJ224" s="69"/>
      <c r="CK224" s="69"/>
      <c r="CL224" s="69"/>
      <c r="CM224" s="69" t="s">
        <v>660</v>
      </c>
      <c r="CN224" s="69">
        <v>12960</v>
      </c>
      <c r="CO224" s="69" t="s">
        <v>661</v>
      </c>
      <c r="CP224" s="69">
        <v>30</v>
      </c>
      <c r="CQ224" s="69" t="s">
        <v>491</v>
      </c>
      <c r="CR224" s="69">
        <v>2</v>
      </c>
      <c r="CS224" s="69" t="s">
        <v>661</v>
      </c>
      <c r="CT224" s="69">
        <v>40</v>
      </c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</row>
    <row r="225" spans="54:108" ht="16.5" x14ac:dyDescent="0.2">
      <c r="BB225" s="69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69">
        <v>221</v>
      </c>
      <c r="CG225" s="69">
        <v>3</v>
      </c>
      <c r="CH225" s="69" t="s">
        <v>451</v>
      </c>
      <c r="CI225" s="69">
        <v>21</v>
      </c>
      <c r="CJ225" s="69"/>
      <c r="CK225" s="69"/>
      <c r="CL225" s="69"/>
      <c r="CM225" s="69" t="s">
        <v>660</v>
      </c>
      <c r="CN225" s="69">
        <v>12960</v>
      </c>
      <c r="CO225" s="69" t="s">
        <v>661</v>
      </c>
      <c r="CP225" s="69">
        <v>35</v>
      </c>
      <c r="CQ225" s="69"/>
      <c r="CR225" s="69"/>
      <c r="CS225" s="69" t="s">
        <v>661</v>
      </c>
      <c r="CT225" s="69">
        <v>40</v>
      </c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</row>
    <row r="226" spans="54:108" ht="16.5" x14ac:dyDescent="0.2">
      <c r="BB226" s="69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69">
        <v>222</v>
      </c>
      <c r="CG226" s="69">
        <v>3</v>
      </c>
      <c r="CH226" s="69" t="s">
        <v>451</v>
      </c>
      <c r="CI226" s="69">
        <v>22</v>
      </c>
      <c r="CJ226" s="69"/>
      <c r="CK226" s="69"/>
      <c r="CL226" s="69"/>
      <c r="CM226" s="69" t="s">
        <v>660</v>
      </c>
      <c r="CN226" s="69">
        <v>12960</v>
      </c>
      <c r="CO226" s="69" t="s">
        <v>661</v>
      </c>
      <c r="CP226" s="69">
        <v>35</v>
      </c>
      <c r="CQ226" s="69"/>
      <c r="CR226" s="69"/>
      <c r="CS226" s="69" t="s">
        <v>661</v>
      </c>
      <c r="CT226" s="69">
        <v>40</v>
      </c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</row>
    <row r="227" spans="54:108" ht="16.5" x14ac:dyDescent="0.2">
      <c r="BB227" s="69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69">
        <v>223</v>
      </c>
      <c r="CG227" s="69">
        <v>3</v>
      </c>
      <c r="CH227" s="69" t="s">
        <v>451</v>
      </c>
      <c r="CI227" s="69">
        <v>23</v>
      </c>
      <c r="CJ227" s="69"/>
      <c r="CK227" s="69"/>
      <c r="CL227" s="69"/>
      <c r="CM227" s="69" t="s">
        <v>660</v>
      </c>
      <c r="CN227" s="69">
        <v>12960</v>
      </c>
      <c r="CO227" s="69" t="s">
        <v>661</v>
      </c>
      <c r="CP227" s="69">
        <v>35</v>
      </c>
      <c r="CQ227" s="69"/>
      <c r="CR227" s="69"/>
      <c r="CS227" s="69" t="s">
        <v>661</v>
      </c>
      <c r="CT227" s="69">
        <v>40</v>
      </c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</row>
    <row r="228" spans="54:108" ht="16.5" x14ac:dyDescent="0.2">
      <c r="BB228" s="69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69">
        <v>224</v>
      </c>
      <c r="CG228" s="69">
        <v>3</v>
      </c>
      <c r="CH228" s="69" t="s">
        <v>451</v>
      </c>
      <c r="CI228" s="69">
        <v>24</v>
      </c>
      <c r="CJ228" s="69"/>
      <c r="CK228" s="69"/>
      <c r="CL228" s="69"/>
      <c r="CM228" s="69" t="s">
        <v>660</v>
      </c>
      <c r="CN228" s="69">
        <v>12960</v>
      </c>
      <c r="CO228" s="69" t="s">
        <v>661</v>
      </c>
      <c r="CP228" s="69">
        <v>35</v>
      </c>
      <c r="CQ228" s="69"/>
      <c r="CR228" s="69"/>
      <c r="CS228" s="69" t="s">
        <v>661</v>
      </c>
      <c r="CT228" s="69">
        <v>40</v>
      </c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</row>
    <row r="229" spans="54:108" ht="16.5" x14ac:dyDescent="0.2">
      <c r="BB229" s="69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69">
        <v>225</v>
      </c>
      <c r="CG229" s="69">
        <v>3</v>
      </c>
      <c r="CH229" s="69" t="s">
        <v>451</v>
      </c>
      <c r="CI229" s="69">
        <v>25</v>
      </c>
      <c r="CJ229" s="69"/>
      <c r="CK229" s="69"/>
      <c r="CL229" s="69"/>
      <c r="CM229" s="69" t="s">
        <v>660</v>
      </c>
      <c r="CN229" s="69">
        <v>12960</v>
      </c>
      <c r="CO229" s="69" t="s">
        <v>661</v>
      </c>
      <c r="CP229" s="69">
        <v>35</v>
      </c>
      <c r="CQ229" s="69" t="s">
        <v>494</v>
      </c>
      <c r="CR229" s="69">
        <v>2</v>
      </c>
      <c r="CS229" s="69" t="s">
        <v>661</v>
      </c>
      <c r="CT229" s="69">
        <v>45</v>
      </c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</row>
    <row r="230" spans="54:108" ht="16.5" x14ac:dyDescent="0.2">
      <c r="BB230" s="69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69">
        <v>226</v>
      </c>
      <c r="CG230" s="69">
        <v>3</v>
      </c>
      <c r="CH230" s="69" t="s">
        <v>451</v>
      </c>
      <c r="CI230" s="69">
        <v>26</v>
      </c>
      <c r="CJ230" s="69"/>
      <c r="CK230" s="69"/>
      <c r="CL230" s="69"/>
      <c r="CM230" s="69" t="s">
        <v>660</v>
      </c>
      <c r="CN230" s="69">
        <v>12960</v>
      </c>
      <c r="CO230" s="69" t="s">
        <v>661</v>
      </c>
      <c r="CP230" s="69">
        <v>40</v>
      </c>
      <c r="CQ230" s="69"/>
      <c r="CR230" s="69"/>
      <c r="CS230" s="69" t="s">
        <v>661</v>
      </c>
      <c r="CT230" s="69">
        <v>45</v>
      </c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</row>
    <row r="231" spans="54:108" ht="16.5" x14ac:dyDescent="0.2">
      <c r="BB231" s="69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69">
        <v>227</v>
      </c>
      <c r="CG231" s="69">
        <v>3</v>
      </c>
      <c r="CH231" s="69" t="s">
        <v>451</v>
      </c>
      <c r="CI231" s="69">
        <v>27</v>
      </c>
      <c r="CJ231" s="69"/>
      <c r="CK231" s="69"/>
      <c r="CL231" s="69"/>
      <c r="CM231" s="69" t="s">
        <v>660</v>
      </c>
      <c r="CN231" s="69">
        <v>12960</v>
      </c>
      <c r="CO231" s="69" t="s">
        <v>661</v>
      </c>
      <c r="CP231" s="69">
        <v>40</v>
      </c>
      <c r="CQ231" s="69"/>
      <c r="CR231" s="69"/>
      <c r="CS231" s="69" t="s">
        <v>661</v>
      </c>
      <c r="CT231" s="69">
        <v>45</v>
      </c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</row>
    <row r="232" spans="54:108" ht="16.5" x14ac:dyDescent="0.2">
      <c r="BB232" s="69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69">
        <v>228</v>
      </c>
      <c r="CG232" s="69">
        <v>3</v>
      </c>
      <c r="CH232" s="69" t="s">
        <v>451</v>
      </c>
      <c r="CI232" s="69">
        <v>28</v>
      </c>
      <c r="CJ232" s="69"/>
      <c r="CK232" s="69"/>
      <c r="CL232" s="69"/>
      <c r="CM232" s="69" t="s">
        <v>660</v>
      </c>
      <c r="CN232" s="69">
        <v>12960</v>
      </c>
      <c r="CO232" s="69" t="s">
        <v>661</v>
      </c>
      <c r="CP232" s="69">
        <v>40</v>
      </c>
      <c r="CQ232" s="69"/>
      <c r="CR232" s="69"/>
      <c r="CS232" s="69" t="s">
        <v>661</v>
      </c>
      <c r="CT232" s="69">
        <v>45</v>
      </c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</row>
    <row r="233" spans="54:108" ht="16.5" x14ac:dyDescent="0.2">
      <c r="BB233" s="69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69">
        <v>229</v>
      </c>
      <c r="CG233" s="69">
        <v>3</v>
      </c>
      <c r="CH233" s="69" t="s">
        <v>451</v>
      </c>
      <c r="CI233" s="69">
        <v>29</v>
      </c>
      <c r="CJ233" s="69"/>
      <c r="CK233" s="69"/>
      <c r="CL233" s="69"/>
      <c r="CM233" s="69" t="s">
        <v>660</v>
      </c>
      <c r="CN233" s="69">
        <v>12960</v>
      </c>
      <c r="CO233" s="69" t="s">
        <v>661</v>
      </c>
      <c r="CP233" s="69">
        <v>40</v>
      </c>
      <c r="CQ233" s="69"/>
      <c r="CR233" s="69"/>
      <c r="CS233" s="69" t="s">
        <v>661</v>
      </c>
      <c r="CT233" s="69">
        <v>45</v>
      </c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</row>
    <row r="234" spans="54:108" ht="16.5" x14ac:dyDescent="0.2">
      <c r="BB234" s="69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69">
        <v>230</v>
      </c>
      <c r="CG234" s="69">
        <v>3</v>
      </c>
      <c r="CH234" s="69" t="s">
        <v>451</v>
      </c>
      <c r="CI234" s="69">
        <v>30</v>
      </c>
      <c r="CJ234" s="69"/>
      <c r="CK234" s="69"/>
      <c r="CL234" s="69"/>
      <c r="CM234" s="69" t="s">
        <v>660</v>
      </c>
      <c r="CN234" s="69">
        <v>16200</v>
      </c>
      <c r="CO234" s="69" t="s">
        <v>661</v>
      </c>
      <c r="CP234" s="69">
        <v>40</v>
      </c>
      <c r="CQ234" s="69" t="s">
        <v>495</v>
      </c>
      <c r="CR234" s="69">
        <v>2</v>
      </c>
      <c r="CS234" s="69" t="s">
        <v>661</v>
      </c>
      <c r="CT234" s="69">
        <v>50</v>
      </c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</row>
    <row r="235" spans="54:108" ht="16.5" x14ac:dyDescent="0.2">
      <c r="BB235" s="69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69">
        <v>231</v>
      </c>
      <c r="CG235" s="69">
        <v>3</v>
      </c>
      <c r="CH235" s="69" t="s">
        <v>451</v>
      </c>
      <c r="CI235" s="69">
        <v>31</v>
      </c>
      <c r="CJ235" s="69"/>
      <c r="CK235" s="69"/>
      <c r="CL235" s="69"/>
      <c r="CM235" s="69" t="s">
        <v>660</v>
      </c>
      <c r="CN235" s="69">
        <v>16200</v>
      </c>
      <c r="CO235" s="69" t="s">
        <v>661</v>
      </c>
      <c r="CP235" s="69">
        <v>45</v>
      </c>
      <c r="CQ235" s="69"/>
      <c r="CR235" s="69"/>
      <c r="CS235" s="69" t="s">
        <v>661</v>
      </c>
      <c r="CT235" s="69">
        <v>50</v>
      </c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</row>
    <row r="236" spans="54:108" ht="16.5" x14ac:dyDescent="0.2">
      <c r="BB236" s="69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69">
        <v>232</v>
      </c>
      <c r="CG236" s="69">
        <v>3</v>
      </c>
      <c r="CH236" s="69" t="s">
        <v>451</v>
      </c>
      <c r="CI236" s="69">
        <v>32</v>
      </c>
      <c r="CJ236" s="69"/>
      <c r="CK236" s="69"/>
      <c r="CL236" s="69"/>
      <c r="CM236" s="69" t="s">
        <v>660</v>
      </c>
      <c r="CN236" s="69">
        <v>16200</v>
      </c>
      <c r="CO236" s="69" t="s">
        <v>661</v>
      </c>
      <c r="CP236" s="69">
        <v>45</v>
      </c>
      <c r="CQ236" s="69"/>
      <c r="CR236" s="69"/>
      <c r="CS236" s="69" t="s">
        <v>661</v>
      </c>
      <c r="CT236" s="69">
        <v>50</v>
      </c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</row>
    <row r="237" spans="54:108" ht="16.5" x14ac:dyDescent="0.2">
      <c r="BB237" s="69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69">
        <v>233</v>
      </c>
      <c r="CG237" s="69">
        <v>3</v>
      </c>
      <c r="CH237" s="69" t="s">
        <v>451</v>
      </c>
      <c r="CI237" s="69">
        <v>33</v>
      </c>
      <c r="CJ237" s="69"/>
      <c r="CK237" s="69"/>
      <c r="CL237" s="69"/>
      <c r="CM237" s="69" t="s">
        <v>660</v>
      </c>
      <c r="CN237" s="69">
        <v>16200</v>
      </c>
      <c r="CO237" s="69" t="s">
        <v>661</v>
      </c>
      <c r="CP237" s="69">
        <v>45</v>
      </c>
      <c r="CQ237" s="69"/>
      <c r="CR237" s="69"/>
      <c r="CS237" s="69" t="s">
        <v>661</v>
      </c>
      <c r="CT237" s="69">
        <v>50</v>
      </c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</row>
    <row r="238" spans="54:108" ht="16.5" x14ac:dyDescent="0.2">
      <c r="BB238" s="69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69">
        <v>234</v>
      </c>
      <c r="CG238" s="69">
        <v>3</v>
      </c>
      <c r="CH238" s="69" t="s">
        <v>451</v>
      </c>
      <c r="CI238" s="69">
        <v>34</v>
      </c>
      <c r="CJ238" s="69"/>
      <c r="CK238" s="69"/>
      <c r="CL238" s="69"/>
      <c r="CM238" s="69" t="s">
        <v>660</v>
      </c>
      <c r="CN238" s="69">
        <v>16200</v>
      </c>
      <c r="CO238" s="69" t="s">
        <v>661</v>
      </c>
      <c r="CP238" s="69">
        <v>45</v>
      </c>
      <c r="CQ238" s="69"/>
      <c r="CR238" s="69"/>
      <c r="CS238" s="69" t="s">
        <v>661</v>
      </c>
      <c r="CT238" s="69">
        <v>50</v>
      </c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</row>
    <row r="239" spans="54:108" ht="16.5" x14ac:dyDescent="0.2">
      <c r="BB239" s="69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69">
        <v>235</v>
      </c>
      <c r="CG239" s="69">
        <v>3</v>
      </c>
      <c r="CH239" s="69" t="s">
        <v>451</v>
      </c>
      <c r="CI239" s="69">
        <v>35</v>
      </c>
      <c r="CJ239" s="69"/>
      <c r="CK239" s="69"/>
      <c r="CL239" s="69"/>
      <c r="CM239" s="69" t="s">
        <v>660</v>
      </c>
      <c r="CN239" s="69">
        <v>16200</v>
      </c>
      <c r="CO239" s="69" t="s">
        <v>661</v>
      </c>
      <c r="CP239" s="69">
        <v>45</v>
      </c>
      <c r="CQ239" s="69" t="s">
        <v>490</v>
      </c>
      <c r="CR239" s="69">
        <v>2</v>
      </c>
      <c r="CS239" s="69" t="s">
        <v>661</v>
      </c>
      <c r="CT239" s="69">
        <v>55</v>
      </c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</row>
    <row r="240" spans="54:108" ht="16.5" x14ac:dyDescent="0.2">
      <c r="BB240" s="69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69">
        <v>236</v>
      </c>
      <c r="CG240" s="69">
        <v>3</v>
      </c>
      <c r="CH240" s="69" t="s">
        <v>451</v>
      </c>
      <c r="CI240" s="69">
        <v>36</v>
      </c>
      <c r="CJ240" s="69"/>
      <c r="CK240" s="69"/>
      <c r="CL240" s="69"/>
      <c r="CM240" s="69" t="s">
        <v>660</v>
      </c>
      <c r="CN240" s="69">
        <v>16200</v>
      </c>
      <c r="CO240" s="69" t="s">
        <v>661</v>
      </c>
      <c r="CP240" s="69">
        <v>50</v>
      </c>
      <c r="CQ240" s="69"/>
      <c r="CR240" s="69"/>
      <c r="CS240" s="69" t="s">
        <v>661</v>
      </c>
      <c r="CT240" s="69">
        <v>55</v>
      </c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</row>
    <row r="241" spans="54:108" ht="16.5" x14ac:dyDescent="0.2">
      <c r="BB241" s="69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69">
        <v>237</v>
      </c>
      <c r="CG241" s="69">
        <v>3</v>
      </c>
      <c r="CH241" s="69" t="s">
        <v>451</v>
      </c>
      <c r="CI241" s="69">
        <v>37</v>
      </c>
      <c r="CJ241" s="69"/>
      <c r="CK241" s="69"/>
      <c r="CL241" s="69"/>
      <c r="CM241" s="69" t="s">
        <v>660</v>
      </c>
      <c r="CN241" s="69">
        <v>16200</v>
      </c>
      <c r="CO241" s="69" t="s">
        <v>661</v>
      </c>
      <c r="CP241" s="69">
        <v>50</v>
      </c>
      <c r="CQ241" s="69"/>
      <c r="CR241" s="69"/>
      <c r="CS241" s="69" t="s">
        <v>661</v>
      </c>
      <c r="CT241" s="69">
        <v>55</v>
      </c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</row>
    <row r="242" spans="54:108" ht="16.5" x14ac:dyDescent="0.2">
      <c r="BB242" s="69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69">
        <v>238</v>
      </c>
      <c r="CG242" s="69">
        <v>3</v>
      </c>
      <c r="CH242" s="69" t="s">
        <v>451</v>
      </c>
      <c r="CI242" s="69">
        <v>38</v>
      </c>
      <c r="CJ242" s="69"/>
      <c r="CK242" s="69"/>
      <c r="CL242" s="69"/>
      <c r="CM242" s="69" t="s">
        <v>660</v>
      </c>
      <c r="CN242" s="69">
        <v>16200</v>
      </c>
      <c r="CO242" s="69" t="s">
        <v>661</v>
      </c>
      <c r="CP242" s="69">
        <v>50</v>
      </c>
      <c r="CQ242" s="69"/>
      <c r="CR242" s="69"/>
      <c r="CS242" s="69" t="s">
        <v>661</v>
      </c>
      <c r="CT242" s="69">
        <v>55</v>
      </c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</row>
    <row r="243" spans="54:108" ht="16.5" x14ac:dyDescent="0.2">
      <c r="BB243" s="69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69">
        <v>239</v>
      </c>
      <c r="CG243" s="69">
        <v>3</v>
      </c>
      <c r="CH243" s="69" t="s">
        <v>451</v>
      </c>
      <c r="CI243" s="69">
        <v>39</v>
      </c>
      <c r="CJ243" s="69"/>
      <c r="CK243" s="69"/>
      <c r="CL243" s="69"/>
      <c r="CM243" s="69" t="s">
        <v>660</v>
      </c>
      <c r="CN243" s="69">
        <v>16200</v>
      </c>
      <c r="CO243" s="69" t="s">
        <v>661</v>
      </c>
      <c r="CP243" s="69">
        <v>50</v>
      </c>
      <c r="CQ243" s="69"/>
      <c r="CR243" s="69"/>
      <c r="CS243" s="69" t="s">
        <v>661</v>
      </c>
      <c r="CT243" s="69">
        <v>55</v>
      </c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</row>
    <row r="244" spans="54:108" ht="16.5" x14ac:dyDescent="0.2">
      <c r="BB244" s="69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69">
        <v>240</v>
      </c>
      <c r="CG244" s="69">
        <v>3</v>
      </c>
      <c r="CH244" s="69" t="s">
        <v>451</v>
      </c>
      <c r="CI244" s="69">
        <v>40</v>
      </c>
      <c r="CJ244" s="69"/>
      <c r="CK244" s="69"/>
      <c r="CL244" s="69"/>
      <c r="CM244" s="69" t="s">
        <v>660</v>
      </c>
      <c r="CN244" s="69">
        <v>16200</v>
      </c>
      <c r="CO244" s="69" t="s">
        <v>661</v>
      </c>
      <c r="CP244" s="69">
        <v>50</v>
      </c>
      <c r="CQ244" s="69" t="s">
        <v>491</v>
      </c>
      <c r="CR244" s="69">
        <v>2</v>
      </c>
      <c r="CS244" s="69" t="s">
        <v>661</v>
      </c>
      <c r="CT244" s="69">
        <v>60</v>
      </c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</row>
    <row r="245" spans="54:108" ht="16.5" x14ac:dyDescent="0.2">
      <c r="BB245" s="69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69">
        <v>241</v>
      </c>
      <c r="CG245" s="69">
        <v>3</v>
      </c>
      <c r="CH245" s="69" t="s">
        <v>451</v>
      </c>
      <c r="CI245" s="69">
        <v>41</v>
      </c>
      <c r="CJ245" s="69"/>
      <c r="CK245" s="69"/>
      <c r="CL245" s="69"/>
      <c r="CM245" s="69" t="s">
        <v>660</v>
      </c>
      <c r="CN245" s="69">
        <v>16200</v>
      </c>
      <c r="CO245" s="69" t="s">
        <v>661</v>
      </c>
      <c r="CP245" s="69">
        <v>55</v>
      </c>
      <c r="CQ245" s="69"/>
      <c r="CR245" s="69"/>
      <c r="CS245" s="69" t="s">
        <v>661</v>
      </c>
      <c r="CT245" s="69">
        <v>60</v>
      </c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</row>
    <row r="246" spans="54:108" ht="16.5" x14ac:dyDescent="0.2">
      <c r="BB246" s="69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69">
        <v>242</v>
      </c>
      <c r="CG246" s="69">
        <v>3</v>
      </c>
      <c r="CH246" s="69" t="s">
        <v>451</v>
      </c>
      <c r="CI246" s="69">
        <v>42</v>
      </c>
      <c r="CJ246" s="69"/>
      <c r="CK246" s="69"/>
      <c r="CL246" s="69"/>
      <c r="CM246" s="69" t="s">
        <v>660</v>
      </c>
      <c r="CN246" s="69">
        <v>16200</v>
      </c>
      <c r="CO246" s="69" t="s">
        <v>661</v>
      </c>
      <c r="CP246" s="69">
        <v>55</v>
      </c>
      <c r="CQ246" s="69"/>
      <c r="CR246" s="69"/>
      <c r="CS246" s="69" t="s">
        <v>661</v>
      </c>
      <c r="CT246" s="69">
        <v>60</v>
      </c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</row>
    <row r="247" spans="54:108" ht="16.5" x14ac:dyDescent="0.2">
      <c r="BB247" s="69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69">
        <v>243</v>
      </c>
      <c r="CG247" s="69">
        <v>3</v>
      </c>
      <c r="CH247" s="69" t="s">
        <v>451</v>
      </c>
      <c r="CI247" s="69">
        <v>43</v>
      </c>
      <c r="CJ247" s="69"/>
      <c r="CK247" s="69"/>
      <c r="CL247" s="69"/>
      <c r="CM247" s="69" t="s">
        <v>660</v>
      </c>
      <c r="CN247" s="69">
        <v>16200</v>
      </c>
      <c r="CO247" s="69" t="s">
        <v>661</v>
      </c>
      <c r="CP247" s="69">
        <v>55</v>
      </c>
      <c r="CQ247" s="69"/>
      <c r="CR247" s="69"/>
      <c r="CS247" s="69" t="s">
        <v>661</v>
      </c>
      <c r="CT247" s="69">
        <v>60</v>
      </c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</row>
    <row r="248" spans="54:108" ht="16.5" x14ac:dyDescent="0.2">
      <c r="BB248" s="69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69">
        <v>244</v>
      </c>
      <c r="CG248" s="69">
        <v>3</v>
      </c>
      <c r="CH248" s="69" t="s">
        <v>451</v>
      </c>
      <c r="CI248" s="69">
        <v>44</v>
      </c>
      <c r="CJ248" s="69"/>
      <c r="CK248" s="69"/>
      <c r="CL248" s="69"/>
      <c r="CM248" s="69" t="s">
        <v>660</v>
      </c>
      <c r="CN248" s="69">
        <v>16200</v>
      </c>
      <c r="CO248" s="69" t="s">
        <v>661</v>
      </c>
      <c r="CP248" s="69">
        <v>55</v>
      </c>
      <c r="CQ248" s="69"/>
      <c r="CR248" s="69"/>
      <c r="CS248" s="69" t="s">
        <v>661</v>
      </c>
      <c r="CT248" s="69">
        <v>60</v>
      </c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</row>
    <row r="249" spans="54:108" ht="16.5" x14ac:dyDescent="0.2">
      <c r="BB249" s="69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69">
        <v>245</v>
      </c>
      <c r="CG249" s="69">
        <v>3</v>
      </c>
      <c r="CH249" s="69" t="s">
        <v>451</v>
      </c>
      <c r="CI249" s="69">
        <v>45</v>
      </c>
      <c r="CJ249" s="69"/>
      <c r="CK249" s="69"/>
      <c r="CL249" s="69"/>
      <c r="CM249" s="69" t="s">
        <v>660</v>
      </c>
      <c r="CN249" s="69">
        <v>19800</v>
      </c>
      <c r="CO249" s="69" t="s">
        <v>661</v>
      </c>
      <c r="CP249" s="69">
        <v>55</v>
      </c>
      <c r="CQ249" s="69" t="s">
        <v>494</v>
      </c>
      <c r="CR249" s="69">
        <v>2</v>
      </c>
      <c r="CS249" s="69" t="s">
        <v>661</v>
      </c>
      <c r="CT249" s="69">
        <v>65</v>
      </c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</row>
    <row r="250" spans="54:108" ht="16.5" x14ac:dyDescent="0.2">
      <c r="BB250" s="69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69">
        <v>246</v>
      </c>
      <c r="CG250" s="69">
        <v>3</v>
      </c>
      <c r="CH250" s="69" t="s">
        <v>451</v>
      </c>
      <c r="CI250" s="69">
        <v>46</v>
      </c>
      <c r="CJ250" s="69"/>
      <c r="CK250" s="69"/>
      <c r="CL250" s="69"/>
      <c r="CM250" s="69" t="s">
        <v>660</v>
      </c>
      <c r="CN250" s="69">
        <v>19800</v>
      </c>
      <c r="CO250" s="69" t="s">
        <v>661</v>
      </c>
      <c r="CP250" s="69">
        <v>60</v>
      </c>
      <c r="CQ250" s="69"/>
      <c r="CR250" s="69"/>
      <c r="CS250" s="69" t="s">
        <v>661</v>
      </c>
      <c r="CT250" s="69">
        <v>65</v>
      </c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</row>
    <row r="251" spans="54:108" ht="16.5" x14ac:dyDescent="0.2">
      <c r="BB251" s="69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69">
        <v>247</v>
      </c>
      <c r="CG251" s="69">
        <v>3</v>
      </c>
      <c r="CH251" s="69" t="s">
        <v>451</v>
      </c>
      <c r="CI251" s="69">
        <v>47</v>
      </c>
      <c r="CJ251" s="69"/>
      <c r="CK251" s="69"/>
      <c r="CL251" s="69"/>
      <c r="CM251" s="69" t="s">
        <v>660</v>
      </c>
      <c r="CN251" s="69">
        <v>19800</v>
      </c>
      <c r="CO251" s="69" t="s">
        <v>661</v>
      </c>
      <c r="CP251" s="69">
        <v>60</v>
      </c>
      <c r="CQ251" s="69"/>
      <c r="CR251" s="69"/>
      <c r="CS251" s="69" t="s">
        <v>661</v>
      </c>
      <c r="CT251" s="69">
        <v>65</v>
      </c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</row>
    <row r="252" spans="54:108" ht="16.5" x14ac:dyDescent="0.2">
      <c r="BB252" s="69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69">
        <v>248</v>
      </c>
      <c r="CG252" s="69">
        <v>3</v>
      </c>
      <c r="CH252" s="69" t="s">
        <v>451</v>
      </c>
      <c r="CI252" s="69">
        <v>48</v>
      </c>
      <c r="CJ252" s="69"/>
      <c r="CK252" s="69"/>
      <c r="CL252" s="69"/>
      <c r="CM252" s="69" t="s">
        <v>660</v>
      </c>
      <c r="CN252" s="69">
        <v>19800</v>
      </c>
      <c r="CO252" s="69" t="s">
        <v>661</v>
      </c>
      <c r="CP252" s="69">
        <v>60</v>
      </c>
      <c r="CQ252" s="69"/>
      <c r="CR252" s="69"/>
      <c r="CS252" s="69" t="s">
        <v>661</v>
      </c>
      <c r="CT252" s="69">
        <v>65</v>
      </c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</row>
    <row r="253" spans="54:108" ht="16.5" x14ac:dyDescent="0.2">
      <c r="BB253" s="69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69">
        <v>249</v>
      </c>
      <c r="CG253" s="69">
        <v>3</v>
      </c>
      <c r="CH253" s="69" t="s">
        <v>451</v>
      </c>
      <c r="CI253" s="69">
        <v>49</v>
      </c>
      <c r="CJ253" s="69"/>
      <c r="CK253" s="69"/>
      <c r="CL253" s="69"/>
      <c r="CM253" s="69" t="s">
        <v>660</v>
      </c>
      <c r="CN253" s="69">
        <v>19800</v>
      </c>
      <c r="CO253" s="69" t="s">
        <v>661</v>
      </c>
      <c r="CP253" s="69">
        <v>60</v>
      </c>
      <c r="CQ253" s="69"/>
      <c r="CR253" s="69"/>
      <c r="CS253" s="69" t="s">
        <v>661</v>
      </c>
      <c r="CT253" s="69">
        <v>65</v>
      </c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</row>
    <row r="254" spans="54:108" ht="16.5" x14ac:dyDescent="0.2">
      <c r="BB254" s="69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69">
        <v>250</v>
      </c>
      <c r="CG254" s="69">
        <v>3</v>
      </c>
      <c r="CH254" s="69" t="s">
        <v>451</v>
      </c>
      <c r="CI254" s="69">
        <v>50</v>
      </c>
      <c r="CJ254" s="69"/>
      <c r="CK254" s="69"/>
      <c r="CL254" s="69"/>
      <c r="CM254" s="69" t="s">
        <v>660</v>
      </c>
      <c r="CN254" s="69">
        <v>19800</v>
      </c>
      <c r="CO254" s="69" t="s">
        <v>661</v>
      </c>
      <c r="CP254" s="69">
        <v>60</v>
      </c>
      <c r="CQ254" s="69" t="s">
        <v>495</v>
      </c>
      <c r="CR254" s="69">
        <v>2</v>
      </c>
      <c r="CS254" s="69" t="s">
        <v>661</v>
      </c>
      <c r="CT254" s="69">
        <v>70</v>
      </c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</row>
    <row r="255" spans="54:108" ht="16.5" x14ac:dyDescent="0.2">
      <c r="BB255" s="69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69">
        <v>251</v>
      </c>
      <c r="CG255" s="69">
        <v>3</v>
      </c>
      <c r="CH255" s="69" t="s">
        <v>451</v>
      </c>
      <c r="CI255" s="69">
        <v>51</v>
      </c>
      <c r="CJ255" s="69"/>
      <c r="CK255" s="69"/>
      <c r="CL255" s="69"/>
      <c r="CM255" s="69" t="s">
        <v>660</v>
      </c>
      <c r="CN255" s="69">
        <v>19800</v>
      </c>
      <c r="CO255" s="69" t="s">
        <v>661</v>
      </c>
      <c r="CP255" s="69">
        <v>65</v>
      </c>
      <c r="CQ255" s="69"/>
      <c r="CR255" s="69"/>
      <c r="CS255" s="69" t="s">
        <v>661</v>
      </c>
      <c r="CT255" s="69">
        <v>70</v>
      </c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</row>
    <row r="256" spans="54:108" ht="16.5" x14ac:dyDescent="0.2">
      <c r="BB256" s="69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69">
        <v>252</v>
      </c>
      <c r="CG256" s="69">
        <v>3</v>
      </c>
      <c r="CH256" s="69" t="s">
        <v>451</v>
      </c>
      <c r="CI256" s="69">
        <v>52</v>
      </c>
      <c r="CJ256" s="69"/>
      <c r="CK256" s="69"/>
      <c r="CL256" s="69"/>
      <c r="CM256" s="69" t="s">
        <v>660</v>
      </c>
      <c r="CN256" s="69">
        <v>19800</v>
      </c>
      <c r="CO256" s="69" t="s">
        <v>661</v>
      </c>
      <c r="CP256" s="69">
        <v>65</v>
      </c>
      <c r="CQ256" s="69"/>
      <c r="CR256" s="69"/>
      <c r="CS256" s="69" t="s">
        <v>661</v>
      </c>
      <c r="CT256" s="69">
        <v>70</v>
      </c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</row>
    <row r="257" spans="54:108" ht="16.5" x14ac:dyDescent="0.2">
      <c r="BB257" s="69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69">
        <v>253</v>
      </c>
      <c r="CG257" s="69">
        <v>3</v>
      </c>
      <c r="CH257" s="69" t="s">
        <v>451</v>
      </c>
      <c r="CI257" s="69">
        <v>53</v>
      </c>
      <c r="CJ257" s="69"/>
      <c r="CK257" s="69"/>
      <c r="CL257" s="69"/>
      <c r="CM257" s="69" t="s">
        <v>660</v>
      </c>
      <c r="CN257" s="69">
        <v>19800</v>
      </c>
      <c r="CO257" s="69" t="s">
        <v>661</v>
      </c>
      <c r="CP257" s="69">
        <v>65</v>
      </c>
      <c r="CQ257" s="69"/>
      <c r="CR257" s="69"/>
      <c r="CS257" s="69" t="s">
        <v>661</v>
      </c>
      <c r="CT257" s="69">
        <v>70</v>
      </c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</row>
    <row r="258" spans="54:108" ht="16.5" x14ac:dyDescent="0.2">
      <c r="BB258" s="69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69">
        <v>254</v>
      </c>
      <c r="CG258" s="69">
        <v>3</v>
      </c>
      <c r="CH258" s="69" t="s">
        <v>451</v>
      </c>
      <c r="CI258" s="69">
        <v>54</v>
      </c>
      <c r="CJ258" s="69"/>
      <c r="CK258" s="69"/>
      <c r="CL258" s="69"/>
      <c r="CM258" s="69" t="s">
        <v>660</v>
      </c>
      <c r="CN258" s="69">
        <v>19800</v>
      </c>
      <c r="CO258" s="69" t="s">
        <v>661</v>
      </c>
      <c r="CP258" s="69">
        <v>65</v>
      </c>
      <c r="CQ258" s="69"/>
      <c r="CR258" s="69"/>
      <c r="CS258" s="69" t="s">
        <v>661</v>
      </c>
      <c r="CT258" s="69">
        <v>70</v>
      </c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</row>
    <row r="259" spans="54:108" ht="16.5" x14ac:dyDescent="0.2">
      <c r="BB259" s="69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69">
        <v>255</v>
      </c>
      <c r="CG259" s="69">
        <v>3</v>
      </c>
      <c r="CH259" s="69" t="s">
        <v>451</v>
      </c>
      <c r="CI259" s="69">
        <v>55</v>
      </c>
      <c r="CJ259" s="69"/>
      <c r="CK259" s="69"/>
      <c r="CL259" s="69"/>
      <c r="CM259" s="69" t="s">
        <v>660</v>
      </c>
      <c r="CN259" s="69">
        <v>19800</v>
      </c>
      <c r="CO259" s="69" t="s">
        <v>661</v>
      </c>
      <c r="CP259" s="69">
        <v>65</v>
      </c>
      <c r="CQ259" s="69" t="s">
        <v>490</v>
      </c>
      <c r="CR259" s="69">
        <v>2</v>
      </c>
      <c r="CS259" s="69" t="s">
        <v>661</v>
      </c>
      <c r="CT259" s="69">
        <v>75</v>
      </c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</row>
    <row r="260" spans="54:108" ht="16.5" x14ac:dyDescent="0.2">
      <c r="BB260" s="69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69">
        <v>256</v>
      </c>
      <c r="CG260" s="69">
        <v>3</v>
      </c>
      <c r="CH260" s="69" t="s">
        <v>451</v>
      </c>
      <c r="CI260" s="69">
        <v>56</v>
      </c>
      <c r="CJ260" s="69"/>
      <c r="CK260" s="69"/>
      <c r="CL260" s="69"/>
      <c r="CM260" s="69" t="s">
        <v>660</v>
      </c>
      <c r="CN260" s="69">
        <v>19800</v>
      </c>
      <c r="CO260" s="69" t="s">
        <v>661</v>
      </c>
      <c r="CP260" s="69">
        <v>70</v>
      </c>
      <c r="CQ260" s="69"/>
      <c r="CR260" s="69"/>
      <c r="CS260" s="69" t="s">
        <v>661</v>
      </c>
      <c r="CT260" s="69">
        <v>75</v>
      </c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</row>
    <row r="261" spans="54:108" ht="16.5" x14ac:dyDescent="0.2">
      <c r="BB261" s="69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69">
        <v>257</v>
      </c>
      <c r="CG261" s="69">
        <v>3</v>
      </c>
      <c r="CH261" s="69" t="s">
        <v>451</v>
      </c>
      <c r="CI261" s="69">
        <v>57</v>
      </c>
      <c r="CJ261" s="69"/>
      <c r="CK261" s="69"/>
      <c r="CL261" s="69"/>
      <c r="CM261" s="69" t="s">
        <v>660</v>
      </c>
      <c r="CN261" s="69">
        <v>19800</v>
      </c>
      <c r="CO261" s="69" t="s">
        <v>661</v>
      </c>
      <c r="CP261" s="69">
        <v>70</v>
      </c>
      <c r="CQ261" s="69"/>
      <c r="CR261" s="69"/>
      <c r="CS261" s="69" t="s">
        <v>661</v>
      </c>
      <c r="CT261" s="69">
        <v>75</v>
      </c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</row>
    <row r="262" spans="54:108" ht="16.5" x14ac:dyDescent="0.2">
      <c r="BB262" s="69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69">
        <v>258</v>
      </c>
      <c r="CG262" s="69">
        <v>3</v>
      </c>
      <c r="CH262" s="69" t="s">
        <v>451</v>
      </c>
      <c r="CI262" s="69">
        <v>58</v>
      </c>
      <c r="CJ262" s="69"/>
      <c r="CK262" s="69"/>
      <c r="CL262" s="69"/>
      <c r="CM262" s="69" t="s">
        <v>660</v>
      </c>
      <c r="CN262" s="69">
        <v>19800</v>
      </c>
      <c r="CO262" s="69" t="s">
        <v>661</v>
      </c>
      <c r="CP262" s="69">
        <v>70</v>
      </c>
      <c r="CQ262" s="69"/>
      <c r="CR262" s="69"/>
      <c r="CS262" s="69" t="s">
        <v>661</v>
      </c>
      <c r="CT262" s="69">
        <v>75</v>
      </c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</row>
    <row r="263" spans="54:108" ht="16.5" x14ac:dyDescent="0.2">
      <c r="BB263" s="69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69">
        <v>259</v>
      </c>
      <c r="CG263" s="69">
        <v>3</v>
      </c>
      <c r="CH263" s="69" t="s">
        <v>451</v>
      </c>
      <c r="CI263" s="69">
        <v>59</v>
      </c>
      <c r="CJ263" s="69"/>
      <c r="CK263" s="69"/>
      <c r="CL263" s="69"/>
      <c r="CM263" s="69" t="s">
        <v>660</v>
      </c>
      <c r="CN263" s="69">
        <v>19800</v>
      </c>
      <c r="CO263" s="69" t="s">
        <v>661</v>
      </c>
      <c r="CP263" s="69">
        <v>70</v>
      </c>
      <c r="CQ263" s="69"/>
      <c r="CR263" s="69"/>
      <c r="CS263" s="69" t="s">
        <v>661</v>
      </c>
      <c r="CT263" s="69">
        <v>75</v>
      </c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</row>
    <row r="264" spans="54:108" ht="16.5" x14ac:dyDescent="0.2">
      <c r="BB264" s="69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69">
        <v>260</v>
      </c>
      <c r="CG264" s="69">
        <v>3</v>
      </c>
      <c r="CH264" s="69" t="s">
        <v>451</v>
      </c>
      <c r="CI264" s="69">
        <v>60</v>
      </c>
      <c r="CJ264" s="69"/>
      <c r="CK264" s="69"/>
      <c r="CL264" s="69"/>
      <c r="CM264" s="69" t="s">
        <v>660</v>
      </c>
      <c r="CN264" s="69">
        <v>23400</v>
      </c>
      <c r="CO264" s="69" t="s">
        <v>661</v>
      </c>
      <c r="CP264" s="69">
        <v>70</v>
      </c>
      <c r="CQ264" s="69" t="s">
        <v>491</v>
      </c>
      <c r="CR264" s="69">
        <v>2</v>
      </c>
      <c r="CS264" s="69" t="s">
        <v>661</v>
      </c>
      <c r="CT264" s="69">
        <v>80</v>
      </c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</row>
    <row r="265" spans="54:108" ht="16.5" x14ac:dyDescent="0.2">
      <c r="BB265" s="69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69">
        <v>261</v>
      </c>
      <c r="CG265" s="69">
        <v>3</v>
      </c>
      <c r="CH265" s="69" t="s">
        <v>451</v>
      </c>
      <c r="CI265" s="69">
        <v>61</v>
      </c>
      <c r="CJ265" s="69"/>
      <c r="CK265" s="69"/>
      <c r="CL265" s="69"/>
      <c r="CM265" s="69" t="s">
        <v>660</v>
      </c>
      <c r="CN265" s="69">
        <v>23400</v>
      </c>
      <c r="CO265" s="69" t="s">
        <v>661</v>
      </c>
      <c r="CP265" s="69">
        <v>75</v>
      </c>
      <c r="CQ265" s="69"/>
      <c r="CR265" s="69"/>
      <c r="CS265" s="69" t="s">
        <v>661</v>
      </c>
      <c r="CT265" s="69">
        <v>80</v>
      </c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</row>
    <row r="266" spans="54:108" ht="16.5" x14ac:dyDescent="0.2">
      <c r="BB266" s="69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69">
        <v>262</v>
      </c>
      <c r="CG266" s="69">
        <v>3</v>
      </c>
      <c r="CH266" s="69" t="s">
        <v>451</v>
      </c>
      <c r="CI266" s="69">
        <v>62</v>
      </c>
      <c r="CJ266" s="69"/>
      <c r="CK266" s="69"/>
      <c r="CL266" s="69"/>
      <c r="CM266" s="69" t="s">
        <v>660</v>
      </c>
      <c r="CN266" s="69">
        <v>23400</v>
      </c>
      <c r="CO266" s="69" t="s">
        <v>661</v>
      </c>
      <c r="CP266" s="69">
        <v>75</v>
      </c>
      <c r="CQ266" s="69"/>
      <c r="CR266" s="69"/>
      <c r="CS266" s="69" t="s">
        <v>661</v>
      </c>
      <c r="CT266" s="69">
        <v>80</v>
      </c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</row>
    <row r="267" spans="54:108" ht="16.5" x14ac:dyDescent="0.2">
      <c r="BB267" s="69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69">
        <v>263</v>
      </c>
      <c r="CG267" s="69">
        <v>3</v>
      </c>
      <c r="CH267" s="69" t="s">
        <v>451</v>
      </c>
      <c r="CI267" s="69">
        <v>63</v>
      </c>
      <c r="CJ267" s="69"/>
      <c r="CK267" s="69"/>
      <c r="CL267" s="69"/>
      <c r="CM267" s="69" t="s">
        <v>660</v>
      </c>
      <c r="CN267" s="69">
        <v>23400</v>
      </c>
      <c r="CO267" s="69" t="s">
        <v>661</v>
      </c>
      <c r="CP267" s="69">
        <v>75</v>
      </c>
      <c r="CQ267" s="69"/>
      <c r="CR267" s="69"/>
      <c r="CS267" s="69" t="s">
        <v>661</v>
      </c>
      <c r="CT267" s="69">
        <v>80</v>
      </c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</row>
    <row r="268" spans="54:108" ht="16.5" x14ac:dyDescent="0.2">
      <c r="BB268" s="69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69">
        <v>264</v>
      </c>
      <c r="CG268" s="69">
        <v>3</v>
      </c>
      <c r="CH268" s="69" t="s">
        <v>451</v>
      </c>
      <c r="CI268" s="69">
        <v>64</v>
      </c>
      <c r="CJ268" s="69"/>
      <c r="CK268" s="69"/>
      <c r="CL268" s="69"/>
      <c r="CM268" s="69" t="s">
        <v>660</v>
      </c>
      <c r="CN268" s="69">
        <v>23400</v>
      </c>
      <c r="CO268" s="69" t="s">
        <v>661</v>
      </c>
      <c r="CP268" s="69">
        <v>75</v>
      </c>
      <c r="CQ268" s="69"/>
      <c r="CR268" s="69"/>
      <c r="CS268" s="69" t="s">
        <v>661</v>
      </c>
      <c r="CT268" s="69">
        <v>80</v>
      </c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</row>
    <row r="269" spans="54:108" ht="16.5" x14ac:dyDescent="0.2">
      <c r="BB269" s="69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69">
        <v>265</v>
      </c>
      <c r="CG269" s="69">
        <v>3</v>
      </c>
      <c r="CH269" s="69" t="s">
        <v>451</v>
      </c>
      <c r="CI269" s="69">
        <v>65</v>
      </c>
      <c r="CJ269" s="69"/>
      <c r="CK269" s="69"/>
      <c r="CL269" s="69"/>
      <c r="CM269" s="69" t="s">
        <v>660</v>
      </c>
      <c r="CN269" s="69">
        <v>23400</v>
      </c>
      <c r="CO269" s="69" t="s">
        <v>661</v>
      </c>
      <c r="CP269" s="69">
        <v>75</v>
      </c>
      <c r="CQ269" s="69" t="s">
        <v>494</v>
      </c>
      <c r="CR269" s="69">
        <v>2</v>
      </c>
      <c r="CS269" s="69" t="s">
        <v>661</v>
      </c>
      <c r="CT269" s="69">
        <v>85</v>
      </c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</row>
    <row r="270" spans="54:108" ht="16.5" x14ac:dyDescent="0.2">
      <c r="BB270" s="69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69">
        <v>266</v>
      </c>
      <c r="CG270" s="69">
        <v>3</v>
      </c>
      <c r="CH270" s="69" t="s">
        <v>451</v>
      </c>
      <c r="CI270" s="69">
        <v>66</v>
      </c>
      <c r="CJ270" s="69"/>
      <c r="CK270" s="69"/>
      <c r="CL270" s="69"/>
      <c r="CM270" s="69" t="s">
        <v>660</v>
      </c>
      <c r="CN270" s="69">
        <v>23400</v>
      </c>
      <c r="CO270" s="69" t="s">
        <v>661</v>
      </c>
      <c r="CP270" s="69">
        <v>80</v>
      </c>
      <c r="CQ270" s="69"/>
      <c r="CR270" s="69"/>
      <c r="CS270" s="69" t="s">
        <v>661</v>
      </c>
      <c r="CT270" s="69">
        <v>85</v>
      </c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</row>
    <row r="271" spans="54:108" ht="16.5" x14ac:dyDescent="0.2">
      <c r="BB271" s="69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69">
        <v>267</v>
      </c>
      <c r="CG271" s="69">
        <v>3</v>
      </c>
      <c r="CH271" s="69" t="s">
        <v>451</v>
      </c>
      <c r="CI271" s="69">
        <v>67</v>
      </c>
      <c r="CJ271" s="69"/>
      <c r="CK271" s="69"/>
      <c r="CL271" s="69"/>
      <c r="CM271" s="69" t="s">
        <v>660</v>
      </c>
      <c r="CN271" s="69">
        <v>23400</v>
      </c>
      <c r="CO271" s="69" t="s">
        <v>661</v>
      </c>
      <c r="CP271" s="69">
        <v>80</v>
      </c>
      <c r="CQ271" s="69"/>
      <c r="CR271" s="69"/>
      <c r="CS271" s="69" t="s">
        <v>661</v>
      </c>
      <c r="CT271" s="69">
        <v>85</v>
      </c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</row>
    <row r="272" spans="54:108" ht="16.5" x14ac:dyDescent="0.2">
      <c r="BB272" s="69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69">
        <v>268</v>
      </c>
      <c r="CG272" s="69">
        <v>3</v>
      </c>
      <c r="CH272" s="69" t="s">
        <v>451</v>
      </c>
      <c r="CI272" s="69">
        <v>68</v>
      </c>
      <c r="CJ272" s="69"/>
      <c r="CK272" s="69"/>
      <c r="CL272" s="69"/>
      <c r="CM272" s="69" t="s">
        <v>660</v>
      </c>
      <c r="CN272" s="69">
        <v>23400</v>
      </c>
      <c r="CO272" s="69" t="s">
        <v>661</v>
      </c>
      <c r="CP272" s="69">
        <v>80</v>
      </c>
      <c r="CQ272" s="69"/>
      <c r="CR272" s="69"/>
      <c r="CS272" s="69" t="s">
        <v>661</v>
      </c>
      <c r="CT272" s="69">
        <v>85</v>
      </c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</row>
    <row r="273" spans="54:108" ht="16.5" x14ac:dyDescent="0.2">
      <c r="BB273" s="69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69">
        <v>269</v>
      </c>
      <c r="CG273" s="69">
        <v>3</v>
      </c>
      <c r="CH273" s="69" t="s">
        <v>451</v>
      </c>
      <c r="CI273" s="69">
        <v>69</v>
      </c>
      <c r="CJ273" s="69"/>
      <c r="CK273" s="69"/>
      <c r="CL273" s="69"/>
      <c r="CM273" s="69" t="s">
        <v>660</v>
      </c>
      <c r="CN273" s="69">
        <v>23400</v>
      </c>
      <c r="CO273" s="69" t="s">
        <v>661</v>
      </c>
      <c r="CP273" s="69">
        <v>80</v>
      </c>
      <c r="CQ273" s="69"/>
      <c r="CR273" s="69"/>
      <c r="CS273" s="69" t="s">
        <v>661</v>
      </c>
      <c r="CT273" s="69">
        <v>85</v>
      </c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</row>
    <row r="274" spans="54:108" ht="16.5" x14ac:dyDescent="0.2">
      <c r="BB274" s="69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69">
        <v>270</v>
      </c>
      <c r="CG274" s="69">
        <v>3</v>
      </c>
      <c r="CH274" s="69" t="s">
        <v>451</v>
      </c>
      <c r="CI274" s="69">
        <v>70</v>
      </c>
      <c r="CJ274" s="69"/>
      <c r="CK274" s="69"/>
      <c r="CL274" s="69"/>
      <c r="CM274" s="69" t="s">
        <v>660</v>
      </c>
      <c r="CN274" s="69">
        <v>23400</v>
      </c>
      <c r="CO274" s="69" t="s">
        <v>661</v>
      </c>
      <c r="CP274" s="69">
        <v>80</v>
      </c>
      <c r="CQ274" s="69" t="s">
        <v>495</v>
      </c>
      <c r="CR274" s="69">
        <v>2</v>
      </c>
      <c r="CS274" s="69" t="s">
        <v>661</v>
      </c>
      <c r="CT274" s="69">
        <v>90</v>
      </c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</row>
    <row r="275" spans="54:108" ht="16.5" x14ac:dyDescent="0.2">
      <c r="BB275" s="69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69">
        <v>271</v>
      </c>
      <c r="CG275" s="69">
        <v>3</v>
      </c>
      <c r="CH275" s="69" t="s">
        <v>451</v>
      </c>
      <c r="CI275" s="69">
        <v>71</v>
      </c>
      <c r="CJ275" s="69"/>
      <c r="CK275" s="69"/>
      <c r="CL275" s="69"/>
      <c r="CM275" s="69" t="s">
        <v>660</v>
      </c>
      <c r="CN275" s="69">
        <v>23400</v>
      </c>
      <c r="CO275" s="69" t="s">
        <v>661</v>
      </c>
      <c r="CP275" s="69">
        <v>85</v>
      </c>
      <c r="CQ275" s="69"/>
      <c r="CR275" s="69"/>
      <c r="CS275" s="69" t="s">
        <v>661</v>
      </c>
      <c r="CT275" s="69">
        <v>90</v>
      </c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</row>
    <row r="276" spans="54:108" ht="16.5" x14ac:dyDescent="0.2">
      <c r="BB276" s="69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69">
        <v>272</v>
      </c>
      <c r="CG276" s="69">
        <v>3</v>
      </c>
      <c r="CH276" s="69" t="s">
        <v>451</v>
      </c>
      <c r="CI276" s="69">
        <v>72</v>
      </c>
      <c r="CJ276" s="69"/>
      <c r="CK276" s="69"/>
      <c r="CL276" s="69"/>
      <c r="CM276" s="69" t="s">
        <v>660</v>
      </c>
      <c r="CN276" s="69">
        <v>23400</v>
      </c>
      <c r="CO276" s="69" t="s">
        <v>661</v>
      </c>
      <c r="CP276" s="69">
        <v>85</v>
      </c>
      <c r="CQ276" s="69"/>
      <c r="CR276" s="69"/>
      <c r="CS276" s="69" t="s">
        <v>661</v>
      </c>
      <c r="CT276" s="69">
        <v>90</v>
      </c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</row>
    <row r="277" spans="54:108" ht="16.5" x14ac:dyDescent="0.2">
      <c r="BB277" s="69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69">
        <v>273</v>
      </c>
      <c r="CG277" s="69">
        <v>3</v>
      </c>
      <c r="CH277" s="69" t="s">
        <v>451</v>
      </c>
      <c r="CI277" s="69">
        <v>73</v>
      </c>
      <c r="CJ277" s="69"/>
      <c r="CK277" s="69"/>
      <c r="CL277" s="69"/>
      <c r="CM277" s="69" t="s">
        <v>660</v>
      </c>
      <c r="CN277" s="69">
        <v>23400</v>
      </c>
      <c r="CO277" s="69" t="s">
        <v>661</v>
      </c>
      <c r="CP277" s="69">
        <v>85</v>
      </c>
      <c r="CQ277" s="69"/>
      <c r="CR277" s="69"/>
      <c r="CS277" s="69" t="s">
        <v>661</v>
      </c>
      <c r="CT277" s="69">
        <v>90</v>
      </c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</row>
    <row r="278" spans="54:108" ht="16.5" x14ac:dyDescent="0.2">
      <c r="BB278" s="69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69">
        <v>274</v>
      </c>
      <c r="CG278" s="69">
        <v>3</v>
      </c>
      <c r="CH278" s="69" t="s">
        <v>451</v>
      </c>
      <c r="CI278" s="69">
        <v>74</v>
      </c>
      <c r="CJ278" s="69"/>
      <c r="CK278" s="69"/>
      <c r="CL278" s="69"/>
      <c r="CM278" s="69" t="s">
        <v>660</v>
      </c>
      <c r="CN278" s="69">
        <v>23400</v>
      </c>
      <c r="CO278" s="69" t="s">
        <v>661</v>
      </c>
      <c r="CP278" s="69">
        <v>85</v>
      </c>
      <c r="CQ278" s="69"/>
      <c r="CR278" s="69"/>
      <c r="CS278" s="69" t="s">
        <v>661</v>
      </c>
      <c r="CT278" s="69">
        <v>90</v>
      </c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</row>
    <row r="279" spans="54:108" ht="16.5" x14ac:dyDescent="0.2">
      <c r="BB279" s="69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69">
        <v>275</v>
      </c>
      <c r="CG279" s="69">
        <v>3</v>
      </c>
      <c r="CH279" s="69" t="s">
        <v>451</v>
      </c>
      <c r="CI279" s="69">
        <v>75</v>
      </c>
      <c r="CJ279" s="69"/>
      <c r="CK279" s="69"/>
      <c r="CL279" s="69"/>
      <c r="CM279" s="69" t="s">
        <v>660</v>
      </c>
      <c r="CN279" s="69">
        <v>23400</v>
      </c>
      <c r="CO279" s="69" t="s">
        <v>661</v>
      </c>
      <c r="CP279" s="69">
        <v>85</v>
      </c>
      <c r="CQ279" s="69" t="s">
        <v>490</v>
      </c>
      <c r="CR279" s="69">
        <v>2</v>
      </c>
      <c r="CS279" s="69" t="s">
        <v>661</v>
      </c>
      <c r="CT279" s="69">
        <v>95</v>
      </c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</row>
    <row r="280" spans="54:108" ht="16.5" x14ac:dyDescent="0.2">
      <c r="BB280" s="69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69">
        <v>276</v>
      </c>
      <c r="CG280" s="69">
        <v>3</v>
      </c>
      <c r="CH280" s="69" t="s">
        <v>451</v>
      </c>
      <c r="CI280" s="69">
        <v>76</v>
      </c>
      <c r="CJ280" s="69"/>
      <c r="CK280" s="69"/>
      <c r="CL280" s="69"/>
      <c r="CM280" s="69" t="s">
        <v>660</v>
      </c>
      <c r="CN280" s="69">
        <v>23400</v>
      </c>
      <c r="CO280" s="69" t="s">
        <v>661</v>
      </c>
      <c r="CP280" s="69">
        <v>90</v>
      </c>
      <c r="CQ280" s="69"/>
      <c r="CR280" s="69"/>
      <c r="CS280" s="69" t="s">
        <v>661</v>
      </c>
      <c r="CT280" s="69">
        <v>95</v>
      </c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</row>
    <row r="281" spans="54:108" ht="16.5" x14ac:dyDescent="0.2">
      <c r="BB281" s="69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69">
        <v>277</v>
      </c>
      <c r="CG281" s="69">
        <v>3</v>
      </c>
      <c r="CH281" s="69" t="s">
        <v>451</v>
      </c>
      <c r="CI281" s="69">
        <v>77</v>
      </c>
      <c r="CJ281" s="69"/>
      <c r="CK281" s="69"/>
      <c r="CL281" s="69"/>
      <c r="CM281" s="69" t="s">
        <v>660</v>
      </c>
      <c r="CN281" s="69">
        <v>23400</v>
      </c>
      <c r="CO281" s="69" t="s">
        <v>661</v>
      </c>
      <c r="CP281" s="69">
        <v>90</v>
      </c>
      <c r="CQ281" s="69"/>
      <c r="CR281" s="69"/>
      <c r="CS281" s="69" t="s">
        <v>661</v>
      </c>
      <c r="CT281" s="69">
        <v>95</v>
      </c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</row>
    <row r="282" spans="54:108" ht="16.5" x14ac:dyDescent="0.2">
      <c r="BB282" s="69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69">
        <v>278</v>
      </c>
      <c r="CG282" s="69">
        <v>3</v>
      </c>
      <c r="CH282" s="69" t="s">
        <v>451</v>
      </c>
      <c r="CI282" s="69">
        <v>78</v>
      </c>
      <c r="CJ282" s="69"/>
      <c r="CK282" s="69"/>
      <c r="CL282" s="69"/>
      <c r="CM282" s="69" t="s">
        <v>660</v>
      </c>
      <c r="CN282" s="69">
        <v>23400</v>
      </c>
      <c r="CO282" s="69" t="s">
        <v>661</v>
      </c>
      <c r="CP282" s="69">
        <v>90</v>
      </c>
      <c r="CQ282" s="69"/>
      <c r="CR282" s="69"/>
      <c r="CS282" s="69" t="s">
        <v>661</v>
      </c>
      <c r="CT282" s="69">
        <v>95</v>
      </c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</row>
    <row r="283" spans="54:108" ht="16.5" x14ac:dyDescent="0.2">
      <c r="BB283" s="69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69">
        <v>279</v>
      </c>
      <c r="CG283" s="69">
        <v>3</v>
      </c>
      <c r="CH283" s="69" t="s">
        <v>451</v>
      </c>
      <c r="CI283" s="69">
        <v>79</v>
      </c>
      <c r="CJ283" s="69"/>
      <c r="CK283" s="69"/>
      <c r="CL283" s="69"/>
      <c r="CM283" s="69" t="s">
        <v>660</v>
      </c>
      <c r="CN283" s="69">
        <v>23400</v>
      </c>
      <c r="CO283" s="69" t="s">
        <v>661</v>
      </c>
      <c r="CP283" s="69">
        <v>90</v>
      </c>
      <c r="CQ283" s="69"/>
      <c r="CR283" s="69"/>
      <c r="CS283" s="69" t="s">
        <v>661</v>
      </c>
      <c r="CT283" s="69">
        <v>95</v>
      </c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</row>
    <row r="284" spans="54:108" ht="16.5" x14ac:dyDescent="0.2">
      <c r="BB284" s="69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69">
        <v>280</v>
      </c>
      <c r="CG284" s="69">
        <v>3</v>
      </c>
      <c r="CH284" s="69" t="s">
        <v>451</v>
      </c>
      <c r="CI284" s="69">
        <v>80</v>
      </c>
      <c r="CJ284" s="69"/>
      <c r="CK284" s="69"/>
      <c r="CL284" s="69"/>
      <c r="CM284" s="69" t="s">
        <v>660</v>
      </c>
      <c r="CN284" s="69">
        <v>27000</v>
      </c>
      <c r="CO284" s="69" t="s">
        <v>661</v>
      </c>
      <c r="CP284" s="69">
        <v>90</v>
      </c>
      <c r="CQ284" s="69" t="s">
        <v>491</v>
      </c>
      <c r="CR284" s="69">
        <v>2</v>
      </c>
      <c r="CS284" s="69" t="s">
        <v>661</v>
      </c>
      <c r="CT284" s="69">
        <v>100</v>
      </c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</row>
    <row r="285" spans="54:108" ht="16.5" x14ac:dyDescent="0.2">
      <c r="BB285" s="69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69">
        <v>281</v>
      </c>
      <c r="CG285" s="69">
        <v>3</v>
      </c>
      <c r="CH285" s="69" t="s">
        <v>451</v>
      </c>
      <c r="CI285" s="69">
        <v>81</v>
      </c>
      <c r="CJ285" s="69"/>
      <c r="CK285" s="69"/>
      <c r="CL285" s="69"/>
      <c r="CM285" s="69" t="s">
        <v>660</v>
      </c>
      <c r="CN285" s="69">
        <v>27000</v>
      </c>
      <c r="CO285" s="69" t="s">
        <v>661</v>
      </c>
      <c r="CP285" s="69">
        <v>95</v>
      </c>
      <c r="CQ285" s="69"/>
      <c r="CR285" s="69"/>
      <c r="CS285" s="69" t="s">
        <v>661</v>
      </c>
      <c r="CT285" s="69">
        <v>100</v>
      </c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</row>
    <row r="286" spans="54:108" ht="16.5" x14ac:dyDescent="0.2">
      <c r="BB286" s="69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69">
        <v>282</v>
      </c>
      <c r="CG286" s="69">
        <v>3</v>
      </c>
      <c r="CH286" s="69" t="s">
        <v>451</v>
      </c>
      <c r="CI286" s="69">
        <v>82</v>
      </c>
      <c r="CJ286" s="69"/>
      <c r="CK286" s="69"/>
      <c r="CL286" s="69"/>
      <c r="CM286" s="69" t="s">
        <v>660</v>
      </c>
      <c r="CN286" s="69">
        <v>27000</v>
      </c>
      <c r="CO286" s="69" t="s">
        <v>661</v>
      </c>
      <c r="CP286" s="69">
        <v>95</v>
      </c>
      <c r="CQ286" s="69"/>
      <c r="CR286" s="69"/>
      <c r="CS286" s="69" t="s">
        <v>661</v>
      </c>
      <c r="CT286" s="69">
        <v>100</v>
      </c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</row>
    <row r="287" spans="54:108" ht="16.5" x14ac:dyDescent="0.2">
      <c r="BB287" s="69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69">
        <v>283</v>
      </c>
      <c r="CG287" s="69">
        <v>3</v>
      </c>
      <c r="CH287" s="69" t="s">
        <v>451</v>
      </c>
      <c r="CI287" s="69">
        <v>83</v>
      </c>
      <c r="CJ287" s="69"/>
      <c r="CK287" s="69"/>
      <c r="CL287" s="69"/>
      <c r="CM287" s="69" t="s">
        <v>660</v>
      </c>
      <c r="CN287" s="69">
        <v>27000</v>
      </c>
      <c r="CO287" s="69" t="s">
        <v>661</v>
      </c>
      <c r="CP287" s="69">
        <v>95</v>
      </c>
      <c r="CQ287" s="69"/>
      <c r="CR287" s="69"/>
      <c r="CS287" s="69" t="s">
        <v>661</v>
      </c>
      <c r="CT287" s="69">
        <v>100</v>
      </c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</row>
    <row r="288" spans="54:108" ht="16.5" x14ac:dyDescent="0.2">
      <c r="BB288" s="69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69">
        <v>284</v>
      </c>
      <c r="CG288" s="69">
        <v>3</v>
      </c>
      <c r="CH288" s="69" t="s">
        <v>451</v>
      </c>
      <c r="CI288" s="69">
        <v>84</v>
      </c>
      <c r="CJ288" s="69"/>
      <c r="CK288" s="69"/>
      <c r="CL288" s="69"/>
      <c r="CM288" s="69" t="s">
        <v>660</v>
      </c>
      <c r="CN288" s="69">
        <v>27000</v>
      </c>
      <c r="CO288" s="69" t="s">
        <v>661</v>
      </c>
      <c r="CP288" s="69">
        <v>95</v>
      </c>
      <c r="CQ288" s="69"/>
      <c r="CR288" s="69"/>
      <c r="CS288" s="69" t="s">
        <v>661</v>
      </c>
      <c r="CT288" s="69">
        <v>100</v>
      </c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</row>
    <row r="289" spans="54:108" ht="16.5" x14ac:dyDescent="0.2">
      <c r="BB289" s="69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69">
        <v>285</v>
      </c>
      <c r="CG289" s="69">
        <v>3</v>
      </c>
      <c r="CH289" s="69" t="s">
        <v>451</v>
      </c>
      <c r="CI289" s="69">
        <v>85</v>
      </c>
      <c r="CJ289" s="69"/>
      <c r="CK289" s="69"/>
      <c r="CL289" s="69"/>
      <c r="CM289" s="69" t="s">
        <v>660</v>
      </c>
      <c r="CN289" s="69">
        <v>27000</v>
      </c>
      <c r="CO289" s="69" t="s">
        <v>661</v>
      </c>
      <c r="CP289" s="69">
        <v>95</v>
      </c>
      <c r="CQ289" s="69" t="s">
        <v>494</v>
      </c>
      <c r="CR289" s="69">
        <v>2</v>
      </c>
      <c r="CS289" s="69" t="s">
        <v>661</v>
      </c>
      <c r="CT289" s="69">
        <v>105</v>
      </c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</row>
    <row r="290" spans="54:108" ht="16.5" x14ac:dyDescent="0.2">
      <c r="BB290" s="69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69">
        <v>286</v>
      </c>
      <c r="CG290" s="69">
        <v>3</v>
      </c>
      <c r="CH290" s="69" t="s">
        <v>451</v>
      </c>
      <c r="CI290" s="69">
        <v>86</v>
      </c>
      <c r="CJ290" s="69"/>
      <c r="CK290" s="69"/>
      <c r="CL290" s="69"/>
      <c r="CM290" s="69" t="s">
        <v>660</v>
      </c>
      <c r="CN290" s="69">
        <v>27000</v>
      </c>
      <c r="CO290" s="69" t="s">
        <v>661</v>
      </c>
      <c r="CP290" s="69">
        <v>100</v>
      </c>
      <c r="CQ290" s="69"/>
      <c r="CR290" s="69"/>
      <c r="CS290" s="69" t="s">
        <v>661</v>
      </c>
      <c r="CT290" s="69">
        <v>105</v>
      </c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</row>
    <row r="291" spans="54:108" ht="16.5" x14ac:dyDescent="0.2">
      <c r="BB291" s="69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69">
        <v>287</v>
      </c>
      <c r="CG291" s="69">
        <v>3</v>
      </c>
      <c r="CH291" s="69" t="s">
        <v>451</v>
      </c>
      <c r="CI291" s="69">
        <v>87</v>
      </c>
      <c r="CJ291" s="69"/>
      <c r="CK291" s="69"/>
      <c r="CL291" s="69"/>
      <c r="CM291" s="69" t="s">
        <v>660</v>
      </c>
      <c r="CN291" s="69">
        <v>27000</v>
      </c>
      <c r="CO291" s="69" t="s">
        <v>661</v>
      </c>
      <c r="CP291" s="69">
        <v>100</v>
      </c>
      <c r="CQ291" s="69"/>
      <c r="CR291" s="69"/>
      <c r="CS291" s="69" t="s">
        <v>661</v>
      </c>
      <c r="CT291" s="69">
        <v>105</v>
      </c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</row>
    <row r="292" spans="54:108" ht="16.5" x14ac:dyDescent="0.2">
      <c r="BB292" s="69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69">
        <v>288</v>
      </c>
      <c r="CG292" s="69">
        <v>3</v>
      </c>
      <c r="CH292" s="69" t="s">
        <v>451</v>
      </c>
      <c r="CI292" s="69">
        <v>88</v>
      </c>
      <c r="CJ292" s="69"/>
      <c r="CK292" s="69"/>
      <c r="CL292" s="69"/>
      <c r="CM292" s="69" t="s">
        <v>660</v>
      </c>
      <c r="CN292" s="69">
        <v>27000</v>
      </c>
      <c r="CO292" s="69" t="s">
        <v>661</v>
      </c>
      <c r="CP292" s="69">
        <v>100</v>
      </c>
      <c r="CQ292" s="69"/>
      <c r="CR292" s="69"/>
      <c r="CS292" s="69" t="s">
        <v>661</v>
      </c>
      <c r="CT292" s="69">
        <v>105</v>
      </c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</row>
    <row r="293" spans="54:108" ht="16.5" x14ac:dyDescent="0.2">
      <c r="BB293" s="69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69">
        <v>289</v>
      </c>
      <c r="CG293" s="69">
        <v>3</v>
      </c>
      <c r="CH293" s="69" t="s">
        <v>451</v>
      </c>
      <c r="CI293" s="69">
        <v>89</v>
      </c>
      <c r="CJ293" s="69"/>
      <c r="CK293" s="69"/>
      <c r="CL293" s="69"/>
      <c r="CM293" s="69" t="s">
        <v>660</v>
      </c>
      <c r="CN293" s="69">
        <v>27000</v>
      </c>
      <c r="CO293" s="69" t="s">
        <v>661</v>
      </c>
      <c r="CP293" s="69">
        <v>100</v>
      </c>
      <c r="CQ293" s="69"/>
      <c r="CR293" s="69"/>
      <c r="CS293" s="69" t="s">
        <v>661</v>
      </c>
      <c r="CT293" s="69">
        <v>105</v>
      </c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</row>
    <row r="294" spans="54:108" ht="16.5" x14ac:dyDescent="0.2">
      <c r="BB294" s="69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69">
        <v>290</v>
      </c>
      <c r="CG294" s="69">
        <v>3</v>
      </c>
      <c r="CH294" s="69" t="s">
        <v>451</v>
      </c>
      <c r="CI294" s="69">
        <v>90</v>
      </c>
      <c r="CJ294" s="69"/>
      <c r="CK294" s="69"/>
      <c r="CL294" s="69"/>
      <c r="CM294" s="69" t="s">
        <v>660</v>
      </c>
      <c r="CN294" s="69">
        <v>31500</v>
      </c>
      <c r="CO294" s="69" t="s">
        <v>661</v>
      </c>
      <c r="CP294" s="69">
        <v>100</v>
      </c>
      <c r="CQ294" s="69" t="s">
        <v>495</v>
      </c>
      <c r="CR294" s="69">
        <v>2</v>
      </c>
      <c r="CS294" s="69" t="s">
        <v>661</v>
      </c>
      <c r="CT294" s="69">
        <v>110</v>
      </c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</row>
    <row r="295" spans="54:108" ht="16.5" x14ac:dyDescent="0.2">
      <c r="BB295" s="69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69">
        <v>291</v>
      </c>
      <c r="CG295" s="69">
        <v>3</v>
      </c>
      <c r="CH295" s="69" t="s">
        <v>451</v>
      </c>
      <c r="CI295" s="69">
        <v>91</v>
      </c>
      <c r="CJ295" s="69"/>
      <c r="CK295" s="69"/>
      <c r="CL295" s="69"/>
      <c r="CM295" s="69" t="s">
        <v>660</v>
      </c>
      <c r="CN295" s="69">
        <v>31500</v>
      </c>
      <c r="CO295" s="69" t="s">
        <v>661</v>
      </c>
      <c r="CP295" s="69">
        <v>105</v>
      </c>
      <c r="CQ295" s="69"/>
      <c r="CR295" s="69"/>
      <c r="CS295" s="69" t="s">
        <v>661</v>
      </c>
      <c r="CT295" s="69">
        <v>110</v>
      </c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</row>
    <row r="296" spans="54:108" ht="16.5" x14ac:dyDescent="0.2">
      <c r="BB296" s="69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69">
        <v>292</v>
      </c>
      <c r="CG296" s="69">
        <v>3</v>
      </c>
      <c r="CH296" s="69" t="s">
        <v>451</v>
      </c>
      <c r="CI296" s="69">
        <v>92</v>
      </c>
      <c r="CJ296" s="69"/>
      <c r="CK296" s="69"/>
      <c r="CL296" s="69"/>
      <c r="CM296" s="69" t="s">
        <v>660</v>
      </c>
      <c r="CN296" s="69">
        <v>31500</v>
      </c>
      <c r="CO296" s="69" t="s">
        <v>661</v>
      </c>
      <c r="CP296" s="69">
        <v>105</v>
      </c>
      <c r="CQ296" s="69"/>
      <c r="CR296" s="69"/>
      <c r="CS296" s="69" t="s">
        <v>661</v>
      </c>
      <c r="CT296" s="69">
        <v>110</v>
      </c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</row>
    <row r="297" spans="54:108" ht="16.5" x14ac:dyDescent="0.2">
      <c r="BB297" s="69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69">
        <v>293</v>
      </c>
      <c r="CG297" s="69">
        <v>3</v>
      </c>
      <c r="CH297" s="69" t="s">
        <v>451</v>
      </c>
      <c r="CI297" s="69">
        <v>93</v>
      </c>
      <c r="CJ297" s="69"/>
      <c r="CK297" s="69"/>
      <c r="CL297" s="69"/>
      <c r="CM297" s="69" t="s">
        <v>660</v>
      </c>
      <c r="CN297" s="69">
        <v>31500</v>
      </c>
      <c r="CO297" s="69" t="s">
        <v>661</v>
      </c>
      <c r="CP297" s="69">
        <v>105</v>
      </c>
      <c r="CQ297" s="69"/>
      <c r="CR297" s="69"/>
      <c r="CS297" s="69" t="s">
        <v>661</v>
      </c>
      <c r="CT297" s="69">
        <v>110</v>
      </c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</row>
    <row r="298" spans="54:108" ht="16.5" x14ac:dyDescent="0.2">
      <c r="BB298" s="69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69">
        <v>294</v>
      </c>
      <c r="CG298" s="69">
        <v>3</v>
      </c>
      <c r="CH298" s="69" t="s">
        <v>451</v>
      </c>
      <c r="CI298" s="69">
        <v>94</v>
      </c>
      <c r="CJ298" s="69"/>
      <c r="CK298" s="69"/>
      <c r="CL298" s="69"/>
      <c r="CM298" s="69" t="s">
        <v>660</v>
      </c>
      <c r="CN298" s="69">
        <v>31500</v>
      </c>
      <c r="CO298" s="69" t="s">
        <v>661</v>
      </c>
      <c r="CP298" s="69">
        <v>105</v>
      </c>
      <c r="CQ298" s="69"/>
      <c r="CR298" s="69"/>
      <c r="CS298" s="69" t="s">
        <v>661</v>
      </c>
      <c r="CT298" s="69">
        <v>110</v>
      </c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</row>
    <row r="299" spans="54:108" ht="16.5" x14ac:dyDescent="0.2">
      <c r="BB299" s="69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69">
        <v>295</v>
      </c>
      <c r="CG299" s="69">
        <v>3</v>
      </c>
      <c r="CH299" s="69" t="s">
        <v>451</v>
      </c>
      <c r="CI299" s="69">
        <v>95</v>
      </c>
      <c r="CJ299" s="69"/>
      <c r="CK299" s="69"/>
      <c r="CL299" s="69"/>
      <c r="CM299" s="69" t="s">
        <v>660</v>
      </c>
      <c r="CN299" s="69">
        <v>31500</v>
      </c>
      <c r="CO299" s="69" t="s">
        <v>661</v>
      </c>
      <c r="CP299" s="69">
        <v>105</v>
      </c>
      <c r="CQ299" s="69" t="s">
        <v>490</v>
      </c>
      <c r="CR299" s="69">
        <v>3</v>
      </c>
      <c r="CS299" s="69" t="s">
        <v>661</v>
      </c>
      <c r="CT299" s="69">
        <v>115</v>
      </c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</row>
    <row r="300" spans="54:108" ht="16.5" x14ac:dyDescent="0.2">
      <c r="BB300" s="69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69">
        <v>296</v>
      </c>
      <c r="CG300" s="69">
        <v>3</v>
      </c>
      <c r="CH300" s="69" t="s">
        <v>451</v>
      </c>
      <c r="CI300" s="69">
        <v>96</v>
      </c>
      <c r="CJ300" s="69"/>
      <c r="CK300" s="69"/>
      <c r="CL300" s="69"/>
      <c r="CM300" s="69" t="s">
        <v>660</v>
      </c>
      <c r="CN300" s="69">
        <v>36000</v>
      </c>
      <c r="CO300" s="69" t="s">
        <v>661</v>
      </c>
      <c r="CP300" s="69">
        <v>110</v>
      </c>
      <c r="CQ300" s="69"/>
      <c r="CR300" s="69"/>
      <c r="CS300" s="69" t="s">
        <v>661</v>
      </c>
      <c r="CT300" s="69">
        <v>115</v>
      </c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</row>
    <row r="301" spans="54:108" ht="16.5" x14ac:dyDescent="0.2">
      <c r="BB301" s="69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69">
        <v>297</v>
      </c>
      <c r="CG301" s="69">
        <v>3</v>
      </c>
      <c r="CH301" s="69" t="s">
        <v>451</v>
      </c>
      <c r="CI301" s="69">
        <v>97</v>
      </c>
      <c r="CJ301" s="69"/>
      <c r="CK301" s="69"/>
      <c r="CL301" s="69"/>
      <c r="CM301" s="69" t="s">
        <v>660</v>
      </c>
      <c r="CN301" s="69">
        <v>36000</v>
      </c>
      <c r="CO301" s="69" t="s">
        <v>661</v>
      </c>
      <c r="CP301" s="69">
        <v>110</v>
      </c>
      <c r="CQ301" s="69"/>
      <c r="CR301" s="69"/>
      <c r="CS301" s="69" t="s">
        <v>661</v>
      </c>
      <c r="CT301" s="69">
        <v>115</v>
      </c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</row>
    <row r="302" spans="54:108" ht="16.5" x14ac:dyDescent="0.2">
      <c r="BB302" s="69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69">
        <v>298</v>
      </c>
      <c r="CG302" s="69">
        <v>3</v>
      </c>
      <c r="CH302" s="69" t="s">
        <v>451</v>
      </c>
      <c r="CI302" s="69">
        <v>98</v>
      </c>
      <c r="CJ302" s="69"/>
      <c r="CK302" s="69"/>
      <c r="CL302" s="69"/>
      <c r="CM302" s="69" t="s">
        <v>660</v>
      </c>
      <c r="CN302" s="69">
        <v>36000</v>
      </c>
      <c r="CO302" s="69" t="s">
        <v>661</v>
      </c>
      <c r="CP302" s="69">
        <v>110</v>
      </c>
      <c r="CQ302" s="69"/>
      <c r="CR302" s="69"/>
      <c r="CS302" s="69" t="s">
        <v>661</v>
      </c>
      <c r="CT302" s="69">
        <v>115</v>
      </c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</row>
    <row r="303" spans="54:108" ht="16.5" x14ac:dyDescent="0.2">
      <c r="BB303" s="69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69">
        <v>299</v>
      </c>
      <c r="CG303" s="69">
        <v>3</v>
      </c>
      <c r="CH303" s="69" t="s">
        <v>451</v>
      </c>
      <c r="CI303" s="69">
        <v>99</v>
      </c>
      <c r="CJ303" s="69"/>
      <c r="CK303" s="69"/>
      <c r="CL303" s="69"/>
      <c r="CM303" s="69" t="s">
        <v>660</v>
      </c>
      <c r="CN303" s="69">
        <v>36000</v>
      </c>
      <c r="CO303" s="69" t="s">
        <v>661</v>
      </c>
      <c r="CP303" s="69">
        <v>110</v>
      </c>
      <c r="CQ303" s="69"/>
      <c r="CR303" s="69"/>
      <c r="CS303" s="69" t="s">
        <v>661</v>
      </c>
      <c r="CT303" s="69">
        <v>115</v>
      </c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</row>
    <row r="304" spans="54:108" ht="16.5" x14ac:dyDescent="0.2">
      <c r="BB304" s="69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69">
        <v>300</v>
      </c>
      <c r="CG304" s="69">
        <v>3</v>
      </c>
      <c r="CH304" s="69" t="s">
        <v>451</v>
      </c>
      <c r="CI304" s="69">
        <v>100</v>
      </c>
      <c r="CJ304" s="69"/>
      <c r="CK304" s="69"/>
      <c r="CL304" s="69"/>
      <c r="CM304" s="69" t="s">
        <v>660</v>
      </c>
      <c r="CN304" s="69">
        <v>36000</v>
      </c>
      <c r="CO304" s="69" t="s">
        <v>661</v>
      </c>
      <c r="CP304" s="69">
        <v>110</v>
      </c>
      <c r="CQ304" s="69" t="s">
        <v>494</v>
      </c>
      <c r="CR304" s="69">
        <v>3</v>
      </c>
      <c r="CS304" s="69" t="s">
        <v>661</v>
      </c>
      <c r="CT304" s="69">
        <v>120</v>
      </c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</row>
    <row r="305" spans="54:108" ht="16.5" x14ac:dyDescent="0.2">
      <c r="BB305" s="69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69">
        <v>301</v>
      </c>
      <c r="CG305" s="69">
        <v>4</v>
      </c>
      <c r="CH305" s="69" t="s">
        <v>451</v>
      </c>
      <c r="CI305" s="69">
        <v>1</v>
      </c>
      <c r="CJ305" s="69"/>
      <c r="CK305" s="69"/>
      <c r="CL305" s="69"/>
      <c r="CM305" s="69" t="s">
        <v>660</v>
      </c>
      <c r="CN305" s="69">
        <v>5760</v>
      </c>
      <c r="CO305" s="69" t="s">
        <v>661</v>
      </c>
      <c r="CP305" s="69">
        <v>20</v>
      </c>
      <c r="CQ305" s="69"/>
      <c r="CR305" s="69"/>
      <c r="CS305" s="69" t="s">
        <v>661</v>
      </c>
      <c r="CT305" s="69">
        <v>20</v>
      </c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</row>
    <row r="306" spans="54:108" ht="16.5" x14ac:dyDescent="0.2">
      <c r="BB306" s="69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69">
        <v>302</v>
      </c>
      <c r="CG306" s="69">
        <v>4</v>
      </c>
      <c r="CH306" s="69" t="s">
        <v>451</v>
      </c>
      <c r="CI306" s="69">
        <v>2</v>
      </c>
      <c r="CJ306" s="69"/>
      <c r="CK306" s="69"/>
      <c r="CL306" s="69"/>
      <c r="CM306" s="69" t="s">
        <v>660</v>
      </c>
      <c r="CN306" s="69">
        <v>5760</v>
      </c>
      <c r="CO306" s="69" t="s">
        <v>661</v>
      </c>
      <c r="CP306" s="69">
        <v>20</v>
      </c>
      <c r="CQ306" s="69" t="s">
        <v>492</v>
      </c>
      <c r="CR306" s="69">
        <v>1</v>
      </c>
      <c r="CS306" s="69" t="s">
        <v>661</v>
      </c>
      <c r="CT306" s="69">
        <v>20</v>
      </c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</row>
    <row r="307" spans="54:108" ht="16.5" x14ac:dyDescent="0.2">
      <c r="BB307" s="69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69">
        <v>303</v>
      </c>
      <c r="CG307" s="69">
        <v>4</v>
      </c>
      <c r="CH307" s="69" t="s">
        <v>451</v>
      </c>
      <c r="CI307" s="69">
        <v>3</v>
      </c>
      <c r="CJ307" s="69"/>
      <c r="CK307" s="69"/>
      <c r="CL307" s="69"/>
      <c r="CM307" s="69" t="s">
        <v>660</v>
      </c>
      <c r="CN307" s="69">
        <v>5760</v>
      </c>
      <c r="CO307" s="69" t="s">
        <v>661</v>
      </c>
      <c r="CP307" s="69">
        <v>20</v>
      </c>
      <c r="CQ307" s="69"/>
      <c r="CR307" s="69"/>
      <c r="CS307" s="69" t="s">
        <v>661</v>
      </c>
      <c r="CT307" s="69">
        <v>20</v>
      </c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</row>
    <row r="308" spans="54:108" ht="16.5" x14ac:dyDescent="0.2">
      <c r="BB308" s="69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69">
        <v>304</v>
      </c>
      <c r="CG308" s="69">
        <v>4</v>
      </c>
      <c r="CH308" s="69" t="s">
        <v>451</v>
      </c>
      <c r="CI308" s="69">
        <v>4</v>
      </c>
      <c r="CJ308" s="69"/>
      <c r="CK308" s="69"/>
      <c r="CL308" s="69"/>
      <c r="CM308" s="69" t="s">
        <v>660</v>
      </c>
      <c r="CN308" s="69">
        <v>5760</v>
      </c>
      <c r="CO308" s="69" t="s">
        <v>661</v>
      </c>
      <c r="CP308" s="69">
        <v>20</v>
      </c>
      <c r="CQ308" s="69" t="s">
        <v>493</v>
      </c>
      <c r="CR308" s="69">
        <v>1</v>
      </c>
      <c r="CS308" s="69" t="s">
        <v>661</v>
      </c>
      <c r="CT308" s="69">
        <v>20</v>
      </c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</row>
    <row r="309" spans="54:108" ht="16.5" x14ac:dyDescent="0.2">
      <c r="BB309" s="69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69">
        <v>305</v>
      </c>
      <c r="CG309" s="69">
        <v>4</v>
      </c>
      <c r="CH309" s="69" t="s">
        <v>451</v>
      </c>
      <c r="CI309" s="69">
        <v>5</v>
      </c>
      <c r="CJ309" s="69"/>
      <c r="CK309" s="69"/>
      <c r="CL309" s="69"/>
      <c r="CM309" s="69" t="s">
        <v>660</v>
      </c>
      <c r="CN309" s="69">
        <v>5760</v>
      </c>
      <c r="CO309" s="69" t="s">
        <v>661</v>
      </c>
      <c r="CP309" s="69">
        <v>20</v>
      </c>
      <c r="CQ309" s="69"/>
      <c r="CR309" s="69"/>
      <c r="CS309" s="69" t="s">
        <v>661</v>
      </c>
      <c r="CT309" s="69">
        <v>25</v>
      </c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</row>
    <row r="310" spans="54:108" ht="16.5" x14ac:dyDescent="0.2">
      <c r="BB310" s="69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69">
        <v>306</v>
      </c>
      <c r="CG310" s="69">
        <v>4</v>
      </c>
      <c r="CH310" s="69" t="s">
        <v>451</v>
      </c>
      <c r="CI310" s="69">
        <v>6</v>
      </c>
      <c r="CJ310" s="69"/>
      <c r="CK310" s="69"/>
      <c r="CL310" s="69"/>
      <c r="CM310" s="69" t="s">
        <v>660</v>
      </c>
      <c r="CN310" s="69">
        <v>7200</v>
      </c>
      <c r="CO310" s="69" t="s">
        <v>661</v>
      </c>
      <c r="CP310" s="69">
        <v>25</v>
      </c>
      <c r="CQ310" s="69"/>
      <c r="CR310" s="69"/>
      <c r="CS310" s="69" t="s">
        <v>661</v>
      </c>
      <c r="CT310" s="69">
        <v>25</v>
      </c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</row>
    <row r="311" spans="54:108" ht="16.5" x14ac:dyDescent="0.2">
      <c r="BB311" s="69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69">
        <v>307</v>
      </c>
      <c r="CG311" s="69">
        <v>4</v>
      </c>
      <c r="CH311" s="69" t="s">
        <v>451</v>
      </c>
      <c r="CI311" s="69">
        <v>7</v>
      </c>
      <c r="CJ311" s="69"/>
      <c r="CK311" s="69"/>
      <c r="CL311" s="69"/>
      <c r="CM311" s="69" t="s">
        <v>660</v>
      </c>
      <c r="CN311" s="69">
        <v>7200</v>
      </c>
      <c r="CO311" s="69" t="s">
        <v>661</v>
      </c>
      <c r="CP311" s="69">
        <v>25</v>
      </c>
      <c r="CQ311" s="69" t="s">
        <v>496</v>
      </c>
      <c r="CR311" s="69">
        <v>1</v>
      </c>
      <c r="CS311" s="69" t="s">
        <v>661</v>
      </c>
      <c r="CT311" s="69">
        <v>25</v>
      </c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</row>
    <row r="312" spans="54:108" ht="16.5" x14ac:dyDescent="0.2">
      <c r="BB312" s="69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69">
        <v>308</v>
      </c>
      <c r="CG312" s="69">
        <v>4</v>
      </c>
      <c r="CH312" s="69" t="s">
        <v>451</v>
      </c>
      <c r="CI312" s="69">
        <v>8</v>
      </c>
      <c r="CJ312" s="69"/>
      <c r="CK312" s="69"/>
      <c r="CL312" s="69"/>
      <c r="CM312" s="69" t="s">
        <v>660</v>
      </c>
      <c r="CN312" s="69">
        <v>7200</v>
      </c>
      <c r="CO312" s="69" t="s">
        <v>661</v>
      </c>
      <c r="CP312" s="69">
        <v>25</v>
      </c>
      <c r="CQ312" s="69"/>
      <c r="CR312" s="69"/>
      <c r="CS312" s="69" t="s">
        <v>661</v>
      </c>
      <c r="CT312" s="69">
        <v>25</v>
      </c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</row>
    <row r="313" spans="54:108" ht="16.5" x14ac:dyDescent="0.2">
      <c r="BB313" s="69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69">
        <v>309</v>
      </c>
      <c r="CG313" s="69">
        <v>4</v>
      </c>
      <c r="CH313" s="69" t="s">
        <v>451</v>
      </c>
      <c r="CI313" s="69">
        <v>9</v>
      </c>
      <c r="CJ313" s="69"/>
      <c r="CK313" s="69"/>
      <c r="CL313" s="69"/>
      <c r="CM313" s="69" t="s">
        <v>660</v>
      </c>
      <c r="CN313" s="69">
        <v>7200</v>
      </c>
      <c r="CO313" s="69" t="s">
        <v>661</v>
      </c>
      <c r="CP313" s="69">
        <v>25</v>
      </c>
      <c r="CQ313" s="69"/>
      <c r="CR313" s="69"/>
      <c r="CS313" s="69" t="s">
        <v>661</v>
      </c>
      <c r="CT313" s="69">
        <v>25</v>
      </c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</row>
    <row r="314" spans="54:108" ht="16.5" x14ac:dyDescent="0.2">
      <c r="BB314" s="69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69">
        <v>310</v>
      </c>
      <c r="CG314" s="69">
        <v>4</v>
      </c>
      <c r="CH314" s="69" t="s">
        <v>451</v>
      </c>
      <c r="CI314" s="69">
        <v>10</v>
      </c>
      <c r="CJ314" s="69"/>
      <c r="CK314" s="69"/>
      <c r="CL314" s="69"/>
      <c r="CM314" s="69" t="s">
        <v>660</v>
      </c>
      <c r="CN314" s="69">
        <v>7200</v>
      </c>
      <c r="CO314" s="69" t="s">
        <v>661</v>
      </c>
      <c r="CP314" s="69">
        <v>25</v>
      </c>
      <c r="CQ314" s="69" t="s">
        <v>497</v>
      </c>
      <c r="CR314" s="69">
        <v>1</v>
      </c>
      <c r="CS314" s="69" t="s">
        <v>661</v>
      </c>
      <c r="CT314" s="69">
        <v>30</v>
      </c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</row>
    <row r="315" spans="54:108" ht="16.5" x14ac:dyDescent="0.2">
      <c r="BB315" s="69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69">
        <v>311</v>
      </c>
      <c r="CG315" s="69">
        <v>4</v>
      </c>
      <c r="CH315" s="69" t="s">
        <v>451</v>
      </c>
      <c r="CI315" s="69">
        <v>11</v>
      </c>
      <c r="CJ315" s="69"/>
      <c r="CK315" s="69"/>
      <c r="CL315" s="69"/>
      <c r="CM315" s="69" t="s">
        <v>660</v>
      </c>
      <c r="CN315" s="69">
        <v>9000</v>
      </c>
      <c r="CO315" s="69" t="s">
        <v>661</v>
      </c>
      <c r="CP315" s="69">
        <v>30</v>
      </c>
      <c r="CQ315" s="69"/>
      <c r="CR315" s="69"/>
      <c r="CS315" s="69" t="s">
        <v>661</v>
      </c>
      <c r="CT315" s="69">
        <v>30</v>
      </c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</row>
    <row r="316" spans="54:108" ht="16.5" x14ac:dyDescent="0.2">
      <c r="BB316" s="69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69">
        <v>312</v>
      </c>
      <c r="CG316" s="69">
        <v>4</v>
      </c>
      <c r="CH316" s="69" t="s">
        <v>451</v>
      </c>
      <c r="CI316" s="69">
        <v>12</v>
      </c>
      <c r="CJ316" s="69"/>
      <c r="CK316" s="69"/>
      <c r="CL316" s="69"/>
      <c r="CM316" s="69" t="s">
        <v>660</v>
      </c>
      <c r="CN316" s="69">
        <v>9000</v>
      </c>
      <c r="CO316" s="69" t="s">
        <v>661</v>
      </c>
      <c r="CP316" s="69">
        <v>30</v>
      </c>
      <c r="CQ316" s="69"/>
      <c r="CR316" s="69"/>
      <c r="CS316" s="69" t="s">
        <v>661</v>
      </c>
      <c r="CT316" s="69">
        <v>30</v>
      </c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</row>
    <row r="317" spans="54:108" ht="16.5" x14ac:dyDescent="0.2">
      <c r="BB317" s="69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69">
        <v>313</v>
      </c>
      <c r="CG317" s="69">
        <v>4</v>
      </c>
      <c r="CH317" s="69" t="s">
        <v>451</v>
      </c>
      <c r="CI317" s="69">
        <v>13</v>
      </c>
      <c r="CJ317" s="69"/>
      <c r="CK317" s="69"/>
      <c r="CL317" s="69"/>
      <c r="CM317" s="69" t="s">
        <v>660</v>
      </c>
      <c r="CN317" s="69">
        <v>9000</v>
      </c>
      <c r="CO317" s="69" t="s">
        <v>661</v>
      </c>
      <c r="CP317" s="69">
        <v>30</v>
      </c>
      <c r="CQ317" s="69"/>
      <c r="CR317" s="69"/>
      <c r="CS317" s="69" t="s">
        <v>661</v>
      </c>
      <c r="CT317" s="69">
        <v>30</v>
      </c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</row>
    <row r="318" spans="54:108" ht="16.5" x14ac:dyDescent="0.2">
      <c r="BB318" s="69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69">
        <v>314</v>
      </c>
      <c r="CG318" s="69">
        <v>4</v>
      </c>
      <c r="CH318" s="69" t="s">
        <v>451</v>
      </c>
      <c r="CI318" s="69">
        <v>14</v>
      </c>
      <c r="CJ318" s="69"/>
      <c r="CK318" s="69"/>
      <c r="CL318" s="69"/>
      <c r="CM318" s="69" t="s">
        <v>660</v>
      </c>
      <c r="CN318" s="69">
        <v>9000</v>
      </c>
      <c r="CO318" s="69" t="s">
        <v>661</v>
      </c>
      <c r="CP318" s="69">
        <v>30</v>
      </c>
      <c r="CQ318" s="69"/>
      <c r="CR318" s="69"/>
      <c r="CS318" s="69" t="s">
        <v>661</v>
      </c>
      <c r="CT318" s="69">
        <v>30</v>
      </c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</row>
    <row r="319" spans="54:108" ht="16.5" x14ac:dyDescent="0.2">
      <c r="BB319" s="69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69">
        <v>315</v>
      </c>
      <c r="CG319" s="69">
        <v>4</v>
      </c>
      <c r="CH319" s="69" t="s">
        <v>451</v>
      </c>
      <c r="CI319" s="69">
        <v>15</v>
      </c>
      <c r="CJ319" s="69"/>
      <c r="CK319" s="69"/>
      <c r="CL319" s="69"/>
      <c r="CM319" s="69" t="s">
        <v>660</v>
      </c>
      <c r="CN319" s="69">
        <v>9000</v>
      </c>
      <c r="CO319" s="69" t="s">
        <v>661</v>
      </c>
      <c r="CP319" s="69">
        <v>30</v>
      </c>
      <c r="CQ319" s="69" t="s">
        <v>492</v>
      </c>
      <c r="CR319" s="69">
        <v>2</v>
      </c>
      <c r="CS319" s="69" t="s">
        <v>661</v>
      </c>
      <c r="CT319" s="69">
        <v>35</v>
      </c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</row>
    <row r="320" spans="54:108" ht="16.5" x14ac:dyDescent="0.2">
      <c r="BB320" s="69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69">
        <v>316</v>
      </c>
      <c r="CG320" s="69">
        <v>4</v>
      </c>
      <c r="CH320" s="69" t="s">
        <v>451</v>
      </c>
      <c r="CI320" s="69">
        <v>16</v>
      </c>
      <c r="CJ320" s="69"/>
      <c r="CK320" s="69"/>
      <c r="CL320" s="69"/>
      <c r="CM320" s="69" t="s">
        <v>660</v>
      </c>
      <c r="CN320" s="69">
        <v>10800</v>
      </c>
      <c r="CO320" s="69" t="s">
        <v>661</v>
      </c>
      <c r="CP320" s="69">
        <v>35</v>
      </c>
      <c r="CQ320" s="69"/>
      <c r="CR320" s="69"/>
      <c r="CS320" s="69" t="s">
        <v>661</v>
      </c>
      <c r="CT320" s="69">
        <v>35</v>
      </c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</row>
    <row r="321" spans="54:108" ht="16.5" x14ac:dyDescent="0.2">
      <c r="BB321" s="69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69">
        <v>317</v>
      </c>
      <c r="CG321" s="69">
        <v>4</v>
      </c>
      <c r="CH321" s="69" t="s">
        <v>451</v>
      </c>
      <c r="CI321" s="69">
        <v>17</v>
      </c>
      <c r="CJ321" s="69"/>
      <c r="CK321" s="69"/>
      <c r="CL321" s="69"/>
      <c r="CM321" s="69" t="s">
        <v>660</v>
      </c>
      <c r="CN321" s="69">
        <v>10800</v>
      </c>
      <c r="CO321" s="69" t="s">
        <v>661</v>
      </c>
      <c r="CP321" s="69">
        <v>35</v>
      </c>
      <c r="CQ321" s="69"/>
      <c r="CR321" s="69"/>
      <c r="CS321" s="69" t="s">
        <v>661</v>
      </c>
      <c r="CT321" s="69">
        <v>35</v>
      </c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</row>
    <row r="322" spans="54:108" ht="16.5" x14ac:dyDescent="0.2">
      <c r="BB322" s="69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69">
        <v>318</v>
      </c>
      <c r="CG322" s="69">
        <v>4</v>
      </c>
      <c r="CH322" s="69" t="s">
        <v>451</v>
      </c>
      <c r="CI322" s="69">
        <v>18</v>
      </c>
      <c r="CJ322" s="69"/>
      <c r="CK322" s="69"/>
      <c r="CL322" s="69"/>
      <c r="CM322" s="69" t="s">
        <v>660</v>
      </c>
      <c r="CN322" s="69">
        <v>10800</v>
      </c>
      <c r="CO322" s="69" t="s">
        <v>661</v>
      </c>
      <c r="CP322" s="69">
        <v>35</v>
      </c>
      <c r="CQ322" s="69"/>
      <c r="CR322" s="69"/>
      <c r="CS322" s="69" t="s">
        <v>661</v>
      </c>
      <c r="CT322" s="69">
        <v>35</v>
      </c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</row>
    <row r="323" spans="54:108" ht="16.5" x14ac:dyDescent="0.2">
      <c r="BB323" s="69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69">
        <v>319</v>
      </c>
      <c r="CG323" s="69">
        <v>4</v>
      </c>
      <c r="CH323" s="69" t="s">
        <v>451</v>
      </c>
      <c r="CI323" s="69">
        <v>19</v>
      </c>
      <c r="CJ323" s="69"/>
      <c r="CK323" s="69"/>
      <c r="CL323" s="69"/>
      <c r="CM323" s="69" t="s">
        <v>660</v>
      </c>
      <c r="CN323" s="69">
        <v>10800</v>
      </c>
      <c r="CO323" s="69" t="s">
        <v>661</v>
      </c>
      <c r="CP323" s="69">
        <v>35</v>
      </c>
      <c r="CQ323" s="69"/>
      <c r="CR323" s="69"/>
      <c r="CS323" s="69" t="s">
        <v>661</v>
      </c>
      <c r="CT323" s="69">
        <v>35</v>
      </c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</row>
    <row r="324" spans="54:108" ht="16.5" x14ac:dyDescent="0.2">
      <c r="BB324" s="69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69">
        <v>320</v>
      </c>
      <c r="CG324" s="69">
        <v>4</v>
      </c>
      <c r="CH324" s="69" t="s">
        <v>451</v>
      </c>
      <c r="CI324" s="69">
        <v>20</v>
      </c>
      <c r="CJ324" s="69"/>
      <c r="CK324" s="69"/>
      <c r="CL324" s="69"/>
      <c r="CM324" s="69" t="s">
        <v>660</v>
      </c>
      <c r="CN324" s="69">
        <v>12960</v>
      </c>
      <c r="CO324" s="69" t="s">
        <v>661</v>
      </c>
      <c r="CP324" s="69">
        <v>35</v>
      </c>
      <c r="CQ324" s="69" t="s">
        <v>493</v>
      </c>
      <c r="CR324" s="69">
        <v>2</v>
      </c>
      <c r="CS324" s="69" t="s">
        <v>661</v>
      </c>
      <c r="CT324" s="69">
        <v>40</v>
      </c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</row>
    <row r="325" spans="54:108" ht="16.5" x14ac:dyDescent="0.2">
      <c r="BB325" s="69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69">
        <v>321</v>
      </c>
      <c r="CG325" s="69">
        <v>4</v>
      </c>
      <c r="CH325" s="69" t="s">
        <v>451</v>
      </c>
      <c r="CI325" s="69">
        <v>21</v>
      </c>
      <c r="CJ325" s="69"/>
      <c r="CK325" s="69"/>
      <c r="CL325" s="69"/>
      <c r="CM325" s="69" t="s">
        <v>660</v>
      </c>
      <c r="CN325" s="69">
        <v>12960</v>
      </c>
      <c r="CO325" s="69" t="s">
        <v>661</v>
      </c>
      <c r="CP325" s="69">
        <v>40</v>
      </c>
      <c r="CQ325" s="69"/>
      <c r="CR325" s="69"/>
      <c r="CS325" s="69" t="s">
        <v>661</v>
      </c>
      <c r="CT325" s="69">
        <v>40</v>
      </c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</row>
    <row r="326" spans="54:108" ht="16.5" x14ac:dyDescent="0.2">
      <c r="BB326" s="69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69">
        <v>322</v>
      </c>
      <c r="CG326" s="69">
        <v>4</v>
      </c>
      <c r="CH326" s="69" t="s">
        <v>451</v>
      </c>
      <c r="CI326" s="69">
        <v>22</v>
      </c>
      <c r="CJ326" s="69"/>
      <c r="CK326" s="69"/>
      <c r="CL326" s="69"/>
      <c r="CM326" s="69" t="s">
        <v>660</v>
      </c>
      <c r="CN326" s="69">
        <v>12960</v>
      </c>
      <c r="CO326" s="69" t="s">
        <v>661</v>
      </c>
      <c r="CP326" s="69">
        <v>40</v>
      </c>
      <c r="CQ326" s="69"/>
      <c r="CR326" s="69"/>
      <c r="CS326" s="69" t="s">
        <v>661</v>
      </c>
      <c r="CT326" s="69">
        <v>40</v>
      </c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</row>
    <row r="327" spans="54:108" ht="16.5" x14ac:dyDescent="0.2">
      <c r="BB327" s="69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69">
        <v>323</v>
      </c>
      <c r="CG327" s="69">
        <v>4</v>
      </c>
      <c r="CH327" s="69" t="s">
        <v>451</v>
      </c>
      <c r="CI327" s="69">
        <v>23</v>
      </c>
      <c r="CJ327" s="69"/>
      <c r="CK327" s="69"/>
      <c r="CL327" s="69"/>
      <c r="CM327" s="69" t="s">
        <v>660</v>
      </c>
      <c r="CN327" s="69">
        <v>12960</v>
      </c>
      <c r="CO327" s="69" t="s">
        <v>661</v>
      </c>
      <c r="CP327" s="69">
        <v>40</v>
      </c>
      <c r="CQ327" s="69"/>
      <c r="CR327" s="69"/>
      <c r="CS327" s="69" t="s">
        <v>661</v>
      </c>
      <c r="CT327" s="69">
        <v>40</v>
      </c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</row>
    <row r="328" spans="54:108" ht="16.5" x14ac:dyDescent="0.2">
      <c r="BB328" s="69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69">
        <v>324</v>
      </c>
      <c r="CG328" s="69">
        <v>4</v>
      </c>
      <c r="CH328" s="69" t="s">
        <v>451</v>
      </c>
      <c r="CI328" s="69">
        <v>24</v>
      </c>
      <c r="CJ328" s="69"/>
      <c r="CK328" s="69"/>
      <c r="CL328" s="69"/>
      <c r="CM328" s="69" t="s">
        <v>660</v>
      </c>
      <c r="CN328" s="69">
        <v>12960</v>
      </c>
      <c r="CO328" s="69" t="s">
        <v>661</v>
      </c>
      <c r="CP328" s="69">
        <v>40</v>
      </c>
      <c r="CQ328" s="69"/>
      <c r="CR328" s="69"/>
      <c r="CS328" s="69" t="s">
        <v>661</v>
      </c>
      <c r="CT328" s="69">
        <v>40</v>
      </c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</row>
    <row r="329" spans="54:108" ht="16.5" x14ac:dyDescent="0.2">
      <c r="BB329" s="69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69">
        <v>325</v>
      </c>
      <c r="CG329" s="69">
        <v>4</v>
      </c>
      <c r="CH329" s="69" t="s">
        <v>451</v>
      </c>
      <c r="CI329" s="69">
        <v>25</v>
      </c>
      <c r="CJ329" s="69"/>
      <c r="CK329" s="69"/>
      <c r="CL329" s="69"/>
      <c r="CM329" s="69" t="s">
        <v>660</v>
      </c>
      <c r="CN329" s="69">
        <v>12960</v>
      </c>
      <c r="CO329" s="69" t="s">
        <v>661</v>
      </c>
      <c r="CP329" s="69">
        <v>40</v>
      </c>
      <c r="CQ329" s="69" t="s">
        <v>496</v>
      </c>
      <c r="CR329" s="69">
        <v>2</v>
      </c>
      <c r="CS329" s="69" t="s">
        <v>661</v>
      </c>
      <c r="CT329" s="69">
        <v>45</v>
      </c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</row>
    <row r="330" spans="54:108" ht="16.5" x14ac:dyDescent="0.2">
      <c r="BB330" s="69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69">
        <v>326</v>
      </c>
      <c r="CG330" s="69">
        <v>4</v>
      </c>
      <c r="CH330" s="69" t="s">
        <v>451</v>
      </c>
      <c r="CI330" s="69">
        <v>26</v>
      </c>
      <c r="CJ330" s="69"/>
      <c r="CK330" s="69"/>
      <c r="CL330" s="69"/>
      <c r="CM330" s="69" t="s">
        <v>660</v>
      </c>
      <c r="CN330" s="69">
        <v>12960</v>
      </c>
      <c r="CO330" s="69" t="s">
        <v>661</v>
      </c>
      <c r="CP330" s="69">
        <v>45</v>
      </c>
      <c r="CQ330" s="69"/>
      <c r="CR330" s="69"/>
      <c r="CS330" s="69" t="s">
        <v>661</v>
      </c>
      <c r="CT330" s="69">
        <v>45</v>
      </c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</row>
    <row r="331" spans="54:108" ht="16.5" x14ac:dyDescent="0.2">
      <c r="BB331" s="69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69">
        <v>327</v>
      </c>
      <c r="CG331" s="69">
        <v>4</v>
      </c>
      <c r="CH331" s="69" t="s">
        <v>451</v>
      </c>
      <c r="CI331" s="69">
        <v>27</v>
      </c>
      <c r="CJ331" s="69"/>
      <c r="CK331" s="69"/>
      <c r="CL331" s="69"/>
      <c r="CM331" s="69" t="s">
        <v>660</v>
      </c>
      <c r="CN331" s="69">
        <v>12960</v>
      </c>
      <c r="CO331" s="69" t="s">
        <v>661</v>
      </c>
      <c r="CP331" s="69">
        <v>45</v>
      </c>
      <c r="CQ331" s="69"/>
      <c r="CR331" s="69"/>
      <c r="CS331" s="69" t="s">
        <v>661</v>
      </c>
      <c r="CT331" s="69">
        <v>45</v>
      </c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</row>
    <row r="332" spans="54:108" ht="16.5" x14ac:dyDescent="0.2">
      <c r="BB332" s="69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69">
        <v>328</v>
      </c>
      <c r="CG332" s="69">
        <v>4</v>
      </c>
      <c r="CH332" s="69" t="s">
        <v>451</v>
      </c>
      <c r="CI332" s="69">
        <v>28</v>
      </c>
      <c r="CJ332" s="69"/>
      <c r="CK332" s="69"/>
      <c r="CL332" s="69"/>
      <c r="CM332" s="69" t="s">
        <v>660</v>
      </c>
      <c r="CN332" s="69">
        <v>12960</v>
      </c>
      <c r="CO332" s="69" t="s">
        <v>661</v>
      </c>
      <c r="CP332" s="69">
        <v>45</v>
      </c>
      <c r="CQ332" s="69"/>
      <c r="CR332" s="69"/>
      <c r="CS332" s="69" t="s">
        <v>661</v>
      </c>
      <c r="CT332" s="69">
        <v>45</v>
      </c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</row>
    <row r="333" spans="54:108" ht="16.5" x14ac:dyDescent="0.2">
      <c r="BB333" s="69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69">
        <v>329</v>
      </c>
      <c r="CG333" s="69">
        <v>4</v>
      </c>
      <c r="CH333" s="69" t="s">
        <v>451</v>
      </c>
      <c r="CI333" s="69">
        <v>29</v>
      </c>
      <c r="CJ333" s="69"/>
      <c r="CK333" s="69"/>
      <c r="CL333" s="69"/>
      <c r="CM333" s="69" t="s">
        <v>660</v>
      </c>
      <c r="CN333" s="69">
        <v>12960</v>
      </c>
      <c r="CO333" s="69" t="s">
        <v>661</v>
      </c>
      <c r="CP333" s="69">
        <v>45</v>
      </c>
      <c r="CQ333" s="69"/>
      <c r="CR333" s="69"/>
      <c r="CS333" s="69" t="s">
        <v>661</v>
      </c>
      <c r="CT333" s="69">
        <v>45</v>
      </c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</row>
    <row r="334" spans="54:108" ht="16.5" x14ac:dyDescent="0.2">
      <c r="BB334" s="69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69">
        <v>330</v>
      </c>
      <c r="CG334" s="69">
        <v>4</v>
      </c>
      <c r="CH334" s="69" t="s">
        <v>451</v>
      </c>
      <c r="CI334" s="69">
        <v>30</v>
      </c>
      <c r="CJ334" s="69"/>
      <c r="CK334" s="69"/>
      <c r="CL334" s="69"/>
      <c r="CM334" s="69" t="s">
        <v>660</v>
      </c>
      <c r="CN334" s="69">
        <v>16200</v>
      </c>
      <c r="CO334" s="69" t="s">
        <v>661</v>
      </c>
      <c r="CP334" s="69">
        <v>45</v>
      </c>
      <c r="CQ334" s="69" t="s">
        <v>497</v>
      </c>
      <c r="CR334" s="69">
        <v>2</v>
      </c>
      <c r="CS334" s="69" t="s">
        <v>661</v>
      </c>
      <c r="CT334" s="69">
        <v>50</v>
      </c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</row>
    <row r="335" spans="54:108" ht="16.5" x14ac:dyDescent="0.2">
      <c r="BB335" s="69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69">
        <v>331</v>
      </c>
      <c r="CG335" s="69">
        <v>4</v>
      </c>
      <c r="CH335" s="69" t="s">
        <v>451</v>
      </c>
      <c r="CI335" s="69">
        <v>31</v>
      </c>
      <c r="CJ335" s="69"/>
      <c r="CK335" s="69"/>
      <c r="CL335" s="69"/>
      <c r="CM335" s="69" t="s">
        <v>660</v>
      </c>
      <c r="CN335" s="69">
        <v>16200</v>
      </c>
      <c r="CO335" s="69" t="s">
        <v>661</v>
      </c>
      <c r="CP335" s="69">
        <v>50</v>
      </c>
      <c r="CQ335" s="69"/>
      <c r="CR335" s="69"/>
      <c r="CS335" s="69" t="s">
        <v>661</v>
      </c>
      <c r="CT335" s="69">
        <v>50</v>
      </c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</row>
    <row r="336" spans="54:108" ht="16.5" x14ac:dyDescent="0.2">
      <c r="BB336" s="69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69">
        <v>332</v>
      </c>
      <c r="CG336" s="69">
        <v>4</v>
      </c>
      <c r="CH336" s="69" t="s">
        <v>451</v>
      </c>
      <c r="CI336" s="69">
        <v>32</v>
      </c>
      <c r="CJ336" s="69"/>
      <c r="CK336" s="69"/>
      <c r="CL336" s="69"/>
      <c r="CM336" s="69" t="s">
        <v>660</v>
      </c>
      <c r="CN336" s="69">
        <v>16200</v>
      </c>
      <c r="CO336" s="69" t="s">
        <v>661</v>
      </c>
      <c r="CP336" s="69">
        <v>50</v>
      </c>
      <c r="CQ336" s="69"/>
      <c r="CR336" s="69"/>
      <c r="CS336" s="69" t="s">
        <v>661</v>
      </c>
      <c r="CT336" s="69">
        <v>50</v>
      </c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</row>
    <row r="337" spans="54:108" ht="16.5" x14ac:dyDescent="0.2">
      <c r="BB337" s="69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69">
        <v>333</v>
      </c>
      <c r="CG337" s="69">
        <v>4</v>
      </c>
      <c r="CH337" s="69" t="s">
        <v>451</v>
      </c>
      <c r="CI337" s="69">
        <v>33</v>
      </c>
      <c r="CJ337" s="69"/>
      <c r="CK337" s="69"/>
      <c r="CL337" s="69"/>
      <c r="CM337" s="69" t="s">
        <v>660</v>
      </c>
      <c r="CN337" s="69">
        <v>16200</v>
      </c>
      <c r="CO337" s="69" t="s">
        <v>661</v>
      </c>
      <c r="CP337" s="69">
        <v>50</v>
      </c>
      <c r="CQ337" s="69"/>
      <c r="CR337" s="69"/>
      <c r="CS337" s="69" t="s">
        <v>661</v>
      </c>
      <c r="CT337" s="69">
        <v>50</v>
      </c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</row>
    <row r="338" spans="54:108" ht="16.5" x14ac:dyDescent="0.2">
      <c r="BB338" s="69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69">
        <v>334</v>
      </c>
      <c r="CG338" s="69">
        <v>4</v>
      </c>
      <c r="CH338" s="69" t="s">
        <v>451</v>
      </c>
      <c r="CI338" s="69">
        <v>34</v>
      </c>
      <c r="CJ338" s="69"/>
      <c r="CK338" s="69"/>
      <c r="CL338" s="69"/>
      <c r="CM338" s="69" t="s">
        <v>660</v>
      </c>
      <c r="CN338" s="69">
        <v>16200</v>
      </c>
      <c r="CO338" s="69" t="s">
        <v>661</v>
      </c>
      <c r="CP338" s="69">
        <v>50</v>
      </c>
      <c r="CQ338" s="69"/>
      <c r="CR338" s="69"/>
      <c r="CS338" s="69" t="s">
        <v>661</v>
      </c>
      <c r="CT338" s="69">
        <v>50</v>
      </c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</row>
    <row r="339" spans="54:108" ht="16.5" x14ac:dyDescent="0.2">
      <c r="BB339" s="69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69">
        <v>335</v>
      </c>
      <c r="CG339" s="69">
        <v>4</v>
      </c>
      <c r="CH339" s="69" t="s">
        <v>451</v>
      </c>
      <c r="CI339" s="69">
        <v>35</v>
      </c>
      <c r="CJ339" s="69"/>
      <c r="CK339" s="69"/>
      <c r="CL339" s="69"/>
      <c r="CM339" s="69" t="s">
        <v>660</v>
      </c>
      <c r="CN339" s="69">
        <v>16200</v>
      </c>
      <c r="CO339" s="69" t="s">
        <v>661</v>
      </c>
      <c r="CP339" s="69">
        <v>50</v>
      </c>
      <c r="CQ339" s="69" t="s">
        <v>492</v>
      </c>
      <c r="CR339" s="69">
        <v>2</v>
      </c>
      <c r="CS339" s="69" t="s">
        <v>661</v>
      </c>
      <c r="CT339" s="69">
        <v>55</v>
      </c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</row>
    <row r="340" spans="54:108" ht="16.5" x14ac:dyDescent="0.2">
      <c r="BB340" s="69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69">
        <v>336</v>
      </c>
      <c r="CG340" s="69">
        <v>4</v>
      </c>
      <c r="CH340" s="69" t="s">
        <v>451</v>
      </c>
      <c r="CI340" s="69">
        <v>36</v>
      </c>
      <c r="CJ340" s="69"/>
      <c r="CK340" s="69"/>
      <c r="CL340" s="69"/>
      <c r="CM340" s="69" t="s">
        <v>660</v>
      </c>
      <c r="CN340" s="69">
        <v>16200</v>
      </c>
      <c r="CO340" s="69" t="s">
        <v>661</v>
      </c>
      <c r="CP340" s="69">
        <v>55</v>
      </c>
      <c r="CQ340" s="69"/>
      <c r="CR340" s="69"/>
      <c r="CS340" s="69" t="s">
        <v>661</v>
      </c>
      <c r="CT340" s="69">
        <v>55</v>
      </c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</row>
    <row r="341" spans="54:108" ht="16.5" x14ac:dyDescent="0.2">
      <c r="BB341" s="69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69">
        <v>337</v>
      </c>
      <c r="CG341" s="69">
        <v>4</v>
      </c>
      <c r="CH341" s="69" t="s">
        <v>451</v>
      </c>
      <c r="CI341" s="69">
        <v>37</v>
      </c>
      <c r="CJ341" s="69"/>
      <c r="CK341" s="69"/>
      <c r="CL341" s="69"/>
      <c r="CM341" s="69" t="s">
        <v>660</v>
      </c>
      <c r="CN341" s="69">
        <v>16200</v>
      </c>
      <c r="CO341" s="69" t="s">
        <v>661</v>
      </c>
      <c r="CP341" s="69">
        <v>55</v>
      </c>
      <c r="CQ341" s="69"/>
      <c r="CR341" s="69"/>
      <c r="CS341" s="69" t="s">
        <v>661</v>
      </c>
      <c r="CT341" s="69">
        <v>55</v>
      </c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</row>
    <row r="342" spans="54:108" ht="16.5" x14ac:dyDescent="0.2">
      <c r="BB342" s="69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69">
        <v>338</v>
      </c>
      <c r="CG342" s="69">
        <v>4</v>
      </c>
      <c r="CH342" s="69" t="s">
        <v>451</v>
      </c>
      <c r="CI342" s="69">
        <v>38</v>
      </c>
      <c r="CJ342" s="69"/>
      <c r="CK342" s="69"/>
      <c r="CL342" s="69"/>
      <c r="CM342" s="69" t="s">
        <v>660</v>
      </c>
      <c r="CN342" s="69">
        <v>16200</v>
      </c>
      <c r="CO342" s="69" t="s">
        <v>661</v>
      </c>
      <c r="CP342" s="69">
        <v>55</v>
      </c>
      <c r="CQ342" s="69"/>
      <c r="CR342" s="69"/>
      <c r="CS342" s="69" t="s">
        <v>661</v>
      </c>
      <c r="CT342" s="69">
        <v>55</v>
      </c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</row>
    <row r="343" spans="54:108" ht="16.5" x14ac:dyDescent="0.2">
      <c r="BB343" s="69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69">
        <v>339</v>
      </c>
      <c r="CG343" s="69">
        <v>4</v>
      </c>
      <c r="CH343" s="69" t="s">
        <v>451</v>
      </c>
      <c r="CI343" s="69">
        <v>39</v>
      </c>
      <c r="CJ343" s="69"/>
      <c r="CK343" s="69"/>
      <c r="CL343" s="69"/>
      <c r="CM343" s="69" t="s">
        <v>660</v>
      </c>
      <c r="CN343" s="69">
        <v>16200</v>
      </c>
      <c r="CO343" s="69" t="s">
        <v>661</v>
      </c>
      <c r="CP343" s="69">
        <v>55</v>
      </c>
      <c r="CQ343" s="69"/>
      <c r="CR343" s="69"/>
      <c r="CS343" s="69" t="s">
        <v>661</v>
      </c>
      <c r="CT343" s="69">
        <v>55</v>
      </c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</row>
    <row r="344" spans="54:108" ht="16.5" x14ac:dyDescent="0.2">
      <c r="BB344" s="69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69">
        <v>340</v>
      </c>
      <c r="CG344" s="69">
        <v>4</v>
      </c>
      <c r="CH344" s="69" t="s">
        <v>451</v>
      </c>
      <c r="CI344" s="69">
        <v>40</v>
      </c>
      <c r="CJ344" s="69"/>
      <c r="CK344" s="69"/>
      <c r="CL344" s="69"/>
      <c r="CM344" s="69" t="s">
        <v>660</v>
      </c>
      <c r="CN344" s="69">
        <v>16200</v>
      </c>
      <c r="CO344" s="69" t="s">
        <v>661</v>
      </c>
      <c r="CP344" s="69">
        <v>55</v>
      </c>
      <c r="CQ344" s="69" t="s">
        <v>493</v>
      </c>
      <c r="CR344" s="69">
        <v>2</v>
      </c>
      <c r="CS344" s="69" t="s">
        <v>661</v>
      </c>
      <c r="CT344" s="69">
        <v>60</v>
      </c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</row>
    <row r="345" spans="54:108" ht="16.5" x14ac:dyDescent="0.2">
      <c r="BB345" s="69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69">
        <v>341</v>
      </c>
      <c r="CG345" s="69">
        <v>4</v>
      </c>
      <c r="CH345" s="69" t="s">
        <v>451</v>
      </c>
      <c r="CI345" s="69">
        <v>41</v>
      </c>
      <c r="CJ345" s="69"/>
      <c r="CK345" s="69"/>
      <c r="CL345" s="69"/>
      <c r="CM345" s="69" t="s">
        <v>660</v>
      </c>
      <c r="CN345" s="69">
        <v>16200</v>
      </c>
      <c r="CO345" s="69" t="s">
        <v>661</v>
      </c>
      <c r="CP345" s="69">
        <v>60</v>
      </c>
      <c r="CQ345" s="69"/>
      <c r="CR345" s="69"/>
      <c r="CS345" s="69" t="s">
        <v>661</v>
      </c>
      <c r="CT345" s="69">
        <v>60</v>
      </c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</row>
    <row r="346" spans="54:108" ht="16.5" x14ac:dyDescent="0.2">
      <c r="BB346" s="69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69">
        <v>342</v>
      </c>
      <c r="CG346" s="69">
        <v>4</v>
      </c>
      <c r="CH346" s="69" t="s">
        <v>451</v>
      </c>
      <c r="CI346" s="69">
        <v>42</v>
      </c>
      <c r="CJ346" s="69"/>
      <c r="CK346" s="69"/>
      <c r="CL346" s="69"/>
      <c r="CM346" s="69" t="s">
        <v>660</v>
      </c>
      <c r="CN346" s="69">
        <v>16200</v>
      </c>
      <c r="CO346" s="69" t="s">
        <v>661</v>
      </c>
      <c r="CP346" s="69">
        <v>60</v>
      </c>
      <c r="CQ346" s="69"/>
      <c r="CR346" s="69"/>
      <c r="CS346" s="69" t="s">
        <v>661</v>
      </c>
      <c r="CT346" s="69">
        <v>60</v>
      </c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</row>
    <row r="347" spans="54:108" ht="16.5" x14ac:dyDescent="0.2">
      <c r="BB347" s="69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69">
        <v>343</v>
      </c>
      <c r="CG347" s="69">
        <v>4</v>
      </c>
      <c r="CH347" s="69" t="s">
        <v>451</v>
      </c>
      <c r="CI347" s="69">
        <v>43</v>
      </c>
      <c r="CJ347" s="69"/>
      <c r="CK347" s="69"/>
      <c r="CL347" s="69"/>
      <c r="CM347" s="69" t="s">
        <v>660</v>
      </c>
      <c r="CN347" s="69">
        <v>16200</v>
      </c>
      <c r="CO347" s="69" t="s">
        <v>661</v>
      </c>
      <c r="CP347" s="69">
        <v>60</v>
      </c>
      <c r="CQ347" s="69"/>
      <c r="CR347" s="69"/>
      <c r="CS347" s="69" t="s">
        <v>661</v>
      </c>
      <c r="CT347" s="69">
        <v>60</v>
      </c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</row>
    <row r="348" spans="54:108" ht="16.5" x14ac:dyDescent="0.2">
      <c r="BB348" s="69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69">
        <v>344</v>
      </c>
      <c r="CG348" s="69">
        <v>4</v>
      </c>
      <c r="CH348" s="69" t="s">
        <v>451</v>
      </c>
      <c r="CI348" s="69">
        <v>44</v>
      </c>
      <c r="CJ348" s="69"/>
      <c r="CK348" s="69"/>
      <c r="CL348" s="69"/>
      <c r="CM348" s="69" t="s">
        <v>660</v>
      </c>
      <c r="CN348" s="69">
        <v>16200</v>
      </c>
      <c r="CO348" s="69" t="s">
        <v>661</v>
      </c>
      <c r="CP348" s="69">
        <v>60</v>
      </c>
      <c r="CQ348" s="69"/>
      <c r="CR348" s="69"/>
      <c r="CS348" s="69" t="s">
        <v>661</v>
      </c>
      <c r="CT348" s="69">
        <v>60</v>
      </c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</row>
    <row r="349" spans="54:108" ht="16.5" x14ac:dyDescent="0.2">
      <c r="BB349" s="69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69">
        <v>345</v>
      </c>
      <c r="CG349" s="69">
        <v>4</v>
      </c>
      <c r="CH349" s="69" t="s">
        <v>451</v>
      </c>
      <c r="CI349" s="69">
        <v>45</v>
      </c>
      <c r="CJ349" s="69"/>
      <c r="CK349" s="69"/>
      <c r="CL349" s="69"/>
      <c r="CM349" s="69" t="s">
        <v>660</v>
      </c>
      <c r="CN349" s="69">
        <v>19800</v>
      </c>
      <c r="CO349" s="69" t="s">
        <v>661</v>
      </c>
      <c r="CP349" s="69">
        <v>60</v>
      </c>
      <c r="CQ349" s="69" t="s">
        <v>496</v>
      </c>
      <c r="CR349" s="69">
        <v>2</v>
      </c>
      <c r="CS349" s="69" t="s">
        <v>661</v>
      </c>
      <c r="CT349" s="69">
        <v>65</v>
      </c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</row>
    <row r="350" spans="54:108" ht="16.5" x14ac:dyDescent="0.2">
      <c r="BB350" s="69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69">
        <v>346</v>
      </c>
      <c r="CG350" s="69">
        <v>4</v>
      </c>
      <c r="CH350" s="69" t="s">
        <v>451</v>
      </c>
      <c r="CI350" s="69">
        <v>46</v>
      </c>
      <c r="CJ350" s="69"/>
      <c r="CK350" s="69"/>
      <c r="CL350" s="69"/>
      <c r="CM350" s="69" t="s">
        <v>660</v>
      </c>
      <c r="CN350" s="69">
        <v>19800</v>
      </c>
      <c r="CO350" s="69" t="s">
        <v>661</v>
      </c>
      <c r="CP350" s="69">
        <v>65</v>
      </c>
      <c r="CQ350" s="69"/>
      <c r="CR350" s="69"/>
      <c r="CS350" s="69" t="s">
        <v>661</v>
      </c>
      <c r="CT350" s="69">
        <v>65</v>
      </c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</row>
    <row r="351" spans="54:108" ht="16.5" x14ac:dyDescent="0.2">
      <c r="BB351" s="69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69">
        <v>347</v>
      </c>
      <c r="CG351" s="69">
        <v>4</v>
      </c>
      <c r="CH351" s="69" t="s">
        <v>451</v>
      </c>
      <c r="CI351" s="69">
        <v>47</v>
      </c>
      <c r="CJ351" s="69"/>
      <c r="CK351" s="69"/>
      <c r="CL351" s="69"/>
      <c r="CM351" s="69" t="s">
        <v>660</v>
      </c>
      <c r="CN351" s="69">
        <v>19800</v>
      </c>
      <c r="CO351" s="69" t="s">
        <v>661</v>
      </c>
      <c r="CP351" s="69">
        <v>65</v>
      </c>
      <c r="CQ351" s="69"/>
      <c r="CR351" s="69"/>
      <c r="CS351" s="69" t="s">
        <v>661</v>
      </c>
      <c r="CT351" s="69">
        <v>65</v>
      </c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</row>
    <row r="352" spans="54:108" ht="16.5" x14ac:dyDescent="0.2">
      <c r="BB352" s="69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69">
        <v>348</v>
      </c>
      <c r="CG352" s="69">
        <v>4</v>
      </c>
      <c r="CH352" s="69" t="s">
        <v>451</v>
      </c>
      <c r="CI352" s="69">
        <v>48</v>
      </c>
      <c r="CJ352" s="69"/>
      <c r="CK352" s="69"/>
      <c r="CL352" s="69"/>
      <c r="CM352" s="69" t="s">
        <v>660</v>
      </c>
      <c r="CN352" s="69">
        <v>19800</v>
      </c>
      <c r="CO352" s="69" t="s">
        <v>661</v>
      </c>
      <c r="CP352" s="69">
        <v>65</v>
      </c>
      <c r="CQ352" s="69"/>
      <c r="CR352" s="69"/>
      <c r="CS352" s="69" t="s">
        <v>661</v>
      </c>
      <c r="CT352" s="69">
        <v>65</v>
      </c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</row>
    <row r="353" spans="54:108" ht="16.5" x14ac:dyDescent="0.2">
      <c r="BB353" s="69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69">
        <v>349</v>
      </c>
      <c r="CG353" s="69">
        <v>4</v>
      </c>
      <c r="CH353" s="69" t="s">
        <v>451</v>
      </c>
      <c r="CI353" s="69">
        <v>49</v>
      </c>
      <c r="CJ353" s="69"/>
      <c r="CK353" s="69"/>
      <c r="CL353" s="69"/>
      <c r="CM353" s="69" t="s">
        <v>660</v>
      </c>
      <c r="CN353" s="69">
        <v>19800</v>
      </c>
      <c r="CO353" s="69" t="s">
        <v>661</v>
      </c>
      <c r="CP353" s="69">
        <v>65</v>
      </c>
      <c r="CQ353" s="69"/>
      <c r="CR353" s="69"/>
      <c r="CS353" s="69" t="s">
        <v>661</v>
      </c>
      <c r="CT353" s="69">
        <v>65</v>
      </c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</row>
    <row r="354" spans="54:108" ht="16.5" x14ac:dyDescent="0.2">
      <c r="BB354" s="69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69">
        <v>350</v>
      </c>
      <c r="CG354" s="69">
        <v>4</v>
      </c>
      <c r="CH354" s="69" t="s">
        <v>451</v>
      </c>
      <c r="CI354" s="69">
        <v>50</v>
      </c>
      <c r="CJ354" s="69"/>
      <c r="CK354" s="69"/>
      <c r="CL354" s="69"/>
      <c r="CM354" s="69" t="s">
        <v>660</v>
      </c>
      <c r="CN354" s="69">
        <v>19800</v>
      </c>
      <c r="CO354" s="69" t="s">
        <v>661</v>
      </c>
      <c r="CP354" s="69">
        <v>65</v>
      </c>
      <c r="CQ354" s="69" t="s">
        <v>497</v>
      </c>
      <c r="CR354" s="69">
        <v>2</v>
      </c>
      <c r="CS354" s="69" t="s">
        <v>661</v>
      </c>
      <c r="CT354" s="69">
        <v>70</v>
      </c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</row>
    <row r="355" spans="54:108" ht="16.5" x14ac:dyDescent="0.2">
      <c r="BB355" s="69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69">
        <v>351</v>
      </c>
      <c r="CG355" s="69">
        <v>4</v>
      </c>
      <c r="CH355" s="69" t="s">
        <v>451</v>
      </c>
      <c r="CI355" s="69">
        <v>51</v>
      </c>
      <c r="CJ355" s="69"/>
      <c r="CK355" s="69"/>
      <c r="CL355" s="69"/>
      <c r="CM355" s="69" t="s">
        <v>660</v>
      </c>
      <c r="CN355" s="69">
        <v>19800</v>
      </c>
      <c r="CO355" s="69" t="s">
        <v>661</v>
      </c>
      <c r="CP355" s="69">
        <v>70</v>
      </c>
      <c r="CQ355" s="69"/>
      <c r="CR355" s="69"/>
      <c r="CS355" s="69" t="s">
        <v>661</v>
      </c>
      <c r="CT355" s="69">
        <v>70</v>
      </c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</row>
    <row r="356" spans="54:108" ht="16.5" x14ac:dyDescent="0.2">
      <c r="BB356" s="69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69">
        <v>352</v>
      </c>
      <c r="CG356" s="69">
        <v>4</v>
      </c>
      <c r="CH356" s="69" t="s">
        <v>451</v>
      </c>
      <c r="CI356" s="69">
        <v>52</v>
      </c>
      <c r="CJ356" s="69"/>
      <c r="CK356" s="69"/>
      <c r="CL356" s="69"/>
      <c r="CM356" s="69" t="s">
        <v>660</v>
      </c>
      <c r="CN356" s="69">
        <v>19800</v>
      </c>
      <c r="CO356" s="69" t="s">
        <v>661</v>
      </c>
      <c r="CP356" s="69">
        <v>70</v>
      </c>
      <c r="CQ356" s="69"/>
      <c r="CR356" s="69"/>
      <c r="CS356" s="69" t="s">
        <v>661</v>
      </c>
      <c r="CT356" s="69">
        <v>70</v>
      </c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</row>
    <row r="357" spans="54:108" ht="16.5" x14ac:dyDescent="0.2">
      <c r="BB357" s="69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69">
        <v>353</v>
      </c>
      <c r="CG357" s="69">
        <v>4</v>
      </c>
      <c r="CH357" s="69" t="s">
        <v>451</v>
      </c>
      <c r="CI357" s="69">
        <v>53</v>
      </c>
      <c r="CJ357" s="69"/>
      <c r="CK357" s="69"/>
      <c r="CL357" s="69"/>
      <c r="CM357" s="69" t="s">
        <v>660</v>
      </c>
      <c r="CN357" s="69">
        <v>19800</v>
      </c>
      <c r="CO357" s="69" t="s">
        <v>661</v>
      </c>
      <c r="CP357" s="69">
        <v>70</v>
      </c>
      <c r="CQ357" s="69"/>
      <c r="CR357" s="69"/>
      <c r="CS357" s="69" t="s">
        <v>661</v>
      </c>
      <c r="CT357" s="69">
        <v>70</v>
      </c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</row>
    <row r="358" spans="54:108" ht="16.5" x14ac:dyDescent="0.2">
      <c r="BB358" s="69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69">
        <v>354</v>
      </c>
      <c r="CG358" s="69">
        <v>4</v>
      </c>
      <c r="CH358" s="69" t="s">
        <v>451</v>
      </c>
      <c r="CI358" s="69">
        <v>54</v>
      </c>
      <c r="CJ358" s="69"/>
      <c r="CK358" s="69"/>
      <c r="CL358" s="69"/>
      <c r="CM358" s="69" t="s">
        <v>660</v>
      </c>
      <c r="CN358" s="69">
        <v>19800</v>
      </c>
      <c r="CO358" s="69" t="s">
        <v>661</v>
      </c>
      <c r="CP358" s="69">
        <v>70</v>
      </c>
      <c r="CQ358" s="69"/>
      <c r="CR358" s="69"/>
      <c r="CS358" s="69" t="s">
        <v>661</v>
      </c>
      <c r="CT358" s="69">
        <v>70</v>
      </c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</row>
    <row r="359" spans="54:108" ht="16.5" x14ac:dyDescent="0.2">
      <c r="BB359" s="69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69">
        <v>355</v>
      </c>
      <c r="CG359" s="69">
        <v>4</v>
      </c>
      <c r="CH359" s="69" t="s">
        <v>451</v>
      </c>
      <c r="CI359" s="69">
        <v>55</v>
      </c>
      <c r="CJ359" s="69"/>
      <c r="CK359" s="69"/>
      <c r="CL359" s="69"/>
      <c r="CM359" s="69" t="s">
        <v>660</v>
      </c>
      <c r="CN359" s="69">
        <v>19800</v>
      </c>
      <c r="CO359" s="69" t="s">
        <v>661</v>
      </c>
      <c r="CP359" s="69">
        <v>70</v>
      </c>
      <c r="CQ359" s="69" t="s">
        <v>492</v>
      </c>
      <c r="CR359" s="69">
        <v>2</v>
      </c>
      <c r="CS359" s="69" t="s">
        <v>661</v>
      </c>
      <c r="CT359" s="69">
        <v>75</v>
      </c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</row>
    <row r="360" spans="54:108" ht="16.5" x14ac:dyDescent="0.2">
      <c r="BB360" s="69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69">
        <v>356</v>
      </c>
      <c r="CG360" s="69">
        <v>4</v>
      </c>
      <c r="CH360" s="69" t="s">
        <v>451</v>
      </c>
      <c r="CI360" s="69">
        <v>56</v>
      </c>
      <c r="CJ360" s="69"/>
      <c r="CK360" s="69"/>
      <c r="CL360" s="69"/>
      <c r="CM360" s="69" t="s">
        <v>660</v>
      </c>
      <c r="CN360" s="69">
        <v>19800</v>
      </c>
      <c r="CO360" s="69" t="s">
        <v>661</v>
      </c>
      <c r="CP360" s="69">
        <v>75</v>
      </c>
      <c r="CQ360" s="69"/>
      <c r="CR360" s="69"/>
      <c r="CS360" s="69" t="s">
        <v>661</v>
      </c>
      <c r="CT360" s="69">
        <v>75</v>
      </c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</row>
    <row r="361" spans="54:108" ht="16.5" x14ac:dyDescent="0.2">
      <c r="BB361" s="69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69">
        <v>357</v>
      </c>
      <c r="CG361" s="69">
        <v>4</v>
      </c>
      <c r="CH361" s="69" t="s">
        <v>451</v>
      </c>
      <c r="CI361" s="69">
        <v>57</v>
      </c>
      <c r="CJ361" s="69"/>
      <c r="CK361" s="69"/>
      <c r="CL361" s="69"/>
      <c r="CM361" s="69" t="s">
        <v>660</v>
      </c>
      <c r="CN361" s="69">
        <v>19800</v>
      </c>
      <c r="CO361" s="69" t="s">
        <v>661</v>
      </c>
      <c r="CP361" s="69">
        <v>75</v>
      </c>
      <c r="CQ361" s="69"/>
      <c r="CR361" s="69"/>
      <c r="CS361" s="69" t="s">
        <v>661</v>
      </c>
      <c r="CT361" s="69">
        <v>75</v>
      </c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</row>
    <row r="362" spans="54:108" ht="16.5" x14ac:dyDescent="0.2">
      <c r="BB362" s="69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69">
        <v>358</v>
      </c>
      <c r="CG362" s="69">
        <v>4</v>
      </c>
      <c r="CH362" s="69" t="s">
        <v>451</v>
      </c>
      <c r="CI362" s="69">
        <v>58</v>
      </c>
      <c r="CJ362" s="69"/>
      <c r="CK362" s="69"/>
      <c r="CL362" s="69"/>
      <c r="CM362" s="69" t="s">
        <v>660</v>
      </c>
      <c r="CN362" s="69">
        <v>19800</v>
      </c>
      <c r="CO362" s="69" t="s">
        <v>661</v>
      </c>
      <c r="CP362" s="69">
        <v>75</v>
      </c>
      <c r="CQ362" s="69"/>
      <c r="CR362" s="69"/>
      <c r="CS362" s="69" t="s">
        <v>661</v>
      </c>
      <c r="CT362" s="69">
        <v>75</v>
      </c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</row>
    <row r="363" spans="54:108" ht="16.5" x14ac:dyDescent="0.2">
      <c r="BB363" s="69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69">
        <v>359</v>
      </c>
      <c r="CG363" s="69">
        <v>4</v>
      </c>
      <c r="CH363" s="69" t="s">
        <v>451</v>
      </c>
      <c r="CI363" s="69">
        <v>59</v>
      </c>
      <c r="CJ363" s="69"/>
      <c r="CK363" s="69"/>
      <c r="CL363" s="69"/>
      <c r="CM363" s="69" t="s">
        <v>660</v>
      </c>
      <c r="CN363" s="69">
        <v>19800</v>
      </c>
      <c r="CO363" s="69" t="s">
        <v>661</v>
      </c>
      <c r="CP363" s="69">
        <v>75</v>
      </c>
      <c r="CQ363" s="69"/>
      <c r="CR363" s="69"/>
      <c r="CS363" s="69" t="s">
        <v>661</v>
      </c>
      <c r="CT363" s="69">
        <v>75</v>
      </c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</row>
    <row r="364" spans="54:108" ht="16.5" x14ac:dyDescent="0.2">
      <c r="BB364" s="69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69">
        <v>360</v>
      </c>
      <c r="CG364" s="69">
        <v>4</v>
      </c>
      <c r="CH364" s="69" t="s">
        <v>451</v>
      </c>
      <c r="CI364" s="69">
        <v>60</v>
      </c>
      <c r="CJ364" s="69"/>
      <c r="CK364" s="69"/>
      <c r="CL364" s="69"/>
      <c r="CM364" s="69" t="s">
        <v>660</v>
      </c>
      <c r="CN364" s="69">
        <v>23400</v>
      </c>
      <c r="CO364" s="69" t="s">
        <v>661</v>
      </c>
      <c r="CP364" s="69">
        <v>75</v>
      </c>
      <c r="CQ364" s="69" t="s">
        <v>493</v>
      </c>
      <c r="CR364" s="69">
        <v>2</v>
      </c>
      <c r="CS364" s="69" t="s">
        <v>661</v>
      </c>
      <c r="CT364" s="69">
        <v>80</v>
      </c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</row>
    <row r="365" spans="54:108" ht="16.5" x14ac:dyDescent="0.2">
      <c r="BB365" s="69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69">
        <v>361</v>
      </c>
      <c r="CG365" s="69">
        <v>4</v>
      </c>
      <c r="CH365" s="69" t="s">
        <v>451</v>
      </c>
      <c r="CI365" s="69">
        <v>61</v>
      </c>
      <c r="CJ365" s="69"/>
      <c r="CK365" s="69"/>
      <c r="CL365" s="69"/>
      <c r="CM365" s="69" t="s">
        <v>660</v>
      </c>
      <c r="CN365" s="69">
        <v>23400</v>
      </c>
      <c r="CO365" s="69" t="s">
        <v>661</v>
      </c>
      <c r="CP365" s="69">
        <v>80</v>
      </c>
      <c r="CQ365" s="69"/>
      <c r="CR365" s="69"/>
      <c r="CS365" s="69" t="s">
        <v>661</v>
      </c>
      <c r="CT365" s="69">
        <v>80</v>
      </c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</row>
    <row r="366" spans="54:108" ht="16.5" x14ac:dyDescent="0.2">
      <c r="BB366" s="69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69">
        <v>362</v>
      </c>
      <c r="CG366" s="69">
        <v>4</v>
      </c>
      <c r="CH366" s="69" t="s">
        <v>451</v>
      </c>
      <c r="CI366" s="69">
        <v>62</v>
      </c>
      <c r="CJ366" s="69"/>
      <c r="CK366" s="69"/>
      <c r="CL366" s="69"/>
      <c r="CM366" s="69" t="s">
        <v>660</v>
      </c>
      <c r="CN366" s="69">
        <v>23400</v>
      </c>
      <c r="CO366" s="69" t="s">
        <v>661</v>
      </c>
      <c r="CP366" s="69">
        <v>80</v>
      </c>
      <c r="CQ366" s="69"/>
      <c r="CR366" s="69"/>
      <c r="CS366" s="69" t="s">
        <v>661</v>
      </c>
      <c r="CT366" s="69">
        <v>80</v>
      </c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</row>
    <row r="367" spans="54:108" ht="16.5" x14ac:dyDescent="0.2">
      <c r="BB367" s="69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69">
        <v>363</v>
      </c>
      <c r="CG367" s="69">
        <v>4</v>
      </c>
      <c r="CH367" s="69" t="s">
        <v>451</v>
      </c>
      <c r="CI367" s="69">
        <v>63</v>
      </c>
      <c r="CJ367" s="69"/>
      <c r="CK367" s="69"/>
      <c r="CL367" s="69"/>
      <c r="CM367" s="69" t="s">
        <v>660</v>
      </c>
      <c r="CN367" s="69">
        <v>23400</v>
      </c>
      <c r="CO367" s="69" t="s">
        <v>661</v>
      </c>
      <c r="CP367" s="69">
        <v>80</v>
      </c>
      <c r="CQ367" s="69"/>
      <c r="CR367" s="69"/>
      <c r="CS367" s="69" t="s">
        <v>661</v>
      </c>
      <c r="CT367" s="69">
        <v>80</v>
      </c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</row>
    <row r="368" spans="54:108" ht="16.5" x14ac:dyDescent="0.2">
      <c r="BB368" s="69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69">
        <v>364</v>
      </c>
      <c r="CG368" s="69">
        <v>4</v>
      </c>
      <c r="CH368" s="69" t="s">
        <v>451</v>
      </c>
      <c r="CI368" s="69">
        <v>64</v>
      </c>
      <c r="CJ368" s="69"/>
      <c r="CK368" s="69"/>
      <c r="CL368" s="69"/>
      <c r="CM368" s="69" t="s">
        <v>660</v>
      </c>
      <c r="CN368" s="69">
        <v>23400</v>
      </c>
      <c r="CO368" s="69" t="s">
        <v>661</v>
      </c>
      <c r="CP368" s="69">
        <v>80</v>
      </c>
      <c r="CQ368" s="69"/>
      <c r="CR368" s="69"/>
      <c r="CS368" s="69" t="s">
        <v>661</v>
      </c>
      <c r="CT368" s="69">
        <v>80</v>
      </c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</row>
    <row r="369" spans="54:108" ht="16.5" x14ac:dyDescent="0.2">
      <c r="BB369" s="69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69">
        <v>365</v>
      </c>
      <c r="CG369" s="69">
        <v>4</v>
      </c>
      <c r="CH369" s="69" t="s">
        <v>451</v>
      </c>
      <c r="CI369" s="69">
        <v>65</v>
      </c>
      <c r="CJ369" s="69"/>
      <c r="CK369" s="69"/>
      <c r="CL369" s="69"/>
      <c r="CM369" s="69" t="s">
        <v>660</v>
      </c>
      <c r="CN369" s="69">
        <v>23400</v>
      </c>
      <c r="CO369" s="69" t="s">
        <v>661</v>
      </c>
      <c r="CP369" s="69">
        <v>80</v>
      </c>
      <c r="CQ369" s="69" t="s">
        <v>496</v>
      </c>
      <c r="CR369" s="69">
        <v>2</v>
      </c>
      <c r="CS369" s="69" t="s">
        <v>661</v>
      </c>
      <c r="CT369" s="69">
        <v>85</v>
      </c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</row>
    <row r="370" spans="54:108" ht="16.5" x14ac:dyDescent="0.2">
      <c r="BB370" s="69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69">
        <v>366</v>
      </c>
      <c r="CG370" s="69">
        <v>4</v>
      </c>
      <c r="CH370" s="69" t="s">
        <v>451</v>
      </c>
      <c r="CI370" s="69">
        <v>66</v>
      </c>
      <c r="CJ370" s="69"/>
      <c r="CK370" s="69"/>
      <c r="CL370" s="69"/>
      <c r="CM370" s="69" t="s">
        <v>660</v>
      </c>
      <c r="CN370" s="69">
        <v>23400</v>
      </c>
      <c r="CO370" s="69" t="s">
        <v>661</v>
      </c>
      <c r="CP370" s="69">
        <v>85</v>
      </c>
      <c r="CQ370" s="69"/>
      <c r="CR370" s="69"/>
      <c r="CS370" s="69" t="s">
        <v>661</v>
      </c>
      <c r="CT370" s="69">
        <v>85</v>
      </c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</row>
    <row r="371" spans="54:108" ht="16.5" x14ac:dyDescent="0.2">
      <c r="BB371" s="69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69">
        <v>367</v>
      </c>
      <c r="CG371" s="69">
        <v>4</v>
      </c>
      <c r="CH371" s="69" t="s">
        <v>451</v>
      </c>
      <c r="CI371" s="69">
        <v>67</v>
      </c>
      <c r="CJ371" s="69"/>
      <c r="CK371" s="69"/>
      <c r="CL371" s="69"/>
      <c r="CM371" s="69" t="s">
        <v>660</v>
      </c>
      <c r="CN371" s="69">
        <v>23400</v>
      </c>
      <c r="CO371" s="69" t="s">
        <v>661</v>
      </c>
      <c r="CP371" s="69">
        <v>85</v>
      </c>
      <c r="CQ371" s="69"/>
      <c r="CR371" s="69"/>
      <c r="CS371" s="69" t="s">
        <v>661</v>
      </c>
      <c r="CT371" s="69">
        <v>85</v>
      </c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</row>
    <row r="372" spans="54:108" ht="16.5" x14ac:dyDescent="0.2">
      <c r="BB372" s="69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69">
        <v>368</v>
      </c>
      <c r="CG372" s="69">
        <v>4</v>
      </c>
      <c r="CH372" s="69" t="s">
        <v>451</v>
      </c>
      <c r="CI372" s="69">
        <v>68</v>
      </c>
      <c r="CJ372" s="69"/>
      <c r="CK372" s="69"/>
      <c r="CL372" s="69"/>
      <c r="CM372" s="69" t="s">
        <v>660</v>
      </c>
      <c r="CN372" s="69">
        <v>23400</v>
      </c>
      <c r="CO372" s="69" t="s">
        <v>661</v>
      </c>
      <c r="CP372" s="69">
        <v>85</v>
      </c>
      <c r="CQ372" s="69"/>
      <c r="CR372" s="69"/>
      <c r="CS372" s="69" t="s">
        <v>661</v>
      </c>
      <c r="CT372" s="69">
        <v>85</v>
      </c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</row>
    <row r="373" spans="54:108" ht="16.5" x14ac:dyDescent="0.2">
      <c r="BB373" s="69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69">
        <v>369</v>
      </c>
      <c r="CG373" s="69">
        <v>4</v>
      </c>
      <c r="CH373" s="69" t="s">
        <v>451</v>
      </c>
      <c r="CI373" s="69">
        <v>69</v>
      </c>
      <c r="CJ373" s="69"/>
      <c r="CK373" s="69"/>
      <c r="CL373" s="69"/>
      <c r="CM373" s="69" t="s">
        <v>660</v>
      </c>
      <c r="CN373" s="69">
        <v>23400</v>
      </c>
      <c r="CO373" s="69" t="s">
        <v>661</v>
      </c>
      <c r="CP373" s="69">
        <v>85</v>
      </c>
      <c r="CQ373" s="69"/>
      <c r="CR373" s="69"/>
      <c r="CS373" s="69" t="s">
        <v>661</v>
      </c>
      <c r="CT373" s="69">
        <v>85</v>
      </c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</row>
    <row r="374" spans="54:108" ht="16.5" x14ac:dyDescent="0.2">
      <c r="BB374" s="69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69">
        <v>370</v>
      </c>
      <c r="CG374" s="69">
        <v>4</v>
      </c>
      <c r="CH374" s="69" t="s">
        <v>451</v>
      </c>
      <c r="CI374" s="69">
        <v>70</v>
      </c>
      <c r="CJ374" s="69"/>
      <c r="CK374" s="69"/>
      <c r="CL374" s="69"/>
      <c r="CM374" s="69" t="s">
        <v>660</v>
      </c>
      <c r="CN374" s="69">
        <v>23400</v>
      </c>
      <c r="CO374" s="69" t="s">
        <v>661</v>
      </c>
      <c r="CP374" s="69">
        <v>85</v>
      </c>
      <c r="CQ374" s="69" t="s">
        <v>497</v>
      </c>
      <c r="CR374" s="69">
        <v>2</v>
      </c>
      <c r="CS374" s="69" t="s">
        <v>661</v>
      </c>
      <c r="CT374" s="69">
        <v>90</v>
      </c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</row>
    <row r="375" spans="54:108" ht="16.5" x14ac:dyDescent="0.2">
      <c r="BB375" s="69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69">
        <v>371</v>
      </c>
      <c r="CG375" s="69">
        <v>4</v>
      </c>
      <c r="CH375" s="69" t="s">
        <v>451</v>
      </c>
      <c r="CI375" s="69">
        <v>71</v>
      </c>
      <c r="CJ375" s="69"/>
      <c r="CK375" s="69"/>
      <c r="CL375" s="69"/>
      <c r="CM375" s="69" t="s">
        <v>660</v>
      </c>
      <c r="CN375" s="69">
        <v>23400</v>
      </c>
      <c r="CO375" s="69" t="s">
        <v>661</v>
      </c>
      <c r="CP375" s="69">
        <v>90</v>
      </c>
      <c r="CQ375" s="69"/>
      <c r="CR375" s="69"/>
      <c r="CS375" s="69" t="s">
        <v>661</v>
      </c>
      <c r="CT375" s="69">
        <v>90</v>
      </c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</row>
    <row r="376" spans="54:108" ht="16.5" x14ac:dyDescent="0.2">
      <c r="BB376" s="69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69">
        <v>372</v>
      </c>
      <c r="CG376" s="69">
        <v>4</v>
      </c>
      <c r="CH376" s="69" t="s">
        <v>451</v>
      </c>
      <c r="CI376" s="69">
        <v>72</v>
      </c>
      <c r="CJ376" s="69"/>
      <c r="CK376" s="69"/>
      <c r="CL376" s="69"/>
      <c r="CM376" s="69" t="s">
        <v>660</v>
      </c>
      <c r="CN376" s="69">
        <v>23400</v>
      </c>
      <c r="CO376" s="69" t="s">
        <v>661</v>
      </c>
      <c r="CP376" s="69">
        <v>90</v>
      </c>
      <c r="CQ376" s="69"/>
      <c r="CR376" s="69"/>
      <c r="CS376" s="69" t="s">
        <v>661</v>
      </c>
      <c r="CT376" s="69">
        <v>90</v>
      </c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</row>
    <row r="377" spans="54:108" ht="16.5" x14ac:dyDescent="0.2">
      <c r="BB377" s="69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69">
        <v>373</v>
      </c>
      <c r="CG377" s="69">
        <v>4</v>
      </c>
      <c r="CH377" s="69" t="s">
        <v>451</v>
      </c>
      <c r="CI377" s="69">
        <v>73</v>
      </c>
      <c r="CJ377" s="69"/>
      <c r="CK377" s="69"/>
      <c r="CL377" s="69"/>
      <c r="CM377" s="69" t="s">
        <v>660</v>
      </c>
      <c r="CN377" s="69">
        <v>23400</v>
      </c>
      <c r="CO377" s="69" t="s">
        <v>661</v>
      </c>
      <c r="CP377" s="69">
        <v>90</v>
      </c>
      <c r="CQ377" s="69"/>
      <c r="CR377" s="69"/>
      <c r="CS377" s="69" t="s">
        <v>661</v>
      </c>
      <c r="CT377" s="69">
        <v>90</v>
      </c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</row>
    <row r="378" spans="54:108" ht="16.5" x14ac:dyDescent="0.2">
      <c r="BB378" s="69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69">
        <v>374</v>
      </c>
      <c r="CG378" s="69">
        <v>4</v>
      </c>
      <c r="CH378" s="69" t="s">
        <v>451</v>
      </c>
      <c r="CI378" s="69">
        <v>74</v>
      </c>
      <c r="CJ378" s="69"/>
      <c r="CK378" s="69"/>
      <c r="CL378" s="69"/>
      <c r="CM378" s="69" t="s">
        <v>660</v>
      </c>
      <c r="CN378" s="69">
        <v>23400</v>
      </c>
      <c r="CO378" s="69" t="s">
        <v>661</v>
      </c>
      <c r="CP378" s="69">
        <v>90</v>
      </c>
      <c r="CQ378" s="69"/>
      <c r="CR378" s="69"/>
      <c r="CS378" s="69" t="s">
        <v>661</v>
      </c>
      <c r="CT378" s="69">
        <v>90</v>
      </c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</row>
    <row r="379" spans="54:108" ht="16.5" x14ac:dyDescent="0.2">
      <c r="BB379" s="69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69">
        <v>375</v>
      </c>
      <c r="CG379" s="69">
        <v>4</v>
      </c>
      <c r="CH379" s="69" t="s">
        <v>451</v>
      </c>
      <c r="CI379" s="69">
        <v>75</v>
      </c>
      <c r="CJ379" s="69"/>
      <c r="CK379" s="69"/>
      <c r="CL379" s="69"/>
      <c r="CM379" s="69" t="s">
        <v>660</v>
      </c>
      <c r="CN379" s="69">
        <v>23400</v>
      </c>
      <c r="CO379" s="69" t="s">
        <v>661</v>
      </c>
      <c r="CP379" s="69">
        <v>90</v>
      </c>
      <c r="CQ379" s="69" t="s">
        <v>492</v>
      </c>
      <c r="CR379" s="69">
        <v>2</v>
      </c>
      <c r="CS379" s="69" t="s">
        <v>661</v>
      </c>
      <c r="CT379" s="69">
        <v>95</v>
      </c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</row>
    <row r="380" spans="54:108" ht="16.5" x14ac:dyDescent="0.2">
      <c r="BB380" s="69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69">
        <v>376</v>
      </c>
      <c r="CG380" s="69">
        <v>4</v>
      </c>
      <c r="CH380" s="69" t="s">
        <v>451</v>
      </c>
      <c r="CI380" s="69">
        <v>76</v>
      </c>
      <c r="CJ380" s="69"/>
      <c r="CK380" s="69"/>
      <c r="CL380" s="69"/>
      <c r="CM380" s="69" t="s">
        <v>660</v>
      </c>
      <c r="CN380" s="69">
        <v>23400</v>
      </c>
      <c r="CO380" s="69" t="s">
        <v>661</v>
      </c>
      <c r="CP380" s="69">
        <v>95</v>
      </c>
      <c r="CQ380" s="69"/>
      <c r="CR380" s="69"/>
      <c r="CS380" s="69" t="s">
        <v>661</v>
      </c>
      <c r="CT380" s="69">
        <v>95</v>
      </c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</row>
    <row r="381" spans="54:108" ht="16.5" x14ac:dyDescent="0.2">
      <c r="BB381" s="69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69">
        <v>377</v>
      </c>
      <c r="CG381" s="69">
        <v>4</v>
      </c>
      <c r="CH381" s="69" t="s">
        <v>451</v>
      </c>
      <c r="CI381" s="69">
        <v>77</v>
      </c>
      <c r="CJ381" s="69"/>
      <c r="CK381" s="69"/>
      <c r="CL381" s="69"/>
      <c r="CM381" s="69" t="s">
        <v>660</v>
      </c>
      <c r="CN381" s="69">
        <v>23400</v>
      </c>
      <c r="CO381" s="69" t="s">
        <v>661</v>
      </c>
      <c r="CP381" s="69">
        <v>95</v>
      </c>
      <c r="CQ381" s="69"/>
      <c r="CR381" s="69"/>
      <c r="CS381" s="69" t="s">
        <v>661</v>
      </c>
      <c r="CT381" s="69">
        <v>95</v>
      </c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</row>
    <row r="382" spans="54:108" ht="16.5" x14ac:dyDescent="0.2">
      <c r="BB382" s="69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69">
        <v>378</v>
      </c>
      <c r="CG382" s="69">
        <v>4</v>
      </c>
      <c r="CH382" s="69" t="s">
        <v>451</v>
      </c>
      <c r="CI382" s="69">
        <v>78</v>
      </c>
      <c r="CJ382" s="69"/>
      <c r="CK382" s="69"/>
      <c r="CL382" s="69"/>
      <c r="CM382" s="69" t="s">
        <v>660</v>
      </c>
      <c r="CN382" s="69">
        <v>23400</v>
      </c>
      <c r="CO382" s="69" t="s">
        <v>661</v>
      </c>
      <c r="CP382" s="69">
        <v>95</v>
      </c>
      <c r="CQ382" s="69"/>
      <c r="CR382" s="69"/>
      <c r="CS382" s="69" t="s">
        <v>661</v>
      </c>
      <c r="CT382" s="69">
        <v>95</v>
      </c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</row>
    <row r="383" spans="54:108" ht="16.5" x14ac:dyDescent="0.2">
      <c r="BB383" s="69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69">
        <v>379</v>
      </c>
      <c r="CG383" s="69">
        <v>4</v>
      </c>
      <c r="CH383" s="69" t="s">
        <v>451</v>
      </c>
      <c r="CI383" s="69">
        <v>79</v>
      </c>
      <c r="CJ383" s="69"/>
      <c r="CK383" s="69"/>
      <c r="CL383" s="69"/>
      <c r="CM383" s="69" t="s">
        <v>660</v>
      </c>
      <c r="CN383" s="69">
        <v>23400</v>
      </c>
      <c r="CO383" s="69" t="s">
        <v>661</v>
      </c>
      <c r="CP383" s="69">
        <v>95</v>
      </c>
      <c r="CQ383" s="69"/>
      <c r="CR383" s="69"/>
      <c r="CS383" s="69" t="s">
        <v>661</v>
      </c>
      <c r="CT383" s="69">
        <v>95</v>
      </c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</row>
    <row r="384" spans="54:108" ht="16.5" x14ac:dyDescent="0.2">
      <c r="BB384" s="69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69">
        <v>380</v>
      </c>
      <c r="CG384" s="69">
        <v>4</v>
      </c>
      <c r="CH384" s="69" t="s">
        <v>451</v>
      </c>
      <c r="CI384" s="69">
        <v>80</v>
      </c>
      <c r="CJ384" s="69"/>
      <c r="CK384" s="69"/>
      <c r="CL384" s="69"/>
      <c r="CM384" s="69" t="s">
        <v>660</v>
      </c>
      <c r="CN384" s="69">
        <v>27000</v>
      </c>
      <c r="CO384" s="69" t="s">
        <v>661</v>
      </c>
      <c r="CP384" s="69">
        <v>95</v>
      </c>
      <c r="CQ384" s="69" t="s">
        <v>493</v>
      </c>
      <c r="CR384" s="69">
        <v>2</v>
      </c>
      <c r="CS384" s="69" t="s">
        <v>661</v>
      </c>
      <c r="CT384" s="69">
        <v>100</v>
      </c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</row>
    <row r="385" spans="54:108" ht="16.5" x14ac:dyDescent="0.2">
      <c r="BB385" s="69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69">
        <v>381</v>
      </c>
      <c r="CG385" s="69">
        <v>4</v>
      </c>
      <c r="CH385" s="69" t="s">
        <v>451</v>
      </c>
      <c r="CI385" s="69">
        <v>81</v>
      </c>
      <c r="CJ385" s="69"/>
      <c r="CK385" s="69"/>
      <c r="CL385" s="69"/>
      <c r="CM385" s="69" t="s">
        <v>660</v>
      </c>
      <c r="CN385" s="69">
        <v>27000</v>
      </c>
      <c r="CO385" s="69" t="s">
        <v>661</v>
      </c>
      <c r="CP385" s="69">
        <v>100</v>
      </c>
      <c r="CQ385" s="69"/>
      <c r="CR385" s="69"/>
      <c r="CS385" s="69" t="s">
        <v>661</v>
      </c>
      <c r="CT385" s="69">
        <v>100</v>
      </c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</row>
    <row r="386" spans="54:108" ht="16.5" x14ac:dyDescent="0.2">
      <c r="BB386" s="69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69">
        <v>382</v>
      </c>
      <c r="CG386" s="69">
        <v>4</v>
      </c>
      <c r="CH386" s="69" t="s">
        <v>451</v>
      </c>
      <c r="CI386" s="69">
        <v>82</v>
      </c>
      <c r="CJ386" s="69"/>
      <c r="CK386" s="69"/>
      <c r="CL386" s="69"/>
      <c r="CM386" s="69" t="s">
        <v>660</v>
      </c>
      <c r="CN386" s="69">
        <v>27000</v>
      </c>
      <c r="CO386" s="69" t="s">
        <v>661</v>
      </c>
      <c r="CP386" s="69">
        <v>100</v>
      </c>
      <c r="CQ386" s="69"/>
      <c r="CR386" s="69"/>
      <c r="CS386" s="69" t="s">
        <v>661</v>
      </c>
      <c r="CT386" s="69">
        <v>100</v>
      </c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</row>
    <row r="387" spans="54:108" ht="16.5" x14ac:dyDescent="0.2">
      <c r="BB387" s="69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69">
        <v>383</v>
      </c>
      <c r="CG387" s="69">
        <v>4</v>
      </c>
      <c r="CH387" s="69" t="s">
        <v>451</v>
      </c>
      <c r="CI387" s="69">
        <v>83</v>
      </c>
      <c r="CJ387" s="69"/>
      <c r="CK387" s="69"/>
      <c r="CL387" s="69"/>
      <c r="CM387" s="69" t="s">
        <v>660</v>
      </c>
      <c r="CN387" s="69">
        <v>27000</v>
      </c>
      <c r="CO387" s="69" t="s">
        <v>661</v>
      </c>
      <c r="CP387" s="69">
        <v>100</v>
      </c>
      <c r="CQ387" s="69"/>
      <c r="CR387" s="69"/>
      <c r="CS387" s="69" t="s">
        <v>661</v>
      </c>
      <c r="CT387" s="69">
        <v>100</v>
      </c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</row>
    <row r="388" spans="54:108" ht="16.5" x14ac:dyDescent="0.2">
      <c r="BB388" s="69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69">
        <v>384</v>
      </c>
      <c r="CG388" s="69">
        <v>4</v>
      </c>
      <c r="CH388" s="69" t="s">
        <v>451</v>
      </c>
      <c r="CI388" s="69">
        <v>84</v>
      </c>
      <c r="CJ388" s="69"/>
      <c r="CK388" s="69"/>
      <c r="CL388" s="69"/>
      <c r="CM388" s="69" t="s">
        <v>660</v>
      </c>
      <c r="CN388" s="69">
        <v>27000</v>
      </c>
      <c r="CO388" s="69" t="s">
        <v>661</v>
      </c>
      <c r="CP388" s="69">
        <v>100</v>
      </c>
      <c r="CQ388" s="69"/>
      <c r="CR388" s="69"/>
      <c r="CS388" s="69" t="s">
        <v>661</v>
      </c>
      <c r="CT388" s="69">
        <v>100</v>
      </c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</row>
    <row r="389" spans="54:108" ht="16.5" x14ac:dyDescent="0.2">
      <c r="BB389" s="69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69">
        <v>385</v>
      </c>
      <c r="CG389" s="69">
        <v>4</v>
      </c>
      <c r="CH389" s="69" t="s">
        <v>451</v>
      </c>
      <c r="CI389" s="69">
        <v>85</v>
      </c>
      <c r="CJ389" s="69"/>
      <c r="CK389" s="69"/>
      <c r="CL389" s="69"/>
      <c r="CM389" s="69" t="s">
        <v>660</v>
      </c>
      <c r="CN389" s="69">
        <v>27000</v>
      </c>
      <c r="CO389" s="69" t="s">
        <v>661</v>
      </c>
      <c r="CP389" s="69">
        <v>100</v>
      </c>
      <c r="CQ389" s="69" t="s">
        <v>496</v>
      </c>
      <c r="CR389" s="69">
        <v>2</v>
      </c>
      <c r="CS389" s="69" t="s">
        <v>661</v>
      </c>
      <c r="CT389" s="69">
        <v>105</v>
      </c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</row>
    <row r="390" spans="54:108" ht="16.5" x14ac:dyDescent="0.2">
      <c r="BB390" s="69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69">
        <v>386</v>
      </c>
      <c r="CG390" s="69">
        <v>4</v>
      </c>
      <c r="CH390" s="69" t="s">
        <v>451</v>
      </c>
      <c r="CI390" s="69">
        <v>86</v>
      </c>
      <c r="CJ390" s="69"/>
      <c r="CK390" s="69"/>
      <c r="CL390" s="69"/>
      <c r="CM390" s="69" t="s">
        <v>660</v>
      </c>
      <c r="CN390" s="69">
        <v>27000</v>
      </c>
      <c r="CO390" s="69" t="s">
        <v>661</v>
      </c>
      <c r="CP390" s="69">
        <v>105</v>
      </c>
      <c r="CQ390" s="69"/>
      <c r="CR390" s="69"/>
      <c r="CS390" s="69" t="s">
        <v>661</v>
      </c>
      <c r="CT390" s="69">
        <v>105</v>
      </c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</row>
    <row r="391" spans="54:108" ht="16.5" x14ac:dyDescent="0.2">
      <c r="BB391" s="69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69">
        <v>387</v>
      </c>
      <c r="CG391" s="69">
        <v>4</v>
      </c>
      <c r="CH391" s="69" t="s">
        <v>451</v>
      </c>
      <c r="CI391" s="69">
        <v>87</v>
      </c>
      <c r="CJ391" s="69"/>
      <c r="CK391" s="69"/>
      <c r="CL391" s="69"/>
      <c r="CM391" s="69" t="s">
        <v>660</v>
      </c>
      <c r="CN391" s="69">
        <v>27000</v>
      </c>
      <c r="CO391" s="69" t="s">
        <v>661</v>
      </c>
      <c r="CP391" s="69">
        <v>105</v>
      </c>
      <c r="CQ391" s="69"/>
      <c r="CR391" s="69"/>
      <c r="CS391" s="69" t="s">
        <v>661</v>
      </c>
      <c r="CT391" s="69">
        <v>105</v>
      </c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</row>
    <row r="392" spans="54:108" ht="16.5" x14ac:dyDescent="0.2">
      <c r="BB392" s="69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69">
        <v>388</v>
      </c>
      <c r="CG392" s="69">
        <v>4</v>
      </c>
      <c r="CH392" s="69" t="s">
        <v>451</v>
      </c>
      <c r="CI392" s="69">
        <v>88</v>
      </c>
      <c r="CJ392" s="69"/>
      <c r="CK392" s="69"/>
      <c r="CL392" s="69"/>
      <c r="CM392" s="69" t="s">
        <v>660</v>
      </c>
      <c r="CN392" s="69">
        <v>27000</v>
      </c>
      <c r="CO392" s="69" t="s">
        <v>661</v>
      </c>
      <c r="CP392" s="69">
        <v>105</v>
      </c>
      <c r="CQ392" s="69"/>
      <c r="CR392" s="69"/>
      <c r="CS392" s="69" t="s">
        <v>661</v>
      </c>
      <c r="CT392" s="69">
        <v>105</v>
      </c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</row>
    <row r="393" spans="54:108" ht="16.5" x14ac:dyDescent="0.2">
      <c r="BB393" s="69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69">
        <v>389</v>
      </c>
      <c r="CG393" s="69">
        <v>4</v>
      </c>
      <c r="CH393" s="69" t="s">
        <v>451</v>
      </c>
      <c r="CI393" s="69">
        <v>89</v>
      </c>
      <c r="CJ393" s="69"/>
      <c r="CK393" s="69"/>
      <c r="CL393" s="69"/>
      <c r="CM393" s="69" t="s">
        <v>660</v>
      </c>
      <c r="CN393" s="69">
        <v>27000</v>
      </c>
      <c r="CO393" s="69" t="s">
        <v>661</v>
      </c>
      <c r="CP393" s="69">
        <v>105</v>
      </c>
      <c r="CQ393" s="69"/>
      <c r="CR393" s="69"/>
      <c r="CS393" s="69" t="s">
        <v>661</v>
      </c>
      <c r="CT393" s="69">
        <v>105</v>
      </c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</row>
    <row r="394" spans="54:108" ht="16.5" x14ac:dyDescent="0.2">
      <c r="BB394" s="69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69">
        <v>390</v>
      </c>
      <c r="CG394" s="69">
        <v>4</v>
      </c>
      <c r="CH394" s="69" t="s">
        <v>451</v>
      </c>
      <c r="CI394" s="69">
        <v>90</v>
      </c>
      <c r="CJ394" s="69"/>
      <c r="CK394" s="69"/>
      <c r="CL394" s="69"/>
      <c r="CM394" s="69" t="s">
        <v>660</v>
      </c>
      <c r="CN394" s="69">
        <v>31500</v>
      </c>
      <c r="CO394" s="69" t="s">
        <v>661</v>
      </c>
      <c r="CP394" s="69">
        <v>105</v>
      </c>
      <c r="CQ394" s="69" t="s">
        <v>497</v>
      </c>
      <c r="CR394" s="69">
        <v>2</v>
      </c>
      <c r="CS394" s="69" t="s">
        <v>661</v>
      </c>
      <c r="CT394" s="69">
        <v>110</v>
      </c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</row>
    <row r="395" spans="54:108" ht="16.5" x14ac:dyDescent="0.2">
      <c r="BB395" s="69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69">
        <v>391</v>
      </c>
      <c r="CG395" s="69">
        <v>4</v>
      </c>
      <c r="CH395" s="69" t="s">
        <v>451</v>
      </c>
      <c r="CI395" s="69">
        <v>91</v>
      </c>
      <c r="CJ395" s="69"/>
      <c r="CK395" s="69"/>
      <c r="CL395" s="69"/>
      <c r="CM395" s="69" t="s">
        <v>660</v>
      </c>
      <c r="CN395" s="69">
        <v>31500</v>
      </c>
      <c r="CO395" s="69" t="s">
        <v>661</v>
      </c>
      <c r="CP395" s="69">
        <v>110</v>
      </c>
      <c r="CQ395" s="69"/>
      <c r="CR395" s="69"/>
      <c r="CS395" s="69" t="s">
        <v>661</v>
      </c>
      <c r="CT395" s="69">
        <v>110</v>
      </c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</row>
    <row r="396" spans="54:108" ht="16.5" x14ac:dyDescent="0.2">
      <c r="BB396" s="69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69">
        <v>392</v>
      </c>
      <c r="CG396" s="69">
        <v>4</v>
      </c>
      <c r="CH396" s="69" t="s">
        <v>451</v>
      </c>
      <c r="CI396" s="69">
        <v>92</v>
      </c>
      <c r="CJ396" s="69"/>
      <c r="CK396" s="69"/>
      <c r="CL396" s="69"/>
      <c r="CM396" s="69" t="s">
        <v>660</v>
      </c>
      <c r="CN396" s="69">
        <v>31500</v>
      </c>
      <c r="CO396" s="69" t="s">
        <v>661</v>
      </c>
      <c r="CP396" s="69">
        <v>110</v>
      </c>
      <c r="CQ396" s="69"/>
      <c r="CR396" s="69"/>
      <c r="CS396" s="69" t="s">
        <v>661</v>
      </c>
      <c r="CT396" s="69">
        <v>110</v>
      </c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</row>
    <row r="397" spans="54:108" ht="16.5" x14ac:dyDescent="0.2">
      <c r="BB397" s="69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69">
        <v>393</v>
      </c>
      <c r="CG397" s="69">
        <v>4</v>
      </c>
      <c r="CH397" s="69" t="s">
        <v>451</v>
      </c>
      <c r="CI397" s="69">
        <v>93</v>
      </c>
      <c r="CJ397" s="69"/>
      <c r="CK397" s="69"/>
      <c r="CL397" s="69"/>
      <c r="CM397" s="69" t="s">
        <v>660</v>
      </c>
      <c r="CN397" s="69">
        <v>31500</v>
      </c>
      <c r="CO397" s="69" t="s">
        <v>661</v>
      </c>
      <c r="CP397" s="69">
        <v>110</v>
      </c>
      <c r="CQ397" s="69"/>
      <c r="CR397" s="69"/>
      <c r="CS397" s="69" t="s">
        <v>661</v>
      </c>
      <c r="CT397" s="69">
        <v>110</v>
      </c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</row>
    <row r="398" spans="54:108" ht="16.5" x14ac:dyDescent="0.2">
      <c r="BB398" s="69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69">
        <v>394</v>
      </c>
      <c r="CG398" s="69">
        <v>4</v>
      </c>
      <c r="CH398" s="69" t="s">
        <v>451</v>
      </c>
      <c r="CI398" s="69">
        <v>94</v>
      </c>
      <c r="CJ398" s="69"/>
      <c r="CK398" s="69"/>
      <c r="CL398" s="69"/>
      <c r="CM398" s="69" t="s">
        <v>660</v>
      </c>
      <c r="CN398" s="69">
        <v>31500</v>
      </c>
      <c r="CO398" s="69" t="s">
        <v>661</v>
      </c>
      <c r="CP398" s="69">
        <v>110</v>
      </c>
      <c r="CQ398" s="69"/>
      <c r="CR398" s="69"/>
      <c r="CS398" s="69" t="s">
        <v>661</v>
      </c>
      <c r="CT398" s="69">
        <v>110</v>
      </c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</row>
    <row r="399" spans="54:108" ht="16.5" x14ac:dyDescent="0.2">
      <c r="BB399" s="69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69">
        <v>395</v>
      </c>
      <c r="CG399" s="69">
        <v>4</v>
      </c>
      <c r="CH399" s="69" t="s">
        <v>451</v>
      </c>
      <c r="CI399" s="69">
        <v>95</v>
      </c>
      <c r="CJ399" s="69"/>
      <c r="CK399" s="69"/>
      <c r="CL399" s="69"/>
      <c r="CM399" s="69" t="s">
        <v>660</v>
      </c>
      <c r="CN399" s="69">
        <v>31500</v>
      </c>
      <c r="CO399" s="69" t="s">
        <v>661</v>
      </c>
      <c r="CP399" s="69">
        <v>110</v>
      </c>
      <c r="CQ399" s="69" t="s">
        <v>492</v>
      </c>
      <c r="CR399" s="69">
        <v>3</v>
      </c>
      <c r="CS399" s="69" t="s">
        <v>661</v>
      </c>
      <c r="CT399" s="69">
        <v>115</v>
      </c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</row>
    <row r="400" spans="54:108" ht="16.5" x14ac:dyDescent="0.2">
      <c r="BB400" s="69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69">
        <v>396</v>
      </c>
      <c r="CG400" s="69">
        <v>4</v>
      </c>
      <c r="CH400" s="69" t="s">
        <v>451</v>
      </c>
      <c r="CI400" s="69">
        <v>96</v>
      </c>
      <c r="CJ400" s="69"/>
      <c r="CK400" s="69"/>
      <c r="CL400" s="69"/>
      <c r="CM400" s="69" t="s">
        <v>660</v>
      </c>
      <c r="CN400" s="69">
        <v>36000</v>
      </c>
      <c r="CO400" s="69" t="s">
        <v>661</v>
      </c>
      <c r="CP400" s="69">
        <v>115</v>
      </c>
      <c r="CQ400" s="69"/>
      <c r="CR400" s="69"/>
      <c r="CS400" s="69" t="s">
        <v>661</v>
      </c>
      <c r="CT400" s="69">
        <v>115</v>
      </c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</row>
    <row r="401" spans="54:108" ht="16.5" x14ac:dyDescent="0.2">
      <c r="BB401" s="69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69">
        <v>397</v>
      </c>
      <c r="CG401" s="69">
        <v>4</v>
      </c>
      <c r="CH401" s="69" t="s">
        <v>451</v>
      </c>
      <c r="CI401" s="69">
        <v>97</v>
      </c>
      <c r="CJ401" s="69"/>
      <c r="CK401" s="69"/>
      <c r="CL401" s="69"/>
      <c r="CM401" s="69" t="s">
        <v>660</v>
      </c>
      <c r="CN401" s="69">
        <v>36000</v>
      </c>
      <c r="CO401" s="69" t="s">
        <v>661</v>
      </c>
      <c r="CP401" s="69">
        <v>115</v>
      </c>
      <c r="CQ401" s="69"/>
      <c r="CR401" s="69"/>
      <c r="CS401" s="69" t="s">
        <v>661</v>
      </c>
      <c r="CT401" s="69">
        <v>115</v>
      </c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</row>
    <row r="402" spans="54:108" ht="16.5" x14ac:dyDescent="0.2">
      <c r="BB402" s="69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69">
        <v>398</v>
      </c>
      <c r="CG402" s="69">
        <v>4</v>
      </c>
      <c r="CH402" s="69" t="s">
        <v>451</v>
      </c>
      <c r="CI402" s="69">
        <v>98</v>
      </c>
      <c r="CJ402" s="69"/>
      <c r="CK402" s="69"/>
      <c r="CL402" s="69"/>
      <c r="CM402" s="69" t="s">
        <v>660</v>
      </c>
      <c r="CN402" s="69">
        <v>36000</v>
      </c>
      <c r="CO402" s="69" t="s">
        <v>661</v>
      </c>
      <c r="CP402" s="69">
        <v>115</v>
      </c>
      <c r="CQ402" s="69"/>
      <c r="CR402" s="69"/>
      <c r="CS402" s="69" t="s">
        <v>661</v>
      </c>
      <c r="CT402" s="69">
        <v>115</v>
      </c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</row>
    <row r="403" spans="54:108" ht="16.5" x14ac:dyDescent="0.2">
      <c r="BB403" s="69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69">
        <v>399</v>
      </c>
      <c r="CG403" s="69">
        <v>4</v>
      </c>
      <c r="CH403" s="69" t="s">
        <v>451</v>
      </c>
      <c r="CI403" s="69">
        <v>99</v>
      </c>
      <c r="CJ403" s="69"/>
      <c r="CK403" s="69"/>
      <c r="CL403" s="69"/>
      <c r="CM403" s="69" t="s">
        <v>660</v>
      </c>
      <c r="CN403" s="69">
        <v>36000</v>
      </c>
      <c r="CO403" s="69" t="s">
        <v>661</v>
      </c>
      <c r="CP403" s="69">
        <v>115</v>
      </c>
      <c r="CQ403" s="69"/>
      <c r="CR403" s="69"/>
      <c r="CS403" s="69" t="s">
        <v>661</v>
      </c>
      <c r="CT403" s="69">
        <v>115</v>
      </c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</row>
    <row r="404" spans="54:108" ht="16.5" x14ac:dyDescent="0.2">
      <c r="BB404" s="69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69">
        <v>400</v>
      </c>
      <c r="CG404" s="69">
        <v>4</v>
      </c>
      <c r="CH404" s="69" t="s">
        <v>451</v>
      </c>
      <c r="CI404" s="69">
        <v>100</v>
      </c>
      <c r="CJ404" s="69"/>
      <c r="CK404" s="69"/>
      <c r="CL404" s="69"/>
      <c r="CM404" s="69" t="s">
        <v>660</v>
      </c>
      <c r="CN404" s="69">
        <v>36000</v>
      </c>
      <c r="CO404" s="69" t="s">
        <v>661</v>
      </c>
      <c r="CP404" s="69">
        <v>115</v>
      </c>
      <c r="CQ404" s="69" t="s">
        <v>496</v>
      </c>
      <c r="CR404" s="69">
        <v>3</v>
      </c>
      <c r="CS404" s="69" t="s">
        <v>661</v>
      </c>
      <c r="CT404" s="69">
        <v>120</v>
      </c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</row>
    <row r="405" spans="54:108" ht="16.5" x14ac:dyDescent="0.2">
      <c r="BB405" s="69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69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69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69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69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69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69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69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69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69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69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69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69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69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69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69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69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69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69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69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69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69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69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69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69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69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69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69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69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69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69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69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69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69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69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69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69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69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69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69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69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69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69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69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69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69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69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69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69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69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69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69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69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69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69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69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69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69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69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69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69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69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69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69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69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69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69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69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69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69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69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69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69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69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69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69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69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69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69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69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69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69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69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69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69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69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69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69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69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69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69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69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69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69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69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69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69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69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69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69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69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K26" sqref="K2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15" t="s">
        <v>379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M3" s="116" t="s">
        <v>380</v>
      </c>
      <c r="N3" s="116"/>
      <c r="O3" s="116"/>
      <c r="P3" s="116"/>
      <c r="Q3" s="116"/>
      <c r="R3" s="116"/>
      <c r="S3" s="16"/>
      <c r="T3" s="16"/>
    </row>
    <row r="4" spans="1:32" ht="17.25" x14ac:dyDescent="0.2">
      <c r="A4" s="12" t="s">
        <v>351</v>
      </c>
      <c r="B4" s="12" t="s">
        <v>356</v>
      </c>
      <c r="C4" s="12" t="s">
        <v>357</v>
      </c>
      <c r="D4" s="12" t="s">
        <v>355</v>
      </c>
      <c r="E4" s="12" t="s">
        <v>352</v>
      </c>
      <c r="F4" s="12" t="s">
        <v>353</v>
      </c>
      <c r="G4" s="12" t="s">
        <v>354</v>
      </c>
      <c r="H4" s="12" t="s">
        <v>359</v>
      </c>
      <c r="I4" s="12" t="s">
        <v>360</v>
      </c>
      <c r="J4" s="12" t="s">
        <v>361</v>
      </c>
      <c r="K4" s="12" t="s">
        <v>362</v>
      </c>
      <c r="M4" s="12" t="s">
        <v>351</v>
      </c>
      <c r="N4" s="12" t="s">
        <v>352</v>
      </c>
      <c r="O4" s="12" t="s">
        <v>359</v>
      </c>
      <c r="P4" s="12" t="s">
        <v>360</v>
      </c>
      <c r="Q4" s="12" t="s">
        <v>361</v>
      </c>
      <c r="R4" s="12" t="s">
        <v>362</v>
      </c>
      <c r="S4" s="16"/>
      <c r="T4" s="16"/>
      <c r="V4" s="12" t="s">
        <v>359</v>
      </c>
      <c r="W4" s="12" t="s">
        <v>360</v>
      </c>
      <c r="X4" s="12" t="s">
        <v>361</v>
      </c>
      <c r="Z4" s="12" t="s">
        <v>381</v>
      </c>
      <c r="AA4" s="12" t="s">
        <v>382</v>
      </c>
      <c r="AB4" s="12" t="s">
        <v>383</v>
      </c>
      <c r="AC4" s="12" t="s">
        <v>384</v>
      </c>
      <c r="AD4" s="12" t="s">
        <v>389</v>
      </c>
      <c r="AE4" s="12" t="s">
        <v>391</v>
      </c>
    </row>
    <row r="5" spans="1:32" ht="16.5" x14ac:dyDescent="0.2">
      <c r="A5" s="44">
        <v>4</v>
      </c>
      <c r="B5" s="15">
        <f>SUM(节奏总表!S4:S7)</f>
        <v>1</v>
      </c>
      <c r="C5" s="15">
        <f>INDEX(节奏总表!$K$4:$K$18,世界BOSS专属武器!A5)</f>
        <v>30</v>
      </c>
      <c r="D5" s="44">
        <v>150</v>
      </c>
      <c r="E5" s="15">
        <f>INDEX(章节关卡!$E$5:$E$20,世界BOSS专属武器!A5)*世界BOSS专属武器!D5</f>
        <v>3000</v>
      </c>
      <c r="F5" s="44" t="s">
        <v>697</v>
      </c>
      <c r="G5" s="44">
        <v>1</v>
      </c>
      <c r="H5" s="44">
        <v>5</v>
      </c>
      <c r="I5" s="44"/>
      <c r="J5" s="44"/>
      <c r="K5" s="44">
        <v>1</v>
      </c>
      <c r="M5" s="44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4">
        <v>5</v>
      </c>
      <c r="B6" s="15">
        <f>SUMIFS(节奏总表!$S$4:$S$18,节奏总表!$I$4:$I$18,"="&amp;世界BOSS专属武器!A6)</f>
        <v>1</v>
      </c>
      <c r="C6" s="15">
        <f>INDEX(节奏总表!$K$4:$K$18,世界BOSS专属武器!A6)</f>
        <v>40</v>
      </c>
      <c r="D6" s="44">
        <v>150</v>
      </c>
      <c r="E6" s="15">
        <f>INDEX(章节关卡!$E$5:$E$20,世界BOSS专属武器!A6)*世界BOSS专属武器!D6</f>
        <v>3750</v>
      </c>
      <c r="F6" s="71" t="s">
        <v>698</v>
      </c>
      <c r="G6" s="44">
        <v>1</v>
      </c>
      <c r="H6" s="44">
        <v>10</v>
      </c>
      <c r="I6" s="44"/>
      <c r="J6" s="44"/>
      <c r="K6" s="44">
        <v>1</v>
      </c>
      <c r="M6" s="44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金币总产!Q24</f>
        <v>95310</v>
      </c>
      <c r="AB6" s="44">
        <v>10</v>
      </c>
      <c r="AC6" s="44">
        <v>3</v>
      </c>
      <c r="AD6" s="15">
        <f>ROUND(AA6/AC6,0)</f>
        <v>31770</v>
      </c>
      <c r="AE6" s="15">
        <f>SUMIFS($AH$27:$AH$76,$M$27:$M$76,"&lt;="&amp;AB6)</f>
        <v>176680</v>
      </c>
      <c r="AF6">
        <f>AD6/AE6</f>
        <v>0.179816617613765</v>
      </c>
    </row>
    <row r="7" spans="1:32" ht="16.5" x14ac:dyDescent="0.2">
      <c r="A7" s="44">
        <v>6</v>
      </c>
      <c r="B7" s="15">
        <f>SUMIFS(节奏总表!$S$4:$S$18,节奏总表!$I$4:$I$18,"="&amp;世界BOSS专属武器!A7)</f>
        <v>1.5</v>
      </c>
      <c r="C7" s="15">
        <f>INDEX(节奏总表!$K$4:$K$18,世界BOSS专属武器!A7)</f>
        <v>50</v>
      </c>
      <c r="D7" s="44">
        <v>150</v>
      </c>
      <c r="E7" s="15">
        <f>INDEX(章节关卡!$E$5:$E$20,世界BOSS专属武器!A7)*世界BOSS专属武器!D7</f>
        <v>4800</v>
      </c>
      <c r="F7" s="71" t="s">
        <v>700</v>
      </c>
      <c r="G7" s="71" t="s">
        <v>701</v>
      </c>
      <c r="H7" s="44">
        <v>15</v>
      </c>
      <c r="I7" s="44"/>
      <c r="J7" s="44"/>
      <c r="K7" s="44">
        <v>1</v>
      </c>
      <c r="M7" s="44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金币总产!Q25</f>
        <v>1131475</v>
      </c>
      <c r="AB7" s="44">
        <v>20</v>
      </c>
      <c r="AC7" s="44">
        <v>4</v>
      </c>
      <c r="AD7" s="15">
        <f t="shared" ref="AD7:AD10" si="3">ROUND(AA7/AC7,0)</f>
        <v>282869</v>
      </c>
      <c r="AE7" s="15">
        <f>SUMIFS($AH$27:$AH$76,$M$27:$M$76,"&lt;="&amp;AB7)</f>
        <v>1146609</v>
      </c>
      <c r="AF7">
        <f t="shared" ref="AF7:AF10" si="4">AD7/AE7</f>
        <v>0.24670048813501377</v>
      </c>
    </row>
    <row r="8" spans="1:32" ht="16.5" x14ac:dyDescent="0.2">
      <c r="A8" s="44">
        <v>7</v>
      </c>
      <c r="B8" s="15">
        <f>SUMIFS(节奏总表!$S$4:$S$18,节奏总表!$I$4:$I$18,"="&amp;世界BOSS专属武器!A8)</f>
        <v>2</v>
      </c>
      <c r="C8" s="15">
        <f>INDEX(节奏总表!$K$4:$K$18,世界BOSS专属武器!A8)</f>
        <v>60</v>
      </c>
      <c r="D8" s="44">
        <v>150</v>
      </c>
      <c r="E8" s="15">
        <f>INDEX(章节关卡!$E$5:$E$20,世界BOSS专属武器!A8)*世界BOSS专属武器!D8</f>
        <v>6000</v>
      </c>
      <c r="F8" s="71" t="s">
        <v>699</v>
      </c>
      <c r="G8" s="71" t="s">
        <v>701</v>
      </c>
      <c r="H8" s="44">
        <v>20</v>
      </c>
      <c r="I8" s="44"/>
      <c r="J8" s="44"/>
      <c r="K8" s="44">
        <v>1</v>
      </c>
      <c r="M8" s="44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金币总产!Q26</f>
        <v>2084350</v>
      </c>
      <c r="AB8" s="44">
        <v>30</v>
      </c>
      <c r="AC8" s="44">
        <v>5</v>
      </c>
      <c r="AD8" s="15">
        <f t="shared" si="3"/>
        <v>416870</v>
      </c>
      <c r="AE8" s="15">
        <f>SUMIFS($AH$27:$AH$76,$M$27:$M$76,"&lt;="&amp;AB8)</f>
        <v>4759103</v>
      </c>
      <c r="AF8">
        <f t="shared" si="4"/>
        <v>8.7594237821707152E-2</v>
      </c>
    </row>
    <row r="9" spans="1:32" ht="16.5" x14ac:dyDescent="0.2">
      <c r="A9" s="44">
        <v>8</v>
      </c>
      <c r="B9" s="15">
        <f>SUMIFS(节奏总表!$S$4:$S$18,节奏总表!$I$4:$I$18,"="&amp;世界BOSS专属武器!A9)</f>
        <v>2.5</v>
      </c>
      <c r="C9" s="15">
        <f>INDEX(节奏总表!$K$4:$K$18,世界BOSS专属武器!A9)</f>
        <v>70</v>
      </c>
      <c r="D9" s="44">
        <v>150</v>
      </c>
      <c r="E9" s="15">
        <f>INDEX(章节关卡!$E$5:$E$20,世界BOSS专属武器!A9)*世界BOSS专属武器!D9</f>
        <v>7500</v>
      </c>
      <c r="F9" s="71" t="s">
        <v>699</v>
      </c>
      <c r="G9" s="71" t="s">
        <v>702</v>
      </c>
      <c r="H9" s="44">
        <v>20</v>
      </c>
      <c r="I9" s="44">
        <v>3</v>
      </c>
      <c r="J9" s="44"/>
      <c r="K9" s="44">
        <v>1</v>
      </c>
      <c r="M9" s="44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金币总产!Q27</f>
        <v>5431775</v>
      </c>
      <c r="AB9" s="44">
        <v>40</v>
      </c>
      <c r="AC9" s="44">
        <v>6</v>
      </c>
      <c r="AD9" s="15">
        <f t="shared" si="3"/>
        <v>905296</v>
      </c>
      <c r="AE9" s="15">
        <f>SUMIFS($AH$27:$AH$76,$M$27:$M$76,"&lt;="&amp;AB9)</f>
        <v>10299103</v>
      </c>
      <c r="AF9">
        <f t="shared" si="4"/>
        <v>8.7900470555542551E-2</v>
      </c>
    </row>
    <row r="10" spans="1:32" ht="33" x14ac:dyDescent="0.2">
      <c r="A10" s="49">
        <v>9</v>
      </c>
      <c r="B10" s="130">
        <f>SUMIFS(节奏总表!$S$4:$S$18,节奏总表!$I$4:$I$18,"="&amp;世界BOSS专属武器!A10)</f>
        <v>3.75</v>
      </c>
      <c r="C10" s="130">
        <f>INDEX(节奏总表!$K$4:$K$18,世界BOSS专属武器!A10)</f>
        <v>80</v>
      </c>
      <c r="D10" s="44">
        <v>150</v>
      </c>
      <c r="E10" s="15">
        <f>INDEX(章节关卡!$E$5:$E$20,世界BOSS专属武器!A10)*世界BOSS专属武器!D10</f>
        <v>9000</v>
      </c>
      <c r="F10" s="71" t="s">
        <v>704</v>
      </c>
      <c r="G10" s="44" t="s">
        <v>703</v>
      </c>
      <c r="H10" s="44">
        <v>20</v>
      </c>
      <c r="I10" s="44">
        <v>5</v>
      </c>
      <c r="J10" s="44"/>
      <c r="K10" s="44">
        <v>1.5</v>
      </c>
      <c r="M10" s="44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金币总产!Q28</f>
        <v>21305375</v>
      </c>
      <c r="AB10" s="44">
        <v>50</v>
      </c>
      <c r="AC10" s="44">
        <v>9</v>
      </c>
      <c r="AD10" s="15">
        <f t="shared" si="3"/>
        <v>2367264</v>
      </c>
      <c r="AE10" s="15">
        <f>SUMIFS($AH$27:$AH$76,$M$27:$M$76,"&lt;="&amp;AB10)</f>
        <v>17799103</v>
      </c>
      <c r="AF10">
        <f t="shared" si="4"/>
        <v>0.13299906180665397</v>
      </c>
    </row>
    <row r="11" spans="1:32" ht="33" x14ac:dyDescent="0.2">
      <c r="A11" s="49">
        <v>9</v>
      </c>
      <c r="B11" s="131"/>
      <c r="C11" s="131"/>
      <c r="D11" s="44">
        <v>150</v>
      </c>
      <c r="E11" s="15">
        <f>INDEX(章节关卡!$E$5:$E$20,世界BOSS专属武器!A11)*世界BOSS专属武器!D11</f>
        <v>9000</v>
      </c>
      <c r="F11" s="71" t="s">
        <v>705</v>
      </c>
      <c r="G11" s="71" t="s">
        <v>703</v>
      </c>
      <c r="H11" s="44">
        <v>20</v>
      </c>
      <c r="I11" s="44">
        <v>5</v>
      </c>
      <c r="J11" s="44"/>
      <c r="K11" s="44">
        <v>1.5</v>
      </c>
      <c r="M11" s="44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49">
        <v>9</v>
      </c>
      <c r="B12" s="132"/>
      <c r="C12" s="132"/>
      <c r="D12" s="44">
        <v>150</v>
      </c>
      <c r="E12" s="15">
        <f>INDEX(章节关卡!$E$5:$E$20,世界BOSS专属武器!A12)*世界BOSS专属武器!D12</f>
        <v>9000</v>
      </c>
      <c r="F12" s="71" t="s">
        <v>705</v>
      </c>
      <c r="G12" s="71" t="s">
        <v>703</v>
      </c>
      <c r="H12" s="44">
        <v>20</v>
      </c>
      <c r="I12" s="44">
        <v>5</v>
      </c>
      <c r="J12" s="44"/>
      <c r="K12" s="44">
        <v>1.5</v>
      </c>
      <c r="M12" s="44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4">
        <v>10</v>
      </c>
      <c r="B13" s="15">
        <f>SUMIFS(节奏总表!$S$4:$S$18,节奏总表!$I$4:$I$18,"="&amp;世界BOSS专属武器!A13)</f>
        <v>6.25</v>
      </c>
      <c r="C13" s="15">
        <f>INDEX(节奏总表!$K$4:$K$18,世界BOSS专属武器!A13)</f>
        <v>90</v>
      </c>
      <c r="D13" s="44">
        <v>150</v>
      </c>
      <c r="E13" s="15">
        <f>INDEX(章节关卡!$E$5:$E$20,世界BOSS专属武器!A13)*世界BOSS专属武器!D13</f>
        <v>10800</v>
      </c>
      <c r="F13" s="71" t="s">
        <v>706</v>
      </c>
      <c r="G13" s="71" t="s">
        <v>703</v>
      </c>
      <c r="H13" s="44">
        <v>20</v>
      </c>
      <c r="I13" s="44">
        <v>7</v>
      </c>
      <c r="J13" s="44"/>
      <c r="K13" s="44">
        <v>1.5</v>
      </c>
      <c r="M13" s="44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49">
        <v>11</v>
      </c>
      <c r="B14" s="130">
        <f>SUMIFS(节奏总表!$S$4:$S$18,节奏总表!$I$4:$I$18,"="&amp;世界BOSS专属武器!A14)</f>
        <v>10</v>
      </c>
      <c r="C14" s="130">
        <f>INDEX(节奏总表!$K$4:$K$18,世界BOSS专属武器!A14)</f>
        <v>100</v>
      </c>
      <c r="D14" s="44">
        <v>150</v>
      </c>
      <c r="E14" s="15">
        <f>INDEX(章节关卡!$E$5:$E$20,世界BOSS专属武器!A14)*世界BOSS专属武器!D14</f>
        <v>13500</v>
      </c>
      <c r="F14" s="71" t="s">
        <v>706</v>
      </c>
      <c r="G14" s="71" t="s">
        <v>707</v>
      </c>
      <c r="H14" s="44">
        <v>20</v>
      </c>
      <c r="I14" s="44">
        <v>10</v>
      </c>
      <c r="J14" s="44"/>
      <c r="K14" s="44">
        <v>2</v>
      </c>
      <c r="M14" s="44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49">
        <v>11</v>
      </c>
      <c r="B15" s="131"/>
      <c r="C15" s="131"/>
      <c r="D15" s="44">
        <v>150</v>
      </c>
      <c r="E15" s="15">
        <f>INDEX(章节关卡!$E$5:$E$20,世界BOSS专属武器!A15)*世界BOSS专属武器!D15</f>
        <v>13500</v>
      </c>
      <c r="F15" s="71" t="s">
        <v>706</v>
      </c>
      <c r="G15" s="71" t="s">
        <v>708</v>
      </c>
      <c r="H15" s="44">
        <v>20</v>
      </c>
      <c r="I15" s="44">
        <v>10</v>
      </c>
      <c r="J15" s="44"/>
      <c r="K15" s="44">
        <v>2</v>
      </c>
      <c r="M15" s="44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49">
        <v>11</v>
      </c>
      <c r="B16" s="132"/>
      <c r="C16" s="132"/>
      <c r="D16" s="44">
        <v>150</v>
      </c>
      <c r="E16" s="15">
        <f>INDEX(章节关卡!$E$5:$E$20,世界BOSS专属武器!A16)*世界BOSS专属武器!D16</f>
        <v>13500</v>
      </c>
      <c r="F16" s="71" t="s">
        <v>706</v>
      </c>
      <c r="G16" s="71" t="s">
        <v>709</v>
      </c>
      <c r="H16" s="44">
        <v>20</v>
      </c>
      <c r="I16" s="44">
        <v>10</v>
      </c>
      <c r="J16" s="44"/>
      <c r="K16" s="44">
        <v>2</v>
      </c>
      <c r="M16" s="44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4">
        <v>12</v>
      </c>
      <c r="B17" s="15">
        <f>SUMIFS(节奏总表!$S$4:$S$18,节奏总表!$I$4:$I$18,"="&amp;世界BOSS专属武器!A17)</f>
        <v>13.75</v>
      </c>
      <c r="C17" s="15">
        <f>INDEX(节奏总表!$K$4:$K$18,世界BOSS专属武器!A17)</f>
        <v>110</v>
      </c>
      <c r="D17" s="44">
        <v>150</v>
      </c>
      <c r="E17" s="15">
        <f>INDEX(章节关卡!$E$5:$E$20,世界BOSS专属武器!A17)*世界BOSS专属武器!D17</f>
        <v>16500</v>
      </c>
      <c r="F17" s="71" t="s">
        <v>706</v>
      </c>
      <c r="G17" s="71" t="s">
        <v>710</v>
      </c>
      <c r="H17" s="44"/>
      <c r="I17" s="44">
        <v>5</v>
      </c>
      <c r="J17" s="44">
        <v>3</v>
      </c>
      <c r="K17" s="44">
        <v>2.5</v>
      </c>
      <c r="S17" s="16"/>
      <c r="T17" s="16"/>
      <c r="AB17" s="16"/>
    </row>
    <row r="18" spans="1:52" ht="16.5" x14ac:dyDescent="0.2">
      <c r="A18" s="44">
        <v>13</v>
      </c>
      <c r="B18" s="15">
        <f>SUMIFS(节奏总表!$S$4:$S$18,节奏总表!$I$4:$I$18,"="&amp;世界BOSS专属武器!A18)</f>
        <v>17.5</v>
      </c>
      <c r="C18" s="15">
        <f>INDEX(节奏总表!$K$4:$K$18,世界BOSS专属武器!A18)</f>
        <v>120</v>
      </c>
      <c r="D18" s="44">
        <v>150</v>
      </c>
      <c r="E18" s="15">
        <f>INDEX(章节关卡!$E$5:$E$20,世界BOSS专属武器!A18)*世界BOSS专属武器!D18</f>
        <v>19500</v>
      </c>
      <c r="F18" s="71" t="s">
        <v>706</v>
      </c>
      <c r="G18" s="71" t="s">
        <v>710</v>
      </c>
      <c r="H18" s="44"/>
      <c r="I18" s="44">
        <v>5</v>
      </c>
      <c r="J18" s="44">
        <v>5</v>
      </c>
      <c r="K18" s="44">
        <v>2.5</v>
      </c>
      <c r="M18" s="43" t="s">
        <v>363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4">
        <v>14</v>
      </c>
      <c r="B19" s="15">
        <f>SUMIFS(节奏总表!$S$4:$S$18,节奏总表!$I$4:$I$18,"="&amp;世界BOSS专属武器!A19)</f>
        <v>25</v>
      </c>
      <c r="C19" s="15">
        <f>INDEX(节奏总表!$K$4:$K$18,世界BOSS专属武器!A19)</f>
        <v>130</v>
      </c>
      <c r="D19" s="44">
        <v>150</v>
      </c>
      <c r="E19" s="15">
        <f>INDEX(章节关卡!$E$5:$E$20,世界BOSS专属武器!A19)*世界BOSS专属武器!D19</f>
        <v>22500</v>
      </c>
      <c r="F19" s="71" t="s">
        <v>706</v>
      </c>
      <c r="G19" s="71" t="s">
        <v>710</v>
      </c>
      <c r="H19" s="44"/>
      <c r="I19" s="44">
        <v>5</v>
      </c>
      <c r="J19" s="44">
        <v>7</v>
      </c>
      <c r="K19" s="44">
        <v>2.5</v>
      </c>
      <c r="M19" s="43" t="s">
        <v>364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4">
        <v>15</v>
      </c>
      <c r="B20" s="15">
        <f>SUMIFS(节奏总表!$S$4:$S$18,节奏总表!$I$4:$I$18,"="&amp;世界BOSS专属武器!A20)</f>
        <v>37.5</v>
      </c>
      <c r="C20" s="15">
        <f>INDEX(节奏总表!$K$4:$K$18,世界BOSS专属武器!A20)</f>
        <v>140</v>
      </c>
      <c r="D20" s="44">
        <v>150</v>
      </c>
      <c r="E20" s="15">
        <f>INDEX(章节关卡!$E$5:$E$20,世界BOSS专属武器!A20)*世界BOSS专属武器!D20</f>
        <v>26250</v>
      </c>
      <c r="F20" s="71" t="s">
        <v>706</v>
      </c>
      <c r="G20" s="71" t="s">
        <v>710</v>
      </c>
      <c r="H20" s="44"/>
      <c r="I20" s="44">
        <v>5</v>
      </c>
      <c r="J20" s="44">
        <v>10</v>
      </c>
      <c r="K20" s="44">
        <v>2.5</v>
      </c>
      <c r="M20" s="43" t="s">
        <v>365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712</v>
      </c>
      <c r="C23" s="12" t="s">
        <v>713</v>
      </c>
      <c r="D23" s="12" t="s">
        <v>714</v>
      </c>
      <c r="E23" s="12" t="s">
        <v>715</v>
      </c>
      <c r="F23" s="12" t="s">
        <v>716</v>
      </c>
      <c r="G23" s="12" t="s">
        <v>717</v>
      </c>
      <c r="H23" s="12" t="s">
        <v>718</v>
      </c>
      <c r="AI23" s="15">
        <f>SUM(AI27:AI76)</f>
        <v>1430.6399006000697</v>
      </c>
    </row>
    <row r="24" spans="1:52" ht="16.5" x14ac:dyDescent="0.2">
      <c r="A24" s="117" t="s">
        <v>711</v>
      </c>
      <c r="B24" s="72" t="s">
        <v>730</v>
      </c>
      <c r="C24" s="72">
        <v>1</v>
      </c>
      <c r="D24" s="72">
        <f>INDEX(神器!$M$4:$M$7,世界BOSS专属武器!C24)</f>
        <v>40</v>
      </c>
      <c r="E24" s="72">
        <f>1/D24</f>
        <v>2.5000000000000001E-2</v>
      </c>
      <c r="F24" s="36">
        <f>INT(E24/E$22*10000)</f>
        <v>1721</v>
      </c>
      <c r="G24" s="72">
        <v>1</v>
      </c>
      <c r="H24" s="72">
        <v>1</v>
      </c>
      <c r="M24" t="s">
        <v>366</v>
      </c>
      <c r="AH24" s="47" t="s">
        <v>392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17"/>
      <c r="B25" s="72" t="s">
        <v>610</v>
      </c>
      <c r="C25" s="72">
        <v>1</v>
      </c>
      <c r="D25" s="72">
        <f>INDEX(神器!$M$4:$M$7,世界BOSS专属武器!C25)</f>
        <v>40</v>
      </c>
      <c r="E25" s="72">
        <f t="shared" ref="E25:E31" si="9">1/D25</f>
        <v>2.5000000000000001E-2</v>
      </c>
      <c r="F25" s="36">
        <f t="shared" ref="F25:F30" si="10">INT(E25/E$22*10000)</f>
        <v>1721</v>
      </c>
      <c r="G25" s="72">
        <v>1</v>
      </c>
      <c r="H25" s="72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0"/>
      <c r="U25" s="50"/>
      <c r="V25" s="50"/>
      <c r="AA25" s="50"/>
      <c r="AB25" s="50"/>
      <c r="AC25" s="50"/>
      <c r="AD25" s="50"/>
      <c r="AE25" s="50"/>
      <c r="AF25" s="50"/>
      <c r="AG25" s="45"/>
      <c r="AH25" s="46" t="s">
        <v>371</v>
      </c>
      <c r="AI25" s="46"/>
      <c r="AJ25" s="46"/>
      <c r="AK25" s="46"/>
    </row>
    <row r="26" spans="1:52" ht="17.25" x14ac:dyDescent="0.2">
      <c r="A26" s="117"/>
      <c r="B26" s="72" t="s">
        <v>611</v>
      </c>
      <c r="C26" s="72">
        <v>2</v>
      </c>
      <c r="D26" s="72">
        <f>INDEX(神器!$M$4:$M$7,世界BOSS专属武器!C26)</f>
        <v>120</v>
      </c>
      <c r="E26" s="72">
        <f t="shared" si="9"/>
        <v>8.3333333333333332E-3</v>
      </c>
      <c r="F26" s="36">
        <f t="shared" si="10"/>
        <v>573</v>
      </c>
      <c r="G26" s="72">
        <v>1</v>
      </c>
      <c r="H26" s="72">
        <v>1</v>
      </c>
      <c r="M26" s="12" t="s">
        <v>367</v>
      </c>
      <c r="N26" s="12" t="s">
        <v>373</v>
      </c>
      <c r="O26" s="12" t="s">
        <v>374</v>
      </c>
      <c r="P26" s="12" t="s">
        <v>375</v>
      </c>
      <c r="Q26" s="12" t="s">
        <v>376</v>
      </c>
      <c r="R26" s="12" t="s">
        <v>377</v>
      </c>
      <c r="S26" s="12" t="s">
        <v>378</v>
      </c>
      <c r="T26" s="12" t="s">
        <v>368</v>
      </c>
      <c r="U26" s="12" t="s">
        <v>372</v>
      </c>
      <c r="V26" s="12" t="s">
        <v>369</v>
      </c>
      <c r="W26" s="12" t="s">
        <v>410</v>
      </c>
      <c r="X26" s="12" t="s">
        <v>411</v>
      </c>
      <c r="Y26" s="12" t="s">
        <v>415</v>
      </c>
      <c r="Z26" s="12" t="s">
        <v>416</v>
      </c>
      <c r="AA26" s="12" t="s">
        <v>359</v>
      </c>
      <c r="AB26" s="12" t="s">
        <v>359</v>
      </c>
      <c r="AC26" s="12" t="s">
        <v>360</v>
      </c>
      <c r="AD26" s="12" t="s">
        <v>360</v>
      </c>
      <c r="AE26" s="12" t="s">
        <v>361</v>
      </c>
      <c r="AF26" s="12" t="s">
        <v>361</v>
      </c>
      <c r="AG26" s="12" t="s">
        <v>370</v>
      </c>
      <c r="AH26" s="12" t="s">
        <v>390</v>
      </c>
      <c r="AI26" s="12" t="s">
        <v>359</v>
      </c>
      <c r="AJ26" s="12" t="s">
        <v>360</v>
      </c>
      <c r="AK26" s="12" t="s">
        <v>361</v>
      </c>
      <c r="AL26" s="12" t="s">
        <v>417</v>
      </c>
      <c r="AN26">
        <f>SUM(AN27:AN76)</f>
        <v>150</v>
      </c>
      <c r="AS26" s="12" t="s">
        <v>418</v>
      </c>
      <c r="AT26" s="12" t="s">
        <v>424</v>
      </c>
      <c r="AU26" s="12" t="s">
        <v>425</v>
      </c>
      <c r="AV26" s="12" t="s">
        <v>419</v>
      </c>
      <c r="AW26" s="12" t="s">
        <v>420</v>
      </c>
      <c r="AX26" s="12" t="s">
        <v>421</v>
      </c>
      <c r="AY26" s="12" t="s">
        <v>422</v>
      </c>
      <c r="AZ26" s="12" t="s">
        <v>423</v>
      </c>
    </row>
    <row r="27" spans="1:52" ht="16.5" x14ac:dyDescent="0.2">
      <c r="A27" s="117"/>
      <c r="B27" s="72" t="s">
        <v>612</v>
      </c>
      <c r="C27" s="72">
        <v>1</v>
      </c>
      <c r="D27" s="72">
        <f>INDEX(神器!$M$4:$M$7,世界BOSS专属武器!C27)</f>
        <v>40</v>
      </c>
      <c r="E27" s="72">
        <f t="shared" si="9"/>
        <v>2.5000000000000001E-2</v>
      </c>
      <c r="F27" s="36">
        <f t="shared" si="10"/>
        <v>1721</v>
      </c>
      <c r="G27" s="72">
        <v>1</v>
      </c>
      <c r="H27" s="72">
        <v>1</v>
      </c>
      <c r="M27" s="44">
        <v>1</v>
      </c>
      <c r="N27" s="44">
        <v>1</v>
      </c>
      <c r="O27" s="44">
        <f>ROUND((N27/N$25)*$O$20,2)</f>
        <v>1.18</v>
      </c>
      <c r="P27" s="44"/>
      <c r="Q27" s="44"/>
      <c r="R27" s="44"/>
      <c r="S27" s="44"/>
      <c r="T27" s="44">
        <v>1</v>
      </c>
      <c r="U27" s="44"/>
      <c r="V27" s="48">
        <v>100</v>
      </c>
      <c r="W27" s="48" t="s">
        <v>412</v>
      </c>
      <c r="X27" s="48"/>
      <c r="Y27" s="48">
        <v>2</v>
      </c>
      <c r="Z27" s="48"/>
      <c r="AA27" s="48">
        <f t="shared" ref="AA27:AA55" si="11">ROUND(O27*T27,1)</f>
        <v>1.2</v>
      </c>
      <c r="AB27" s="48">
        <v>1</v>
      </c>
      <c r="AC27" s="48"/>
      <c r="AD27" s="48"/>
      <c r="AE27" s="48"/>
      <c r="AF27" s="48"/>
      <c r="AG27" s="48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8">
        <v>6.7000000000000002E-3</v>
      </c>
      <c r="AN27">
        <v>1</v>
      </c>
      <c r="AO27">
        <f>SUM(AN$27:AN27)</f>
        <v>1</v>
      </c>
      <c r="AS27" s="51"/>
      <c r="AT27" s="51"/>
      <c r="AU27" s="51"/>
      <c r="AV27" s="51"/>
      <c r="AW27" s="51"/>
      <c r="AX27" s="51"/>
      <c r="AY27" s="51"/>
      <c r="AZ27" s="51"/>
    </row>
    <row r="28" spans="1:52" ht="16.5" x14ac:dyDescent="0.2">
      <c r="A28" s="117"/>
      <c r="B28" s="72" t="s">
        <v>613</v>
      </c>
      <c r="C28" s="72">
        <v>1</v>
      </c>
      <c r="D28" s="72">
        <f>INDEX(神器!$M$4:$M$7,世界BOSS专属武器!C28)</f>
        <v>40</v>
      </c>
      <c r="E28" s="72">
        <f t="shared" si="9"/>
        <v>2.5000000000000001E-2</v>
      </c>
      <c r="F28" s="36">
        <f t="shared" si="10"/>
        <v>1721</v>
      </c>
      <c r="G28" s="72">
        <v>1</v>
      </c>
      <c r="H28" s="72">
        <v>1</v>
      </c>
      <c r="M28" s="44">
        <v>2</v>
      </c>
      <c r="N28" s="44">
        <v>2</v>
      </c>
      <c r="O28" s="44">
        <f t="shared" ref="O28:O55" si="15">ROUND((N28/N$25)*$O$20,2)</f>
        <v>2.36</v>
      </c>
      <c r="P28" s="44"/>
      <c r="Q28" s="44"/>
      <c r="R28" s="44"/>
      <c r="S28" s="44"/>
      <c r="T28" s="44">
        <v>0.5</v>
      </c>
      <c r="U28" s="44"/>
      <c r="V28" s="48">
        <v>200</v>
      </c>
      <c r="W28" s="48" t="s">
        <v>412</v>
      </c>
      <c r="X28" s="48"/>
      <c r="Y28" s="48">
        <v>2</v>
      </c>
      <c r="Z28" s="48"/>
      <c r="AA28" s="48">
        <f t="shared" si="11"/>
        <v>1.2</v>
      </c>
      <c r="AB28" s="48">
        <v>1</v>
      </c>
      <c r="AC28" s="48"/>
      <c r="AD28" s="48"/>
      <c r="AE28" s="48"/>
      <c r="AF28" s="48"/>
      <c r="AG28" s="48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8">
        <v>1.3299999999999999E-2</v>
      </c>
      <c r="AN28">
        <v>1</v>
      </c>
      <c r="AO28">
        <f>SUM(AN$27:AN28)</f>
        <v>2</v>
      </c>
      <c r="AS28" s="51"/>
      <c r="AT28" s="51"/>
      <c r="AU28" s="51"/>
      <c r="AV28" s="51"/>
      <c r="AW28" s="51"/>
      <c r="AX28" s="51"/>
      <c r="AY28" s="51"/>
      <c r="AZ28" s="51"/>
    </row>
    <row r="29" spans="1:52" ht="16.5" x14ac:dyDescent="0.2">
      <c r="A29" s="117"/>
      <c r="B29" s="72" t="s">
        <v>614</v>
      </c>
      <c r="C29" s="72">
        <v>1</v>
      </c>
      <c r="D29" s="72">
        <f>INDEX(神器!$M$4:$M$7,世界BOSS专属武器!C29)</f>
        <v>40</v>
      </c>
      <c r="E29" s="72">
        <f t="shared" si="9"/>
        <v>2.5000000000000001E-2</v>
      </c>
      <c r="F29" s="36">
        <f t="shared" si="10"/>
        <v>1721</v>
      </c>
      <c r="G29" s="72">
        <v>1</v>
      </c>
      <c r="H29" s="72">
        <v>1</v>
      </c>
      <c r="M29" s="44">
        <v>3</v>
      </c>
      <c r="N29" s="44">
        <v>2.5</v>
      </c>
      <c r="O29" s="44">
        <f t="shared" si="15"/>
        <v>2.95</v>
      </c>
      <c r="P29" s="44"/>
      <c r="Q29" s="44"/>
      <c r="R29" s="44"/>
      <c r="S29" s="44"/>
      <c r="T29" s="44">
        <v>0.48</v>
      </c>
      <c r="U29" s="44"/>
      <c r="V29" s="48">
        <v>300</v>
      </c>
      <c r="W29" s="48" t="s">
        <v>412</v>
      </c>
      <c r="X29" s="48"/>
      <c r="Y29" s="48">
        <v>2</v>
      </c>
      <c r="Z29" s="48"/>
      <c r="AA29" s="48">
        <f t="shared" si="11"/>
        <v>1.4</v>
      </c>
      <c r="AB29" s="48">
        <v>2</v>
      </c>
      <c r="AC29" s="48"/>
      <c r="AD29" s="48"/>
      <c r="AE29" s="48"/>
      <c r="AF29" s="48"/>
      <c r="AG29" s="48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8">
        <v>0.02</v>
      </c>
      <c r="AN29">
        <v>1</v>
      </c>
      <c r="AO29">
        <f>SUM(AN$27:AN29)</f>
        <v>3</v>
      </c>
      <c r="AS29" s="51"/>
      <c r="AT29" s="51"/>
      <c r="AU29" s="51"/>
      <c r="AV29" s="51"/>
      <c r="AW29" s="51"/>
      <c r="AX29" s="51"/>
      <c r="AY29" s="51"/>
      <c r="AZ29" s="51"/>
    </row>
    <row r="30" spans="1:52" ht="16.5" x14ac:dyDescent="0.2">
      <c r="A30" s="117"/>
      <c r="B30" s="72" t="s">
        <v>615</v>
      </c>
      <c r="C30" s="72">
        <v>2</v>
      </c>
      <c r="D30" s="72">
        <f>INDEX(神器!$M$4:$M$7,世界BOSS专属武器!C30)</f>
        <v>120</v>
      </c>
      <c r="E30" s="72">
        <f t="shared" si="9"/>
        <v>8.3333333333333332E-3</v>
      </c>
      <c r="F30" s="36">
        <f t="shared" si="10"/>
        <v>573</v>
      </c>
      <c r="G30" s="72">
        <v>1</v>
      </c>
      <c r="H30" s="72">
        <v>1</v>
      </c>
      <c r="M30" s="44">
        <v>4</v>
      </c>
      <c r="N30" s="44">
        <v>3</v>
      </c>
      <c r="O30" s="44">
        <f t="shared" si="15"/>
        <v>3.54</v>
      </c>
      <c r="P30" s="44"/>
      <c r="Q30" s="44"/>
      <c r="R30" s="44"/>
      <c r="S30" s="44"/>
      <c r="T30" s="44">
        <v>0.46</v>
      </c>
      <c r="U30" s="44"/>
      <c r="V30" s="48">
        <v>400</v>
      </c>
      <c r="W30" s="48" t="s">
        <v>412</v>
      </c>
      <c r="X30" s="48"/>
      <c r="Y30" s="48">
        <v>2</v>
      </c>
      <c r="Z30" s="48"/>
      <c r="AA30" s="48">
        <f t="shared" si="11"/>
        <v>1.6</v>
      </c>
      <c r="AB30" s="48">
        <v>3</v>
      </c>
      <c r="AC30" s="48"/>
      <c r="AD30" s="48"/>
      <c r="AE30" s="48"/>
      <c r="AF30" s="48"/>
      <c r="AG30" s="48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8">
        <v>2.6700000000000002E-2</v>
      </c>
      <c r="AN30">
        <v>1</v>
      </c>
      <c r="AO30">
        <f>SUM(AN$27:AN30)</f>
        <v>4</v>
      </c>
      <c r="AS30" s="51"/>
      <c r="AT30" s="51"/>
      <c r="AU30" s="51"/>
      <c r="AV30" s="51"/>
      <c r="AW30" s="51"/>
      <c r="AX30" s="51"/>
      <c r="AY30" s="51"/>
      <c r="AZ30" s="51"/>
    </row>
    <row r="31" spans="1:52" ht="16.5" x14ac:dyDescent="0.2">
      <c r="A31" s="117"/>
      <c r="B31" s="72" t="s">
        <v>616</v>
      </c>
      <c r="C31" s="72">
        <v>3</v>
      </c>
      <c r="D31" s="72">
        <f>INDEX(神器!$M$4:$M$7,世界BOSS专属武器!C31)</f>
        <v>280</v>
      </c>
      <c r="E31" s="72">
        <f t="shared" si="9"/>
        <v>3.5714285714285713E-3</v>
      </c>
      <c r="F31" s="36">
        <f>10000-SUM(F24:F30)</f>
        <v>249</v>
      </c>
      <c r="G31" s="72">
        <v>1</v>
      </c>
      <c r="H31" s="72">
        <v>1</v>
      </c>
      <c r="M31" s="44">
        <v>5</v>
      </c>
      <c r="N31" s="44">
        <v>5</v>
      </c>
      <c r="O31" s="44">
        <f t="shared" si="15"/>
        <v>5.89</v>
      </c>
      <c r="P31" s="44"/>
      <c r="Q31" s="44"/>
      <c r="R31" s="44"/>
      <c r="S31" s="44"/>
      <c r="T31" s="44">
        <v>0.44</v>
      </c>
      <c r="U31" s="44"/>
      <c r="V31" s="48">
        <v>500</v>
      </c>
      <c r="W31" s="48" t="s">
        <v>412</v>
      </c>
      <c r="X31" s="48"/>
      <c r="Y31" s="48">
        <v>2</v>
      </c>
      <c r="Z31" s="48"/>
      <c r="AA31" s="48">
        <f t="shared" si="11"/>
        <v>2.6</v>
      </c>
      <c r="AB31" s="48">
        <v>4</v>
      </c>
      <c r="AC31" s="48"/>
      <c r="AD31" s="48"/>
      <c r="AE31" s="48"/>
      <c r="AF31" s="48"/>
      <c r="AG31" s="48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8">
        <v>3.3300000000000003E-2</v>
      </c>
      <c r="AN31">
        <v>1</v>
      </c>
      <c r="AO31">
        <f>SUM(AN$27:AN31)</f>
        <v>5</v>
      </c>
      <c r="AS31" s="51"/>
      <c r="AT31" s="51"/>
      <c r="AU31" s="51"/>
      <c r="AV31" s="51"/>
      <c r="AW31" s="51"/>
      <c r="AX31" s="51"/>
      <c r="AY31" s="51"/>
      <c r="AZ31" s="51"/>
    </row>
    <row r="32" spans="1:52" ht="16.5" x14ac:dyDescent="0.2">
      <c r="E32" s="16"/>
      <c r="M32" s="44">
        <v>6</v>
      </c>
      <c r="N32" s="44">
        <v>5.5</v>
      </c>
      <c r="O32" s="44">
        <f t="shared" si="15"/>
        <v>6.48</v>
      </c>
      <c r="P32" s="44"/>
      <c r="Q32" s="44"/>
      <c r="R32" s="44"/>
      <c r="S32" s="44"/>
      <c r="T32" s="44">
        <v>0.42</v>
      </c>
      <c r="U32" s="44"/>
      <c r="V32" s="48">
        <v>600</v>
      </c>
      <c r="W32" s="48" t="s">
        <v>412</v>
      </c>
      <c r="X32" s="48"/>
      <c r="Y32" s="48">
        <v>2</v>
      </c>
      <c r="Z32" s="48"/>
      <c r="AA32" s="48">
        <f t="shared" si="11"/>
        <v>2.7</v>
      </c>
      <c r="AB32" s="48">
        <v>5</v>
      </c>
      <c r="AC32" s="48"/>
      <c r="AD32" s="48"/>
      <c r="AE32" s="48"/>
      <c r="AF32" s="48"/>
      <c r="AG32" s="48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8">
        <v>0.04</v>
      </c>
      <c r="AN32">
        <v>1</v>
      </c>
      <c r="AO32">
        <f>SUM(AN$27:AN32)</f>
        <v>6</v>
      </c>
    </row>
    <row r="33" spans="1:41" ht="16.5" customHeight="1" x14ac:dyDescent="0.2">
      <c r="E33" s="57">
        <f>SUM(E34:E59)</f>
        <v>0.29666666666666663</v>
      </c>
      <c r="M33" s="44">
        <v>7</v>
      </c>
      <c r="N33" s="44">
        <v>6</v>
      </c>
      <c r="O33" s="44">
        <f t="shared" si="15"/>
        <v>7.07</v>
      </c>
      <c r="P33" s="44"/>
      <c r="Q33" s="44"/>
      <c r="R33" s="44"/>
      <c r="S33" s="44"/>
      <c r="T33" s="44">
        <v>0.4</v>
      </c>
      <c r="U33" s="44"/>
      <c r="V33" s="48">
        <v>700</v>
      </c>
      <c r="W33" s="48" t="s">
        <v>412</v>
      </c>
      <c r="X33" s="48"/>
      <c r="Y33" s="48">
        <v>2</v>
      </c>
      <c r="Z33" s="48"/>
      <c r="AA33" s="48">
        <f t="shared" si="11"/>
        <v>2.8</v>
      </c>
      <c r="AB33" s="48">
        <v>5</v>
      </c>
      <c r="AC33" s="48"/>
      <c r="AD33" s="48"/>
      <c r="AE33" s="48"/>
      <c r="AF33" s="48"/>
      <c r="AG33" s="48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8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17" t="s">
        <v>719</v>
      </c>
      <c r="B34" s="72" t="s">
        <v>609</v>
      </c>
      <c r="C34" s="72">
        <v>1</v>
      </c>
      <c r="D34" s="72">
        <f>INDEX(神器!$M$4:$M$7,世界BOSS专属武器!C34)</f>
        <v>40</v>
      </c>
      <c r="E34" s="72">
        <f>1/D34</f>
        <v>2.5000000000000001E-2</v>
      </c>
      <c r="F34" s="72">
        <f>ROUND(E34/E$33*10000,0)</f>
        <v>843</v>
      </c>
      <c r="G34" s="72">
        <v>1</v>
      </c>
      <c r="H34" s="72">
        <v>2</v>
      </c>
      <c r="M34" s="44">
        <v>8</v>
      </c>
      <c r="N34" s="44">
        <v>6.5</v>
      </c>
      <c r="O34" s="44">
        <f t="shared" si="15"/>
        <v>7.66</v>
      </c>
      <c r="P34" s="44"/>
      <c r="Q34" s="44"/>
      <c r="R34" s="44"/>
      <c r="S34" s="44"/>
      <c r="T34" s="44">
        <v>0.38</v>
      </c>
      <c r="U34" s="44"/>
      <c r="V34" s="48">
        <v>800</v>
      </c>
      <c r="W34" s="48" t="s">
        <v>412</v>
      </c>
      <c r="X34" s="48"/>
      <c r="Y34" s="48">
        <v>2</v>
      </c>
      <c r="Z34" s="48"/>
      <c r="AA34" s="48">
        <f t="shared" si="11"/>
        <v>2.9</v>
      </c>
      <c r="AB34" s="48">
        <v>5</v>
      </c>
      <c r="AC34" s="48"/>
      <c r="AD34" s="48"/>
      <c r="AE34" s="48"/>
      <c r="AF34" s="48"/>
      <c r="AG34" s="48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8">
        <v>5.33E-2</v>
      </c>
      <c r="AN34">
        <v>1</v>
      </c>
      <c r="AO34">
        <f>SUM(AN$27:AN34)</f>
        <v>8</v>
      </c>
    </row>
    <row r="35" spans="1:41" ht="16.5" x14ac:dyDescent="0.2">
      <c r="A35" s="117"/>
      <c r="B35" s="72" t="s">
        <v>610</v>
      </c>
      <c r="C35" s="72">
        <v>1</v>
      </c>
      <c r="D35" s="72">
        <f>INDEX(神器!$M$4:$M$7,世界BOSS专属武器!C35)</f>
        <v>40</v>
      </c>
      <c r="E35" s="72">
        <f t="shared" ref="E35:E59" si="16">1/D35</f>
        <v>2.5000000000000001E-2</v>
      </c>
      <c r="F35" s="72">
        <f t="shared" ref="F35:F58" si="17">ROUND(E35/E$33*10000,0)</f>
        <v>843</v>
      </c>
      <c r="G35" s="72">
        <v>1</v>
      </c>
      <c r="H35" s="72">
        <v>2</v>
      </c>
      <c r="M35" s="44">
        <v>9</v>
      </c>
      <c r="N35" s="44">
        <v>7</v>
      </c>
      <c r="O35" s="44">
        <f t="shared" si="15"/>
        <v>8.25</v>
      </c>
      <c r="P35" s="44"/>
      <c r="Q35" s="44"/>
      <c r="R35" s="44"/>
      <c r="S35" s="44"/>
      <c r="T35" s="44">
        <v>0.36</v>
      </c>
      <c r="U35" s="44"/>
      <c r="V35" s="48">
        <v>900</v>
      </c>
      <c r="W35" s="48" t="s">
        <v>412</v>
      </c>
      <c r="X35" s="48"/>
      <c r="Y35" s="48">
        <v>2</v>
      </c>
      <c r="Z35" s="48"/>
      <c r="AA35" s="48">
        <f t="shared" si="11"/>
        <v>3</v>
      </c>
      <c r="AB35" s="48">
        <v>5</v>
      </c>
      <c r="AC35" s="48"/>
      <c r="AD35" s="48"/>
      <c r="AE35" s="48"/>
      <c r="AF35" s="48"/>
      <c r="AG35" s="48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8">
        <v>0.06</v>
      </c>
      <c r="AN35">
        <v>1</v>
      </c>
      <c r="AO35">
        <f>SUM(AN$27:AN35)</f>
        <v>9</v>
      </c>
    </row>
    <row r="36" spans="1:41" ht="16.5" x14ac:dyDescent="0.2">
      <c r="A36" s="117"/>
      <c r="B36" s="72" t="s">
        <v>611</v>
      </c>
      <c r="C36" s="72">
        <v>2</v>
      </c>
      <c r="D36" s="72">
        <f>INDEX(神器!$M$4:$M$7,世界BOSS专属武器!C36)</f>
        <v>120</v>
      </c>
      <c r="E36" s="72">
        <f t="shared" si="16"/>
        <v>8.3333333333333332E-3</v>
      </c>
      <c r="F36" s="72">
        <f t="shared" si="17"/>
        <v>281</v>
      </c>
      <c r="G36" s="72">
        <v>1</v>
      </c>
      <c r="H36" s="72">
        <v>2</v>
      </c>
      <c r="M36" s="44">
        <v>10</v>
      </c>
      <c r="N36" s="44">
        <v>15</v>
      </c>
      <c r="O36" s="44">
        <f t="shared" si="15"/>
        <v>17.68</v>
      </c>
      <c r="P36" s="44"/>
      <c r="Q36" s="44"/>
      <c r="R36" s="44"/>
      <c r="S36" s="44"/>
      <c r="T36" s="44">
        <v>0.35</v>
      </c>
      <c r="U36" s="44"/>
      <c r="V36" s="48">
        <v>1000</v>
      </c>
      <c r="W36" s="48" t="s">
        <v>412</v>
      </c>
      <c r="X36" s="48"/>
      <c r="Y36" s="48">
        <v>2</v>
      </c>
      <c r="Z36" s="48"/>
      <c r="AA36" s="48">
        <f t="shared" si="11"/>
        <v>6.2</v>
      </c>
      <c r="AB36" s="48">
        <v>7</v>
      </c>
      <c r="AC36" s="48"/>
      <c r="AD36" s="48"/>
      <c r="AE36" s="48"/>
      <c r="AF36" s="48"/>
      <c r="AG36" s="48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8">
        <v>6.6699999999999995E-2</v>
      </c>
      <c r="AN36">
        <v>1</v>
      </c>
      <c r="AO36">
        <f>SUM(AN$27:AN36)</f>
        <v>10</v>
      </c>
    </row>
    <row r="37" spans="1:41" ht="16.5" x14ac:dyDescent="0.2">
      <c r="A37" s="117"/>
      <c r="B37" s="72" t="s">
        <v>612</v>
      </c>
      <c r="C37" s="72">
        <v>1</v>
      </c>
      <c r="D37" s="72">
        <f>INDEX(神器!$M$4:$M$7,世界BOSS专属武器!C37)</f>
        <v>40</v>
      </c>
      <c r="E37" s="72">
        <f t="shared" si="16"/>
        <v>2.5000000000000001E-2</v>
      </c>
      <c r="F37" s="72">
        <f t="shared" si="17"/>
        <v>843</v>
      </c>
      <c r="G37" s="72">
        <v>1</v>
      </c>
      <c r="H37" s="72">
        <v>2</v>
      </c>
      <c r="M37" s="44">
        <v>11</v>
      </c>
      <c r="N37" s="44">
        <f>N36*1.15</f>
        <v>17.25</v>
      </c>
      <c r="O37" s="44">
        <f t="shared" si="15"/>
        <v>20.329999999999998</v>
      </c>
      <c r="P37" s="44"/>
      <c r="Q37" s="44"/>
      <c r="R37" s="44"/>
      <c r="S37" s="44"/>
      <c r="T37" s="44">
        <v>0.33</v>
      </c>
      <c r="U37" s="44"/>
      <c r="V37" s="48">
        <v>1000</v>
      </c>
      <c r="W37" s="48" t="s">
        <v>412</v>
      </c>
      <c r="X37" s="48"/>
      <c r="Y37" s="48">
        <v>2</v>
      </c>
      <c r="Z37" s="48"/>
      <c r="AA37" s="48">
        <f t="shared" si="11"/>
        <v>6.7</v>
      </c>
      <c r="AB37" s="48">
        <v>7</v>
      </c>
      <c r="AC37" s="48"/>
      <c r="AD37" s="48"/>
      <c r="AE37" s="48"/>
      <c r="AF37" s="48"/>
      <c r="AG37" s="48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8">
        <v>0.08</v>
      </c>
      <c r="AN37">
        <v>2</v>
      </c>
      <c r="AO37">
        <f>SUM(AN$27:AN37)</f>
        <v>12</v>
      </c>
    </row>
    <row r="38" spans="1:41" ht="16.5" x14ac:dyDescent="0.2">
      <c r="A38" s="117"/>
      <c r="B38" s="72" t="s">
        <v>613</v>
      </c>
      <c r="C38" s="72">
        <v>1</v>
      </c>
      <c r="D38" s="72">
        <f>INDEX(神器!$M$4:$M$7,世界BOSS专属武器!C38)</f>
        <v>40</v>
      </c>
      <c r="E38" s="72">
        <f t="shared" si="16"/>
        <v>2.5000000000000001E-2</v>
      </c>
      <c r="F38" s="72">
        <f t="shared" si="17"/>
        <v>843</v>
      </c>
      <c r="G38" s="72">
        <v>1</v>
      </c>
      <c r="H38" s="72">
        <v>2</v>
      </c>
      <c r="M38" s="44">
        <v>12</v>
      </c>
      <c r="N38" s="44">
        <f t="shared" ref="N38:N45" si="18">N37*1.15</f>
        <v>19.837499999999999</v>
      </c>
      <c r="O38" s="44">
        <f t="shared" si="15"/>
        <v>23.38</v>
      </c>
      <c r="P38" s="44"/>
      <c r="Q38" s="44"/>
      <c r="R38" s="44"/>
      <c r="S38" s="44"/>
      <c r="T38" s="44">
        <v>0.31</v>
      </c>
      <c r="U38" s="44"/>
      <c r="V38" s="48">
        <v>1000</v>
      </c>
      <c r="W38" s="48" t="s">
        <v>412</v>
      </c>
      <c r="X38" s="48"/>
      <c r="Y38" s="48">
        <v>2</v>
      </c>
      <c r="Z38" s="48"/>
      <c r="AA38" s="48">
        <f t="shared" si="11"/>
        <v>7.2</v>
      </c>
      <c r="AB38" s="48">
        <v>7</v>
      </c>
      <c r="AC38" s="48"/>
      <c r="AD38" s="48"/>
      <c r="AE38" s="48"/>
      <c r="AF38" s="48"/>
      <c r="AG38" s="48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8">
        <v>9.3299999999999994E-2</v>
      </c>
      <c r="AN38">
        <v>2</v>
      </c>
      <c r="AO38">
        <f>SUM(AN$27:AN38)</f>
        <v>14</v>
      </c>
    </row>
    <row r="39" spans="1:41" ht="16.5" x14ac:dyDescent="0.2">
      <c r="A39" s="117"/>
      <c r="B39" s="72" t="s">
        <v>614</v>
      </c>
      <c r="C39" s="72">
        <v>1</v>
      </c>
      <c r="D39" s="72">
        <f>INDEX(神器!$M$4:$M$7,世界BOSS专属武器!C39)</f>
        <v>40</v>
      </c>
      <c r="E39" s="72">
        <f t="shared" si="16"/>
        <v>2.5000000000000001E-2</v>
      </c>
      <c r="F39" s="72">
        <f t="shared" si="17"/>
        <v>843</v>
      </c>
      <c r="G39" s="72">
        <v>1</v>
      </c>
      <c r="H39" s="72">
        <v>2</v>
      </c>
      <c r="M39" s="44">
        <v>13</v>
      </c>
      <c r="N39" s="44">
        <f t="shared" si="18"/>
        <v>22.813124999999996</v>
      </c>
      <c r="O39" s="44">
        <f t="shared" si="15"/>
        <v>26.88</v>
      </c>
      <c r="P39" s="44"/>
      <c r="Q39" s="44"/>
      <c r="R39" s="44"/>
      <c r="S39" s="44"/>
      <c r="T39" s="44">
        <v>0.28999999999999998</v>
      </c>
      <c r="U39" s="44"/>
      <c r="V39" s="48">
        <v>1000</v>
      </c>
      <c r="W39" s="48" t="s">
        <v>412</v>
      </c>
      <c r="X39" s="48"/>
      <c r="Y39" s="48">
        <v>2</v>
      </c>
      <c r="Z39" s="48"/>
      <c r="AA39" s="48">
        <f t="shared" si="11"/>
        <v>7.8</v>
      </c>
      <c r="AB39" s="48">
        <v>7</v>
      </c>
      <c r="AC39" s="48"/>
      <c r="AD39" s="48"/>
      <c r="AE39" s="48"/>
      <c r="AF39" s="48"/>
      <c r="AG39" s="48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8">
        <v>0.1067</v>
      </c>
      <c r="AN39">
        <v>2</v>
      </c>
      <c r="AO39">
        <f>SUM(AN$27:AN39)</f>
        <v>16</v>
      </c>
    </row>
    <row r="40" spans="1:41" ht="16.5" x14ac:dyDescent="0.2">
      <c r="A40" s="117"/>
      <c r="B40" s="72" t="s">
        <v>615</v>
      </c>
      <c r="C40" s="72">
        <v>2</v>
      </c>
      <c r="D40" s="72">
        <f>INDEX(神器!$M$4:$M$7,世界BOSS专属武器!C40)</f>
        <v>120</v>
      </c>
      <c r="E40" s="72">
        <f t="shared" si="16"/>
        <v>8.3333333333333332E-3</v>
      </c>
      <c r="F40" s="72">
        <f t="shared" si="17"/>
        <v>281</v>
      </c>
      <c r="G40" s="72">
        <v>1</v>
      </c>
      <c r="H40" s="72">
        <v>2</v>
      </c>
      <c r="M40" s="44">
        <v>14</v>
      </c>
      <c r="N40" s="44">
        <f t="shared" si="18"/>
        <v>26.235093749999994</v>
      </c>
      <c r="O40" s="44">
        <f t="shared" si="15"/>
        <v>30.92</v>
      </c>
      <c r="P40" s="44"/>
      <c r="Q40" s="44"/>
      <c r="R40" s="44"/>
      <c r="S40" s="44"/>
      <c r="T40" s="44">
        <v>0.27</v>
      </c>
      <c r="U40" s="44"/>
      <c r="V40" s="48">
        <v>1000</v>
      </c>
      <c r="W40" s="48" t="s">
        <v>412</v>
      </c>
      <c r="X40" s="48"/>
      <c r="Y40" s="48">
        <v>2</v>
      </c>
      <c r="Z40" s="48"/>
      <c r="AA40" s="48">
        <f t="shared" si="11"/>
        <v>8.3000000000000007</v>
      </c>
      <c r="AB40" s="48">
        <v>7</v>
      </c>
      <c r="AC40" s="48"/>
      <c r="AD40" s="48"/>
      <c r="AE40" s="48"/>
      <c r="AF40" s="48"/>
      <c r="AG40" s="48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8">
        <v>0.12</v>
      </c>
      <c r="AN40">
        <v>2</v>
      </c>
      <c r="AO40">
        <f>SUM(AN$27:AN40)</f>
        <v>18</v>
      </c>
    </row>
    <row r="41" spans="1:41" ht="16.5" x14ac:dyDescent="0.2">
      <c r="A41" s="117"/>
      <c r="B41" s="72" t="s">
        <v>616</v>
      </c>
      <c r="C41" s="72">
        <v>3</v>
      </c>
      <c r="D41" s="72">
        <f>INDEX(神器!$M$4:$M$7,世界BOSS专属武器!C41)</f>
        <v>280</v>
      </c>
      <c r="E41" s="72">
        <f t="shared" si="16"/>
        <v>3.5714285714285713E-3</v>
      </c>
      <c r="F41" s="72">
        <f t="shared" si="17"/>
        <v>120</v>
      </c>
      <c r="G41" s="72">
        <v>1</v>
      </c>
      <c r="H41" s="72">
        <v>1</v>
      </c>
      <c r="M41" s="44">
        <v>15</v>
      </c>
      <c r="N41" s="44">
        <f t="shared" si="18"/>
        <v>30.17035781249999</v>
      </c>
      <c r="O41" s="44">
        <f t="shared" si="15"/>
        <v>35.56</v>
      </c>
      <c r="P41" s="44"/>
      <c r="Q41" s="44"/>
      <c r="R41" s="44"/>
      <c r="S41" s="44"/>
      <c r="T41" s="44">
        <v>0.25</v>
      </c>
      <c r="U41" s="44"/>
      <c r="V41" s="48">
        <v>1000</v>
      </c>
      <c r="W41" s="48" t="s">
        <v>412</v>
      </c>
      <c r="X41" s="48"/>
      <c r="Y41" s="48">
        <v>2</v>
      </c>
      <c r="Z41" s="48"/>
      <c r="AA41" s="48">
        <f t="shared" si="11"/>
        <v>8.9</v>
      </c>
      <c r="AB41" s="48">
        <v>10</v>
      </c>
      <c r="AC41" s="48"/>
      <c r="AD41" s="48"/>
      <c r="AE41" s="48"/>
      <c r="AF41" s="48"/>
      <c r="AG41" s="48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8">
        <v>0.1333</v>
      </c>
      <c r="AN41">
        <v>2</v>
      </c>
      <c r="AO41">
        <f>SUM(AN$27:AN41)</f>
        <v>20</v>
      </c>
    </row>
    <row r="42" spans="1:41" ht="16.5" x14ac:dyDescent="0.2">
      <c r="A42" s="117"/>
      <c r="B42" s="72" t="s">
        <v>617</v>
      </c>
      <c r="C42" s="72">
        <v>1</v>
      </c>
      <c r="D42" s="72">
        <f>INDEX(神器!$M$4:$M$7,世界BOSS专属武器!C42)</f>
        <v>40</v>
      </c>
      <c r="E42" s="72">
        <f t="shared" si="16"/>
        <v>2.5000000000000001E-2</v>
      </c>
      <c r="F42" s="72">
        <f t="shared" si="17"/>
        <v>843</v>
      </c>
      <c r="G42" s="72">
        <v>1</v>
      </c>
      <c r="H42" s="72">
        <v>2</v>
      </c>
      <c r="M42" s="44">
        <v>16</v>
      </c>
      <c r="N42" s="44">
        <f t="shared" si="18"/>
        <v>34.695911484374989</v>
      </c>
      <c r="O42" s="44">
        <f t="shared" si="15"/>
        <v>40.89</v>
      </c>
      <c r="P42" s="44"/>
      <c r="Q42" s="44"/>
      <c r="R42" s="44"/>
      <c r="S42" s="44"/>
      <c r="T42" s="44">
        <v>0.23</v>
      </c>
      <c r="U42" s="44"/>
      <c r="V42" s="48">
        <v>1000</v>
      </c>
      <c r="W42" s="48" t="s">
        <v>412</v>
      </c>
      <c r="X42" s="48"/>
      <c r="Y42" s="48">
        <v>2</v>
      </c>
      <c r="Z42" s="48"/>
      <c r="AA42" s="48">
        <f t="shared" si="11"/>
        <v>9.4</v>
      </c>
      <c r="AB42" s="48">
        <v>10</v>
      </c>
      <c r="AC42" s="48"/>
      <c r="AD42" s="48"/>
      <c r="AE42" s="48"/>
      <c r="AF42" s="48"/>
      <c r="AG42" s="48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8">
        <v>0.1467</v>
      </c>
      <c r="AN42">
        <v>2</v>
      </c>
      <c r="AO42">
        <f>SUM(AN$27:AN42)</f>
        <v>22</v>
      </c>
    </row>
    <row r="43" spans="1:41" ht="16.5" x14ac:dyDescent="0.2">
      <c r="A43" s="117"/>
      <c r="B43" s="72" t="s">
        <v>618</v>
      </c>
      <c r="C43" s="72">
        <v>2</v>
      </c>
      <c r="D43" s="72">
        <f>INDEX(神器!$M$4:$M$7,世界BOSS专属武器!C43)</f>
        <v>120</v>
      </c>
      <c r="E43" s="72">
        <f t="shared" si="16"/>
        <v>8.3333333333333332E-3</v>
      </c>
      <c r="F43" s="72">
        <f t="shared" si="17"/>
        <v>281</v>
      </c>
      <c r="G43" s="72">
        <v>1</v>
      </c>
      <c r="H43" s="72">
        <v>2</v>
      </c>
      <c r="M43" s="44">
        <v>17</v>
      </c>
      <c r="N43" s="44">
        <f t="shared" si="18"/>
        <v>39.900298207031234</v>
      </c>
      <c r="O43" s="44">
        <f t="shared" si="15"/>
        <v>47.02</v>
      </c>
      <c r="P43" s="44"/>
      <c r="Q43" s="44"/>
      <c r="R43" s="44"/>
      <c r="S43" s="44"/>
      <c r="T43" s="44">
        <v>0.21</v>
      </c>
      <c r="U43" s="44"/>
      <c r="V43" s="48">
        <v>1000</v>
      </c>
      <c r="W43" s="48" t="s">
        <v>412</v>
      </c>
      <c r="X43" s="48"/>
      <c r="Y43" s="48">
        <v>2</v>
      </c>
      <c r="Z43" s="48"/>
      <c r="AA43" s="48">
        <f t="shared" si="11"/>
        <v>9.9</v>
      </c>
      <c r="AB43" s="48">
        <v>10</v>
      </c>
      <c r="AC43" s="48"/>
      <c r="AD43" s="48"/>
      <c r="AE43" s="48"/>
      <c r="AF43" s="48"/>
      <c r="AG43" s="48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8">
        <v>0.16</v>
      </c>
      <c r="AN43">
        <v>2</v>
      </c>
      <c r="AO43">
        <f>SUM(AN$27:AN43)</f>
        <v>24</v>
      </c>
    </row>
    <row r="44" spans="1:41" ht="16.5" x14ac:dyDescent="0.2">
      <c r="A44" s="117"/>
      <c r="B44" s="72" t="s">
        <v>619</v>
      </c>
      <c r="C44" s="72">
        <v>2</v>
      </c>
      <c r="D44" s="72">
        <f>INDEX(神器!$M$4:$M$7,世界BOSS专属武器!C44)</f>
        <v>120</v>
      </c>
      <c r="E44" s="72">
        <f t="shared" si="16"/>
        <v>8.3333333333333332E-3</v>
      </c>
      <c r="F44" s="72">
        <f t="shared" si="17"/>
        <v>281</v>
      </c>
      <c r="G44" s="72">
        <v>1</v>
      </c>
      <c r="H44" s="72">
        <v>2</v>
      </c>
      <c r="M44" s="44">
        <v>18</v>
      </c>
      <c r="N44" s="44">
        <f t="shared" si="18"/>
        <v>45.885342938085913</v>
      </c>
      <c r="O44" s="44">
        <f t="shared" si="15"/>
        <v>54.08</v>
      </c>
      <c r="P44" s="44"/>
      <c r="Q44" s="44"/>
      <c r="R44" s="44"/>
      <c r="S44" s="44"/>
      <c r="T44" s="44">
        <v>0.19</v>
      </c>
      <c r="U44" s="44"/>
      <c r="V44" s="48">
        <v>1000</v>
      </c>
      <c r="W44" s="48" t="s">
        <v>412</v>
      </c>
      <c r="X44" s="48"/>
      <c r="Y44" s="48">
        <v>2</v>
      </c>
      <c r="Z44" s="48"/>
      <c r="AA44" s="48">
        <f t="shared" si="11"/>
        <v>10.3</v>
      </c>
      <c r="AB44" s="48">
        <v>10</v>
      </c>
      <c r="AC44" s="48"/>
      <c r="AD44" s="48"/>
      <c r="AE44" s="48"/>
      <c r="AF44" s="48"/>
      <c r="AG44" s="48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8">
        <v>0.17330000000000001</v>
      </c>
      <c r="AN44">
        <v>2</v>
      </c>
      <c r="AO44">
        <f>SUM(AN$27:AN44)</f>
        <v>26</v>
      </c>
    </row>
    <row r="45" spans="1:41" ht="16.5" x14ac:dyDescent="0.2">
      <c r="A45" s="117"/>
      <c r="B45" s="72" t="s">
        <v>620</v>
      </c>
      <c r="C45" s="72">
        <v>3</v>
      </c>
      <c r="D45" s="72">
        <f>INDEX(神器!$M$4:$M$7,世界BOSS专属武器!C45)</f>
        <v>280</v>
      </c>
      <c r="E45" s="72">
        <f t="shared" si="16"/>
        <v>3.5714285714285713E-3</v>
      </c>
      <c r="F45" s="72">
        <f t="shared" si="17"/>
        <v>120</v>
      </c>
      <c r="G45" s="72">
        <v>1</v>
      </c>
      <c r="H45" s="72">
        <v>2</v>
      </c>
      <c r="M45" s="44">
        <v>19</v>
      </c>
      <c r="N45" s="44">
        <f t="shared" si="18"/>
        <v>52.768144378798794</v>
      </c>
      <c r="O45" s="44">
        <f t="shared" si="15"/>
        <v>62.19</v>
      </c>
      <c r="P45" s="44"/>
      <c r="Q45" s="44"/>
      <c r="R45" s="44"/>
      <c r="S45" s="44"/>
      <c r="T45" s="44">
        <v>0.17</v>
      </c>
      <c r="U45" s="44"/>
      <c r="V45" s="48">
        <v>1000</v>
      </c>
      <c r="W45" s="48" t="s">
        <v>412</v>
      </c>
      <c r="X45" s="48"/>
      <c r="Y45" s="48">
        <v>2</v>
      </c>
      <c r="Z45" s="48"/>
      <c r="AA45" s="48">
        <f t="shared" si="11"/>
        <v>10.6</v>
      </c>
      <c r="AB45" s="48">
        <v>10</v>
      </c>
      <c r="AC45" s="48"/>
      <c r="AD45" s="48"/>
      <c r="AE45" s="48"/>
      <c r="AF45" s="48"/>
      <c r="AG45" s="48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8">
        <v>0.1867</v>
      </c>
      <c r="AN45">
        <v>2</v>
      </c>
      <c r="AO45">
        <f>SUM(AN$27:AN45)</f>
        <v>28</v>
      </c>
    </row>
    <row r="46" spans="1:41" ht="16.5" x14ac:dyDescent="0.2">
      <c r="A46" s="117"/>
      <c r="B46" s="72" t="s">
        <v>621</v>
      </c>
      <c r="C46" s="72">
        <v>3</v>
      </c>
      <c r="D46" s="72">
        <f>INDEX(神器!$M$4:$M$7,世界BOSS专属武器!C46)</f>
        <v>280</v>
      </c>
      <c r="E46" s="72">
        <f t="shared" si="16"/>
        <v>3.5714285714285713E-3</v>
      </c>
      <c r="F46" s="72">
        <f t="shared" si="17"/>
        <v>120</v>
      </c>
      <c r="G46" s="72">
        <v>1</v>
      </c>
      <c r="H46" s="72">
        <v>2</v>
      </c>
      <c r="M46" s="44">
        <v>20</v>
      </c>
      <c r="N46" s="44">
        <v>85</v>
      </c>
      <c r="O46" s="44">
        <f t="shared" si="15"/>
        <v>100.17</v>
      </c>
      <c r="P46" s="44">
        <v>10</v>
      </c>
      <c r="Q46" s="44">
        <f>ROUND(P46/$P$25*P$20,2)</f>
        <v>48.64</v>
      </c>
      <c r="R46" s="44"/>
      <c r="S46" s="44"/>
      <c r="T46" s="44">
        <v>0.15</v>
      </c>
      <c r="U46" s="44"/>
      <c r="V46" s="48">
        <v>5000</v>
      </c>
      <c r="W46" s="48" t="s">
        <v>412</v>
      </c>
      <c r="X46" s="48" t="s">
        <v>413</v>
      </c>
      <c r="Y46" s="48">
        <v>2</v>
      </c>
      <c r="Z46" s="48">
        <v>4</v>
      </c>
      <c r="AA46" s="48">
        <f t="shared" si="11"/>
        <v>15</v>
      </c>
      <c r="AB46" s="48">
        <v>15</v>
      </c>
      <c r="AC46" s="48">
        <f t="shared" ref="AC46:AC65" si="19">ROUND(Q46*T46,1)</f>
        <v>7.3</v>
      </c>
      <c r="AD46" s="48">
        <v>7</v>
      </c>
      <c r="AE46" s="48"/>
      <c r="AF46" s="48"/>
      <c r="AG46" s="48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8">
        <v>0.2</v>
      </c>
      <c r="AN46">
        <v>2</v>
      </c>
      <c r="AO46">
        <f>SUM(AN$27:AN46)</f>
        <v>30</v>
      </c>
    </row>
    <row r="47" spans="1:41" ht="16.5" x14ac:dyDescent="0.2">
      <c r="A47" s="117"/>
      <c r="B47" s="72" t="s">
        <v>622</v>
      </c>
      <c r="C47" s="72">
        <v>4</v>
      </c>
      <c r="D47" s="72">
        <f>INDEX(神器!$M$4:$M$7,世界BOSS专属武器!C47)</f>
        <v>600</v>
      </c>
      <c r="E47" s="72">
        <f t="shared" si="16"/>
        <v>1.6666666666666668E-3</v>
      </c>
      <c r="F47" s="72">
        <f t="shared" si="17"/>
        <v>56</v>
      </c>
      <c r="G47" s="72">
        <v>1</v>
      </c>
      <c r="H47" s="72">
        <v>1</v>
      </c>
      <c r="M47" s="44">
        <v>21</v>
      </c>
      <c r="N47" s="44">
        <v>85</v>
      </c>
      <c r="O47" s="44">
        <f t="shared" si="15"/>
        <v>100.17</v>
      </c>
      <c r="P47" s="44">
        <v>10</v>
      </c>
      <c r="Q47" s="44">
        <f t="shared" ref="Q47:Q65" si="20">ROUND(P47/$P$25*P$20,2)</f>
        <v>48.64</v>
      </c>
      <c r="R47" s="44"/>
      <c r="S47" s="44"/>
      <c r="T47" s="44">
        <v>0.15</v>
      </c>
      <c r="U47" s="44"/>
      <c r="V47" s="48">
        <v>5000</v>
      </c>
      <c r="W47" s="48" t="s">
        <v>412</v>
      </c>
      <c r="X47" s="48" t="s">
        <v>413</v>
      </c>
      <c r="Y47" s="48">
        <v>2</v>
      </c>
      <c r="Z47" s="48">
        <v>4</v>
      </c>
      <c r="AA47" s="48">
        <f t="shared" si="11"/>
        <v>15</v>
      </c>
      <c r="AB47" s="48">
        <v>15</v>
      </c>
      <c r="AC47" s="48">
        <f t="shared" si="19"/>
        <v>7.3</v>
      </c>
      <c r="AD47" s="48">
        <v>7</v>
      </c>
      <c r="AE47" s="48"/>
      <c r="AF47" s="48"/>
      <c r="AG47" s="48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8">
        <v>0.22</v>
      </c>
      <c r="AN47">
        <v>3</v>
      </c>
      <c r="AO47">
        <f>SUM(AN$27:AN47)</f>
        <v>33</v>
      </c>
    </row>
    <row r="48" spans="1:41" ht="16.5" x14ac:dyDescent="0.2">
      <c r="A48" s="117"/>
      <c r="B48" s="72" t="s">
        <v>623</v>
      </c>
      <c r="C48" s="72">
        <v>1</v>
      </c>
      <c r="D48" s="72">
        <f>INDEX(神器!$M$4:$M$7,世界BOSS专属武器!C48)</f>
        <v>40</v>
      </c>
      <c r="E48" s="72">
        <f t="shared" si="16"/>
        <v>2.5000000000000001E-2</v>
      </c>
      <c r="F48" s="72">
        <f t="shared" si="17"/>
        <v>843</v>
      </c>
      <c r="G48" s="72">
        <v>1</v>
      </c>
      <c r="H48" s="72">
        <v>2</v>
      </c>
      <c r="M48" s="44">
        <v>22</v>
      </c>
      <c r="N48" s="44">
        <v>85</v>
      </c>
      <c r="O48" s="44">
        <f t="shared" si="15"/>
        <v>100.17</v>
      </c>
      <c r="P48" s="44">
        <v>10</v>
      </c>
      <c r="Q48" s="44">
        <f t="shared" si="20"/>
        <v>48.64</v>
      </c>
      <c r="R48" s="44"/>
      <c r="S48" s="44"/>
      <c r="T48" s="44">
        <v>0.15</v>
      </c>
      <c r="U48" s="44"/>
      <c r="V48" s="48">
        <v>5000</v>
      </c>
      <c r="W48" s="48" t="s">
        <v>412</v>
      </c>
      <c r="X48" s="48" t="s">
        <v>413</v>
      </c>
      <c r="Y48" s="48">
        <v>2</v>
      </c>
      <c r="Z48" s="48">
        <v>4</v>
      </c>
      <c r="AA48" s="48">
        <f t="shared" si="11"/>
        <v>15</v>
      </c>
      <c r="AB48" s="48">
        <v>15</v>
      </c>
      <c r="AC48" s="48">
        <f t="shared" si="19"/>
        <v>7.3</v>
      </c>
      <c r="AD48" s="48">
        <v>7</v>
      </c>
      <c r="AE48" s="48"/>
      <c r="AF48" s="48"/>
      <c r="AG48" s="48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8">
        <v>0.24</v>
      </c>
      <c r="AN48">
        <v>3</v>
      </c>
      <c r="AO48">
        <f>SUM(AN$27:AN48)</f>
        <v>36</v>
      </c>
    </row>
    <row r="49" spans="1:41" ht="16.5" x14ac:dyDescent="0.2">
      <c r="A49" s="117"/>
      <c r="B49" s="72" t="s">
        <v>624</v>
      </c>
      <c r="C49" s="72">
        <v>2</v>
      </c>
      <c r="D49" s="72">
        <f>INDEX(神器!$M$4:$M$7,世界BOSS专属武器!C49)</f>
        <v>120</v>
      </c>
      <c r="E49" s="72">
        <f t="shared" si="16"/>
        <v>8.3333333333333332E-3</v>
      </c>
      <c r="F49" s="72">
        <f t="shared" si="17"/>
        <v>281</v>
      </c>
      <c r="G49" s="72">
        <v>1</v>
      </c>
      <c r="H49" s="72">
        <v>2</v>
      </c>
      <c r="M49" s="44">
        <v>23</v>
      </c>
      <c r="N49" s="44">
        <v>85</v>
      </c>
      <c r="O49" s="44">
        <f t="shared" si="15"/>
        <v>100.17</v>
      </c>
      <c r="P49" s="44">
        <v>10</v>
      </c>
      <c r="Q49" s="44">
        <f t="shared" si="20"/>
        <v>48.64</v>
      </c>
      <c r="R49" s="44"/>
      <c r="S49" s="44"/>
      <c r="T49" s="44">
        <v>0.15</v>
      </c>
      <c r="U49" s="44"/>
      <c r="V49" s="48">
        <v>5000</v>
      </c>
      <c r="W49" s="48" t="s">
        <v>412</v>
      </c>
      <c r="X49" s="48" t="s">
        <v>413</v>
      </c>
      <c r="Y49" s="48">
        <v>2</v>
      </c>
      <c r="Z49" s="48">
        <v>4</v>
      </c>
      <c r="AA49" s="48">
        <f t="shared" si="11"/>
        <v>15</v>
      </c>
      <c r="AB49" s="48">
        <v>15</v>
      </c>
      <c r="AC49" s="48">
        <f t="shared" si="19"/>
        <v>7.3</v>
      </c>
      <c r="AD49" s="48">
        <v>7</v>
      </c>
      <c r="AE49" s="48"/>
      <c r="AF49" s="48"/>
      <c r="AG49" s="48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8">
        <v>0.26</v>
      </c>
      <c r="AN49">
        <v>3</v>
      </c>
      <c r="AO49">
        <f>SUM(AN$27:AN49)</f>
        <v>39</v>
      </c>
    </row>
    <row r="50" spans="1:41" ht="16.5" x14ac:dyDescent="0.2">
      <c r="A50" s="117"/>
      <c r="B50" s="72" t="s">
        <v>625</v>
      </c>
      <c r="C50" s="72">
        <v>2</v>
      </c>
      <c r="D50" s="72">
        <f>INDEX(神器!$M$4:$M$7,世界BOSS专属武器!C50)</f>
        <v>120</v>
      </c>
      <c r="E50" s="72">
        <f t="shared" si="16"/>
        <v>8.3333333333333332E-3</v>
      </c>
      <c r="F50" s="72">
        <f t="shared" si="17"/>
        <v>281</v>
      </c>
      <c r="G50" s="72">
        <v>1</v>
      </c>
      <c r="H50" s="72">
        <v>2</v>
      </c>
      <c r="M50" s="44">
        <v>24</v>
      </c>
      <c r="N50" s="44">
        <v>85</v>
      </c>
      <c r="O50" s="44">
        <f t="shared" si="15"/>
        <v>100.17</v>
      </c>
      <c r="P50" s="44">
        <v>10</v>
      </c>
      <c r="Q50" s="44">
        <f t="shared" si="20"/>
        <v>48.64</v>
      </c>
      <c r="R50" s="44"/>
      <c r="S50" s="44"/>
      <c r="T50" s="44">
        <v>0.15</v>
      </c>
      <c r="U50" s="44"/>
      <c r="V50" s="48">
        <v>5000</v>
      </c>
      <c r="W50" s="48" t="s">
        <v>412</v>
      </c>
      <c r="X50" s="48" t="s">
        <v>413</v>
      </c>
      <c r="Y50" s="48">
        <v>2</v>
      </c>
      <c r="Z50" s="48">
        <v>4</v>
      </c>
      <c r="AA50" s="48">
        <f t="shared" si="11"/>
        <v>15</v>
      </c>
      <c r="AB50" s="48">
        <v>15</v>
      </c>
      <c r="AC50" s="48">
        <f t="shared" si="19"/>
        <v>7.3</v>
      </c>
      <c r="AD50" s="48">
        <v>7</v>
      </c>
      <c r="AE50" s="48"/>
      <c r="AF50" s="48"/>
      <c r="AG50" s="48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8">
        <v>0.28000000000000003</v>
      </c>
      <c r="AN50">
        <v>3</v>
      </c>
      <c r="AO50">
        <f>SUM(AN$27:AN50)</f>
        <v>42</v>
      </c>
    </row>
    <row r="51" spans="1:41" ht="16.5" x14ac:dyDescent="0.2">
      <c r="A51" s="117"/>
      <c r="B51" s="72" t="s">
        <v>626</v>
      </c>
      <c r="C51" s="72">
        <v>3</v>
      </c>
      <c r="D51" s="72">
        <f>INDEX(神器!$M$4:$M$7,世界BOSS专属武器!C51)</f>
        <v>280</v>
      </c>
      <c r="E51" s="72">
        <f t="shared" si="16"/>
        <v>3.5714285714285713E-3</v>
      </c>
      <c r="F51" s="72">
        <f t="shared" si="17"/>
        <v>120</v>
      </c>
      <c r="G51" s="72">
        <v>1</v>
      </c>
      <c r="H51" s="72">
        <v>2</v>
      </c>
      <c r="M51" s="44">
        <v>25</v>
      </c>
      <c r="N51" s="44">
        <v>85</v>
      </c>
      <c r="O51" s="44">
        <f t="shared" si="15"/>
        <v>100.17</v>
      </c>
      <c r="P51" s="44">
        <v>10</v>
      </c>
      <c r="Q51" s="44">
        <f t="shared" si="20"/>
        <v>48.64</v>
      </c>
      <c r="R51" s="44"/>
      <c r="S51" s="44"/>
      <c r="T51" s="44">
        <v>0.15</v>
      </c>
      <c r="U51" s="44"/>
      <c r="V51" s="48">
        <v>5000</v>
      </c>
      <c r="W51" s="48" t="s">
        <v>412</v>
      </c>
      <c r="X51" s="48" t="s">
        <v>413</v>
      </c>
      <c r="Y51" s="48">
        <v>2</v>
      </c>
      <c r="Z51" s="48">
        <v>4</v>
      </c>
      <c r="AA51" s="48">
        <f t="shared" si="11"/>
        <v>15</v>
      </c>
      <c r="AB51" s="48">
        <v>15</v>
      </c>
      <c r="AC51" s="48">
        <f t="shared" si="19"/>
        <v>7.3</v>
      </c>
      <c r="AD51" s="48">
        <v>7</v>
      </c>
      <c r="AE51" s="48"/>
      <c r="AF51" s="48"/>
      <c r="AG51" s="48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8">
        <v>0.3</v>
      </c>
      <c r="AN51">
        <v>3</v>
      </c>
      <c r="AO51">
        <f>SUM(AN$27:AN51)</f>
        <v>45</v>
      </c>
    </row>
    <row r="52" spans="1:41" ht="16.5" x14ac:dyDescent="0.2">
      <c r="A52" s="117"/>
      <c r="B52" s="72" t="s">
        <v>627</v>
      </c>
      <c r="C52" s="72">
        <v>3</v>
      </c>
      <c r="D52" s="72">
        <f>INDEX(神器!$M$4:$M$7,世界BOSS专属武器!C52)</f>
        <v>280</v>
      </c>
      <c r="E52" s="72">
        <f t="shared" si="16"/>
        <v>3.5714285714285713E-3</v>
      </c>
      <c r="F52" s="72">
        <f t="shared" si="17"/>
        <v>120</v>
      </c>
      <c r="G52" s="72">
        <v>1</v>
      </c>
      <c r="H52" s="72">
        <v>2</v>
      </c>
      <c r="M52" s="44">
        <v>26</v>
      </c>
      <c r="N52" s="44">
        <v>85</v>
      </c>
      <c r="O52" s="44">
        <f t="shared" si="15"/>
        <v>100.17</v>
      </c>
      <c r="P52" s="44">
        <v>10</v>
      </c>
      <c r="Q52" s="44">
        <f t="shared" si="20"/>
        <v>48.64</v>
      </c>
      <c r="R52" s="44"/>
      <c r="S52" s="44"/>
      <c r="T52" s="44">
        <v>0.15</v>
      </c>
      <c r="U52" s="44"/>
      <c r="V52" s="48">
        <v>5000</v>
      </c>
      <c r="W52" s="48" t="s">
        <v>412</v>
      </c>
      <c r="X52" s="48" t="s">
        <v>413</v>
      </c>
      <c r="Y52" s="48">
        <v>2</v>
      </c>
      <c r="Z52" s="48">
        <v>4</v>
      </c>
      <c r="AA52" s="48">
        <f t="shared" si="11"/>
        <v>15</v>
      </c>
      <c r="AB52" s="48">
        <v>15</v>
      </c>
      <c r="AC52" s="48">
        <f t="shared" si="19"/>
        <v>7.3</v>
      </c>
      <c r="AD52" s="48">
        <v>7</v>
      </c>
      <c r="AE52" s="48"/>
      <c r="AF52" s="48"/>
      <c r="AG52" s="48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8">
        <v>0.32</v>
      </c>
      <c r="AN52">
        <v>3</v>
      </c>
      <c r="AO52">
        <f>SUM(AN$27:AN52)</f>
        <v>48</v>
      </c>
    </row>
    <row r="53" spans="1:41" ht="16.5" x14ac:dyDescent="0.2">
      <c r="A53" s="117"/>
      <c r="B53" s="72" t="s">
        <v>628</v>
      </c>
      <c r="C53" s="72">
        <v>4</v>
      </c>
      <c r="D53" s="72">
        <f>INDEX(神器!$M$4:$M$7,世界BOSS专属武器!C53)</f>
        <v>600</v>
      </c>
      <c r="E53" s="72">
        <f t="shared" si="16"/>
        <v>1.6666666666666668E-3</v>
      </c>
      <c r="F53" s="72">
        <f t="shared" si="17"/>
        <v>56</v>
      </c>
      <c r="G53" s="72">
        <v>1</v>
      </c>
      <c r="H53" s="72">
        <v>1</v>
      </c>
      <c r="M53" s="44">
        <v>27</v>
      </c>
      <c r="N53" s="44">
        <v>85</v>
      </c>
      <c r="O53" s="44">
        <f t="shared" si="15"/>
        <v>100.17</v>
      </c>
      <c r="P53" s="44">
        <v>10</v>
      </c>
      <c r="Q53" s="44">
        <f t="shared" si="20"/>
        <v>48.64</v>
      </c>
      <c r="R53" s="44"/>
      <c r="S53" s="44"/>
      <c r="T53" s="44">
        <v>0.15</v>
      </c>
      <c r="U53" s="44"/>
      <c r="V53" s="48">
        <v>5000</v>
      </c>
      <c r="W53" s="48" t="s">
        <v>412</v>
      </c>
      <c r="X53" s="48" t="s">
        <v>413</v>
      </c>
      <c r="Y53" s="48">
        <v>2</v>
      </c>
      <c r="Z53" s="48">
        <v>4</v>
      </c>
      <c r="AA53" s="48">
        <f t="shared" si="11"/>
        <v>15</v>
      </c>
      <c r="AB53" s="48">
        <v>15</v>
      </c>
      <c r="AC53" s="48">
        <f t="shared" si="19"/>
        <v>7.3</v>
      </c>
      <c r="AD53" s="48">
        <v>7</v>
      </c>
      <c r="AE53" s="48"/>
      <c r="AF53" s="48"/>
      <c r="AG53" s="48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8">
        <v>0.34</v>
      </c>
      <c r="AN53">
        <v>3</v>
      </c>
      <c r="AO53">
        <f>SUM(AN$27:AN53)</f>
        <v>51</v>
      </c>
    </row>
    <row r="54" spans="1:41" ht="16.5" x14ac:dyDescent="0.2">
      <c r="A54" s="117"/>
      <c r="B54" s="72" t="s">
        <v>629</v>
      </c>
      <c r="C54" s="72">
        <v>1</v>
      </c>
      <c r="D54" s="72">
        <f>INDEX(神器!$M$4:$M$7,世界BOSS专属武器!C54)</f>
        <v>40</v>
      </c>
      <c r="E54" s="72">
        <f t="shared" si="16"/>
        <v>2.5000000000000001E-2</v>
      </c>
      <c r="F54" s="72">
        <f t="shared" si="17"/>
        <v>843</v>
      </c>
      <c r="G54" s="72">
        <v>1</v>
      </c>
      <c r="H54" s="72">
        <v>2</v>
      </c>
      <c r="M54" s="44">
        <v>28</v>
      </c>
      <c r="N54" s="44">
        <v>85</v>
      </c>
      <c r="O54" s="44">
        <f t="shared" si="15"/>
        <v>100.17</v>
      </c>
      <c r="P54" s="44">
        <v>10</v>
      </c>
      <c r="Q54" s="44">
        <f t="shared" si="20"/>
        <v>48.64</v>
      </c>
      <c r="R54" s="44"/>
      <c r="S54" s="44"/>
      <c r="T54" s="44">
        <v>0.15</v>
      </c>
      <c r="U54" s="44"/>
      <c r="V54" s="48">
        <v>5000</v>
      </c>
      <c r="W54" s="48" t="s">
        <v>412</v>
      </c>
      <c r="X54" s="48" t="s">
        <v>413</v>
      </c>
      <c r="Y54" s="48">
        <v>2</v>
      </c>
      <c r="Z54" s="48">
        <v>4</v>
      </c>
      <c r="AA54" s="48">
        <f t="shared" si="11"/>
        <v>15</v>
      </c>
      <c r="AB54" s="48">
        <v>15</v>
      </c>
      <c r="AC54" s="48">
        <f t="shared" si="19"/>
        <v>7.3</v>
      </c>
      <c r="AD54" s="48">
        <v>7</v>
      </c>
      <c r="AE54" s="48"/>
      <c r="AF54" s="48"/>
      <c r="AG54" s="48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8">
        <v>0.36</v>
      </c>
      <c r="AN54">
        <v>3</v>
      </c>
      <c r="AO54">
        <f>SUM(AN$27:AN54)</f>
        <v>54</v>
      </c>
    </row>
    <row r="55" spans="1:41" ht="16.5" x14ac:dyDescent="0.2">
      <c r="A55" s="117"/>
      <c r="B55" s="72" t="s">
        <v>630</v>
      </c>
      <c r="C55" s="72">
        <v>2</v>
      </c>
      <c r="D55" s="72">
        <f>INDEX(神器!$M$4:$M$7,世界BOSS专属武器!C55)</f>
        <v>120</v>
      </c>
      <c r="E55" s="72">
        <f t="shared" si="16"/>
        <v>8.3333333333333332E-3</v>
      </c>
      <c r="F55" s="72">
        <f t="shared" si="17"/>
        <v>281</v>
      </c>
      <c r="G55" s="72">
        <v>1</v>
      </c>
      <c r="H55" s="72">
        <v>2</v>
      </c>
      <c r="M55" s="44">
        <v>29</v>
      </c>
      <c r="N55" s="44">
        <v>85</v>
      </c>
      <c r="O55" s="44">
        <f t="shared" si="15"/>
        <v>100.17</v>
      </c>
      <c r="P55" s="44">
        <v>10</v>
      </c>
      <c r="Q55" s="44">
        <f t="shared" si="20"/>
        <v>48.64</v>
      </c>
      <c r="R55" s="44"/>
      <c r="S55" s="44"/>
      <c r="T55" s="44">
        <v>0.15</v>
      </c>
      <c r="U55" s="44"/>
      <c r="V55" s="48">
        <v>5000</v>
      </c>
      <c r="W55" s="48" t="s">
        <v>412</v>
      </c>
      <c r="X55" s="48" t="s">
        <v>413</v>
      </c>
      <c r="Y55" s="48">
        <v>2</v>
      </c>
      <c r="Z55" s="48">
        <v>4</v>
      </c>
      <c r="AA55" s="48">
        <f t="shared" si="11"/>
        <v>15</v>
      </c>
      <c r="AB55" s="48">
        <v>15</v>
      </c>
      <c r="AC55" s="48">
        <f t="shared" si="19"/>
        <v>7.3</v>
      </c>
      <c r="AD55" s="48">
        <v>7</v>
      </c>
      <c r="AE55" s="48"/>
      <c r="AF55" s="48"/>
      <c r="AG55" s="48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8">
        <v>0.38</v>
      </c>
      <c r="AN55">
        <v>3</v>
      </c>
      <c r="AO55">
        <f>SUM(AN$27:AN55)</f>
        <v>57</v>
      </c>
    </row>
    <row r="56" spans="1:41" ht="16.5" x14ac:dyDescent="0.2">
      <c r="A56" s="117"/>
      <c r="B56" s="72" t="s">
        <v>631</v>
      </c>
      <c r="C56" s="72">
        <v>2</v>
      </c>
      <c r="D56" s="72">
        <f>INDEX(神器!$M$4:$M$7,世界BOSS专属武器!C56)</f>
        <v>120</v>
      </c>
      <c r="E56" s="72">
        <f t="shared" si="16"/>
        <v>8.3333333333333332E-3</v>
      </c>
      <c r="F56" s="72">
        <f t="shared" si="17"/>
        <v>281</v>
      </c>
      <c r="G56" s="72">
        <v>1</v>
      </c>
      <c r="H56" s="72">
        <v>2</v>
      </c>
      <c r="M56" s="44">
        <v>30</v>
      </c>
      <c r="N56" s="44"/>
      <c r="O56" s="44"/>
      <c r="P56" s="44">
        <v>15</v>
      </c>
      <c r="Q56" s="44">
        <f t="shared" si="20"/>
        <v>72.959999999999994</v>
      </c>
      <c r="R56" s="44">
        <v>10</v>
      </c>
      <c r="S56" s="44">
        <f>ROUND(R56/R$25*Q$20,2)</f>
        <v>32.67</v>
      </c>
      <c r="T56" s="44">
        <v>0.1</v>
      </c>
      <c r="U56" s="44"/>
      <c r="V56" s="48">
        <v>10000</v>
      </c>
      <c r="W56" s="48" t="s">
        <v>413</v>
      </c>
      <c r="X56" s="48" t="s">
        <v>414</v>
      </c>
      <c r="Y56" s="48">
        <v>4</v>
      </c>
      <c r="Z56" s="48">
        <v>6</v>
      </c>
      <c r="AA56" s="48"/>
      <c r="AB56" s="48"/>
      <c r="AC56" s="48">
        <f t="shared" si="19"/>
        <v>7.3</v>
      </c>
      <c r="AD56" s="48">
        <v>8</v>
      </c>
      <c r="AE56" s="48">
        <f t="shared" ref="AE56:AE76" si="21">ROUND(S56*T56,1)</f>
        <v>3.3</v>
      </c>
      <c r="AF56" s="48">
        <v>3</v>
      </c>
      <c r="AG56" s="48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8">
        <v>0.4</v>
      </c>
      <c r="AN56">
        <v>3</v>
      </c>
      <c r="AO56">
        <f>SUM(AN$27:AN56)</f>
        <v>60</v>
      </c>
    </row>
    <row r="57" spans="1:41" ht="16.5" x14ac:dyDescent="0.2">
      <c r="A57" s="117"/>
      <c r="B57" s="72" t="s">
        <v>632</v>
      </c>
      <c r="C57" s="72">
        <v>3</v>
      </c>
      <c r="D57" s="72">
        <f>INDEX(神器!$M$4:$M$7,世界BOSS专属武器!C57)</f>
        <v>280</v>
      </c>
      <c r="E57" s="72">
        <f t="shared" si="16"/>
        <v>3.5714285714285713E-3</v>
      </c>
      <c r="F57" s="72">
        <f t="shared" si="17"/>
        <v>120</v>
      </c>
      <c r="G57" s="72">
        <v>1</v>
      </c>
      <c r="H57" s="72">
        <v>2</v>
      </c>
      <c r="M57" s="44">
        <v>31</v>
      </c>
      <c r="N57" s="44"/>
      <c r="O57" s="44"/>
      <c r="P57" s="44">
        <v>15</v>
      </c>
      <c r="Q57" s="44">
        <f t="shared" si="20"/>
        <v>72.959999999999994</v>
      </c>
      <c r="R57" s="44">
        <v>10</v>
      </c>
      <c r="S57" s="44">
        <f t="shared" ref="S57:S76" si="22">ROUND(R57/R$25*Q$20,2)</f>
        <v>32.67</v>
      </c>
      <c r="T57" s="44">
        <v>0.1</v>
      </c>
      <c r="U57" s="44"/>
      <c r="V57" s="48">
        <v>10000</v>
      </c>
      <c r="W57" s="48" t="s">
        <v>413</v>
      </c>
      <c r="X57" s="48" t="s">
        <v>414</v>
      </c>
      <c r="Y57" s="48">
        <v>4</v>
      </c>
      <c r="Z57" s="48">
        <v>6</v>
      </c>
      <c r="AA57" s="48"/>
      <c r="AB57" s="48"/>
      <c r="AC57" s="48">
        <f t="shared" si="19"/>
        <v>7.3</v>
      </c>
      <c r="AD57" s="48">
        <v>8</v>
      </c>
      <c r="AE57" s="48">
        <f t="shared" si="21"/>
        <v>3.3</v>
      </c>
      <c r="AF57" s="48">
        <v>3</v>
      </c>
      <c r="AG57" s="48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8">
        <v>0.42670000000000002</v>
      </c>
      <c r="AN57">
        <v>4</v>
      </c>
      <c r="AO57">
        <f>SUM(AN$27:AN57)</f>
        <v>64</v>
      </c>
    </row>
    <row r="58" spans="1:41" ht="16.5" x14ac:dyDescent="0.2">
      <c r="A58" s="117"/>
      <c r="B58" s="72" t="s">
        <v>633</v>
      </c>
      <c r="C58" s="72">
        <v>3</v>
      </c>
      <c r="D58" s="72">
        <f>INDEX(神器!$M$4:$M$7,世界BOSS专属武器!C58)</f>
        <v>280</v>
      </c>
      <c r="E58" s="72">
        <f t="shared" si="16"/>
        <v>3.5714285714285713E-3</v>
      </c>
      <c r="F58" s="72">
        <f t="shared" si="17"/>
        <v>120</v>
      </c>
      <c r="G58" s="72">
        <v>1</v>
      </c>
      <c r="H58" s="72">
        <v>2</v>
      </c>
      <c r="M58" s="44">
        <v>32</v>
      </c>
      <c r="N58" s="44"/>
      <c r="O58" s="44"/>
      <c r="P58" s="44">
        <v>15</v>
      </c>
      <c r="Q58" s="44">
        <f t="shared" si="20"/>
        <v>72.959999999999994</v>
      </c>
      <c r="R58" s="44">
        <v>10</v>
      </c>
      <c r="S58" s="44">
        <f t="shared" si="22"/>
        <v>32.67</v>
      </c>
      <c r="T58" s="44">
        <v>0.1</v>
      </c>
      <c r="U58" s="44"/>
      <c r="V58" s="48">
        <v>10000</v>
      </c>
      <c r="W58" s="48" t="s">
        <v>413</v>
      </c>
      <c r="X58" s="48" t="s">
        <v>414</v>
      </c>
      <c r="Y58" s="48">
        <v>4</v>
      </c>
      <c r="Z58" s="48">
        <v>6</v>
      </c>
      <c r="AA58" s="48"/>
      <c r="AB58" s="48"/>
      <c r="AC58" s="48">
        <f t="shared" si="19"/>
        <v>7.3</v>
      </c>
      <c r="AD58" s="48">
        <v>8</v>
      </c>
      <c r="AE58" s="48">
        <f t="shared" si="21"/>
        <v>3.3</v>
      </c>
      <c r="AF58" s="48">
        <v>3</v>
      </c>
      <c r="AG58" s="48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8">
        <v>0.45329999999999998</v>
      </c>
      <c r="AN58">
        <v>4</v>
      </c>
      <c r="AO58">
        <f>SUM(AN$27:AN58)</f>
        <v>68</v>
      </c>
    </row>
    <row r="59" spans="1:41" ht="16.5" x14ac:dyDescent="0.2">
      <c r="A59" s="117"/>
      <c r="B59" s="72" t="s">
        <v>634</v>
      </c>
      <c r="C59" s="72">
        <v>4</v>
      </c>
      <c r="D59" s="72">
        <f>INDEX(神器!$M$4:$M$7,世界BOSS专属武器!C59)</f>
        <v>600</v>
      </c>
      <c r="E59" s="72">
        <f t="shared" si="16"/>
        <v>1.6666666666666668E-3</v>
      </c>
      <c r="F59" s="72">
        <f>10000-SUM(F34:F58)</f>
        <v>56</v>
      </c>
      <c r="G59" s="72">
        <v>1</v>
      </c>
      <c r="H59" s="72">
        <v>1</v>
      </c>
      <c r="M59" s="44">
        <v>33</v>
      </c>
      <c r="N59" s="44"/>
      <c r="O59" s="44"/>
      <c r="P59" s="44">
        <v>15</v>
      </c>
      <c r="Q59" s="44">
        <f t="shared" si="20"/>
        <v>72.959999999999994</v>
      </c>
      <c r="R59" s="44">
        <v>10</v>
      </c>
      <c r="S59" s="44">
        <f t="shared" si="22"/>
        <v>32.67</v>
      </c>
      <c r="T59" s="44">
        <v>0.1</v>
      </c>
      <c r="U59" s="44"/>
      <c r="V59" s="48">
        <v>10000</v>
      </c>
      <c r="W59" s="48" t="s">
        <v>413</v>
      </c>
      <c r="X59" s="48" t="s">
        <v>414</v>
      </c>
      <c r="Y59" s="48">
        <v>4</v>
      </c>
      <c r="Z59" s="48">
        <v>6</v>
      </c>
      <c r="AA59" s="48"/>
      <c r="AB59" s="48"/>
      <c r="AC59" s="48">
        <f t="shared" si="19"/>
        <v>7.3</v>
      </c>
      <c r="AD59" s="48">
        <v>8</v>
      </c>
      <c r="AE59" s="48">
        <f t="shared" si="21"/>
        <v>3.3</v>
      </c>
      <c r="AF59" s="48">
        <v>3</v>
      </c>
      <c r="AG59" s="48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8">
        <v>0.48</v>
      </c>
      <c r="AN59">
        <v>4</v>
      </c>
      <c r="AO59">
        <f>SUM(AN$27:AN59)</f>
        <v>72</v>
      </c>
    </row>
    <row r="60" spans="1:41" ht="16.5" x14ac:dyDescent="0.2">
      <c r="M60" s="44">
        <v>34</v>
      </c>
      <c r="N60" s="44"/>
      <c r="O60" s="44"/>
      <c r="P60" s="44">
        <v>15</v>
      </c>
      <c r="Q60" s="44">
        <f t="shared" si="20"/>
        <v>72.959999999999994</v>
      </c>
      <c r="R60" s="44">
        <v>10</v>
      </c>
      <c r="S60" s="44">
        <f t="shared" si="22"/>
        <v>32.67</v>
      </c>
      <c r="T60" s="44">
        <v>0.1</v>
      </c>
      <c r="U60" s="44"/>
      <c r="V60" s="48">
        <v>10000</v>
      </c>
      <c r="W60" s="48" t="s">
        <v>413</v>
      </c>
      <c r="X60" s="48" t="s">
        <v>414</v>
      </c>
      <c r="Y60" s="48">
        <v>4</v>
      </c>
      <c r="Z60" s="48">
        <v>6</v>
      </c>
      <c r="AA60" s="48"/>
      <c r="AB60" s="48"/>
      <c r="AC60" s="48">
        <f t="shared" si="19"/>
        <v>7.3</v>
      </c>
      <c r="AD60" s="48">
        <v>8</v>
      </c>
      <c r="AE60" s="48">
        <f t="shared" si="21"/>
        <v>3.3</v>
      </c>
      <c r="AF60" s="48">
        <v>3</v>
      </c>
      <c r="AG60" s="48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8">
        <v>0.50670000000000004</v>
      </c>
      <c r="AN60">
        <v>4</v>
      </c>
      <c r="AO60">
        <f>SUM(AN$27:AN60)</f>
        <v>76</v>
      </c>
    </row>
    <row r="61" spans="1:41" ht="16.5" x14ac:dyDescent="0.2">
      <c r="E61" s="57">
        <f>SUM(E62:E103)</f>
        <v>0.33571428571428563</v>
      </c>
      <c r="M61" s="44">
        <v>35</v>
      </c>
      <c r="N61" s="44"/>
      <c r="O61" s="44"/>
      <c r="P61" s="44">
        <v>15</v>
      </c>
      <c r="Q61" s="44">
        <f t="shared" si="20"/>
        <v>72.959999999999994</v>
      </c>
      <c r="R61" s="44">
        <v>10</v>
      </c>
      <c r="S61" s="44">
        <f t="shared" si="22"/>
        <v>32.67</v>
      </c>
      <c r="T61" s="44">
        <v>0.1</v>
      </c>
      <c r="U61" s="44"/>
      <c r="V61" s="48">
        <v>10000</v>
      </c>
      <c r="W61" s="48" t="s">
        <v>413</v>
      </c>
      <c r="X61" s="48" t="s">
        <v>414</v>
      </c>
      <c r="Y61" s="48">
        <v>4</v>
      </c>
      <c r="Z61" s="48">
        <v>6</v>
      </c>
      <c r="AA61" s="48"/>
      <c r="AB61" s="48"/>
      <c r="AC61" s="48">
        <f t="shared" si="19"/>
        <v>7.3</v>
      </c>
      <c r="AD61" s="48">
        <v>8</v>
      </c>
      <c r="AE61" s="48">
        <f t="shared" si="21"/>
        <v>3.3</v>
      </c>
      <c r="AF61" s="48">
        <v>3</v>
      </c>
      <c r="AG61" s="48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8">
        <v>0.5333</v>
      </c>
      <c r="AN61">
        <v>4</v>
      </c>
      <c r="AO61">
        <f>SUM(AN$27:AN61)</f>
        <v>80</v>
      </c>
    </row>
    <row r="62" spans="1:41" ht="16.5" x14ac:dyDescent="0.2">
      <c r="A62" s="133" t="s">
        <v>720</v>
      </c>
      <c r="B62" s="72" t="s">
        <v>609</v>
      </c>
      <c r="C62" s="72">
        <v>1</v>
      </c>
      <c r="D62" s="72">
        <f>INDEX(神器!$M$4:$M$7,世界BOSS专属武器!C62)</f>
        <v>40</v>
      </c>
      <c r="E62" s="72">
        <f>1/D62</f>
        <v>2.5000000000000001E-2</v>
      </c>
      <c r="F62" s="72">
        <f>ROUND(E62/E$61*10000,0)</f>
        <v>745</v>
      </c>
      <c r="G62" s="72">
        <v>2</v>
      </c>
      <c r="H62" s="72">
        <v>4</v>
      </c>
      <c r="M62" s="44">
        <v>36</v>
      </c>
      <c r="N62" s="44"/>
      <c r="O62" s="44"/>
      <c r="P62" s="44">
        <v>15</v>
      </c>
      <c r="Q62" s="44">
        <f t="shared" si="20"/>
        <v>72.959999999999994</v>
      </c>
      <c r="R62" s="44">
        <v>10</v>
      </c>
      <c r="S62" s="44">
        <f t="shared" si="22"/>
        <v>32.67</v>
      </c>
      <c r="T62" s="44">
        <v>0.1</v>
      </c>
      <c r="U62" s="44"/>
      <c r="V62" s="48">
        <v>10000</v>
      </c>
      <c r="W62" s="48" t="s">
        <v>413</v>
      </c>
      <c r="X62" s="48" t="s">
        <v>414</v>
      </c>
      <c r="Y62" s="48">
        <v>4</v>
      </c>
      <c r="Z62" s="48">
        <v>6</v>
      </c>
      <c r="AA62" s="48"/>
      <c r="AB62" s="48"/>
      <c r="AC62" s="48">
        <f t="shared" si="19"/>
        <v>7.3</v>
      </c>
      <c r="AD62" s="48">
        <v>8</v>
      </c>
      <c r="AE62" s="48">
        <f t="shared" si="21"/>
        <v>3.3</v>
      </c>
      <c r="AF62" s="48">
        <v>3</v>
      </c>
      <c r="AG62" s="48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8">
        <v>0.56000000000000005</v>
      </c>
      <c r="AN62">
        <v>4</v>
      </c>
      <c r="AO62">
        <f>SUM(AN$27:AN62)</f>
        <v>84</v>
      </c>
    </row>
    <row r="63" spans="1:41" ht="16.5" x14ac:dyDescent="0.2">
      <c r="A63" s="133"/>
      <c r="B63" s="72" t="s">
        <v>610</v>
      </c>
      <c r="C63" s="72">
        <v>1</v>
      </c>
      <c r="D63" s="72">
        <f>INDEX(神器!$M$4:$M$7,世界BOSS专属武器!C63)</f>
        <v>40</v>
      </c>
      <c r="E63" s="72">
        <f t="shared" ref="E63:E87" si="26">1/D63</f>
        <v>2.5000000000000001E-2</v>
      </c>
      <c r="F63" s="72">
        <f t="shared" ref="F63:F102" si="27">ROUND(E63/E$61*10000,0)</f>
        <v>745</v>
      </c>
      <c r="G63" s="73">
        <v>2</v>
      </c>
      <c r="H63" s="73">
        <v>4</v>
      </c>
      <c r="M63" s="44">
        <v>37</v>
      </c>
      <c r="N63" s="44"/>
      <c r="O63" s="44"/>
      <c r="P63" s="44">
        <v>15</v>
      </c>
      <c r="Q63" s="44">
        <f t="shared" si="20"/>
        <v>72.959999999999994</v>
      </c>
      <c r="R63" s="44">
        <v>10</v>
      </c>
      <c r="S63" s="44">
        <f t="shared" si="22"/>
        <v>32.67</v>
      </c>
      <c r="T63" s="44">
        <v>0.1</v>
      </c>
      <c r="U63" s="44"/>
      <c r="V63" s="48">
        <v>10000</v>
      </c>
      <c r="W63" s="48" t="s">
        <v>413</v>
      </c>
      <c r="X63" s="48" t="s">
        <v>414</v>
      </c>
      <c r="Y63" s="48">
        <v>4</v>
      </c>
      <c r="Z63" s="48">
        <v>6</v>
      </c>
      <c r="AA63" s="48"/>
      <c r="AB63" s="48"/>
      <c r="AC63" s="48">
        <f t="shared" si="19"/>
        <v>7.3</v>
      </c>
      <c r="AD63" s="48">
        <v>8</v>
      </c>
      <c r="AE63" s="48">
        <f t="shared" si="21"/>
        <v>3.3</v>
      </c>
      <c r="AF63" s="48">
        <v>3</v>
      </c>
      <c r="AG63" s="48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8">
        <v>0.5867</v>
      </c>
      <c r="AN63">
        <v>4</v>
      </c>
      <c r="AO63">
        <f>SUM(AN$27:AN63)</f>
        <v>88</v>
      </c>
    </row>
    <row r="64" spans="1:41" ht="16.5" x14ac:dyDescent="0.2">
      <c r="A64" s="133"/>
      <c r="B64" s="72" t="s">
        <v>611</v>
      </c>
      <c r="C64" s="72">
        <v>2</v>
      </c>
      <c r="D64" s="72">
        <f>INDEX(神器!$M$4:$M$7,世界BOSS专属武器!C64)</f>
        <v>120</v>
      </c>
      <c r="E64" s="72">
        <f t="shared" si="26"/>
        <v>8.3333333333333332E-3</v>
      </c>
      <c r="F64" s="72">
        <f t="shared" si="27"/>
        <v>248</v>
      </c>
      <c r="G64" s="73">
        <v>2</v>
      </c>
      <c r="H64" s="73">
        <v>4</v>
      </c>
      <c r="M64" s="44">
        <v>38</v>
      </c>
      <c r="N64" s="44"/>
      <c r="O64" s="44"/>
      <c r="P64" s="44">
        <v>15</v>
      </c>
      <c r="Q64" s="44">
        <f t="shared" si="20"/>
        <v>72.959999999999994</v>
      </c>
      <c r="R64" s="44">
        <v>10</v>
      </c>
      <c r="S64" s="44">
        <f t="shared" si="22"/>
        <v>32.67</v>
      </c>
      <c r="T64" s="44">
        <v>0.1</v>
      </c>
      <c r="U64" s="44"/>
      <c r="V64" s="48">
        <v>10000</v>
      </c>
      <c r="W64" s="48" t="s">
        <v>413</v>
      </c>
      <c r="X64" s="48" t="s">
        <v>414</v>
      </c>
      <c r="Y64" s="48">
        <v>4</v>
      </c>
      <c r="Z64" s="48">
        <v>6</v>
      </c>
      <c r="AA64" s="48"/>
      <c r="AB64" s="48"/>
      <c r="AC64" s="48">
        <f t="shared" si="19"/>
        <v>7.3</v>
      </c>
      <c r="AD64" s="48">
        <v>8</v>
      </c>
      <c r="AE64" s="48">
        <f t="shared" si="21"/>
        <v>3.3</v>
      </c>
      <c r="AF64" s="48">
        <v>3</v>
      </c>
      <c r="AG64" s="48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8">
        <v>0.61329999999999996</v>
      </c>
      <c r="AN64">
        <v>4</v>
      </c>
      <c r="AO64">
        <f>SUM(AN$27:AN64)</f>
        <v>92</v>
      </c>
    </row>
    <row r="65" spans="1:41" ht="16.5" x14ac:dyDescent="0.2">
      <c r="A65" s="133"/>
      <c r="B65" s="72" t="s">
        <v>612</v>
      </c>
      <c r="C65" s="72">
        <v>1</v>
      </c>
      <c r="D65" s="72">
        <f>INDEX(神器!$M$4:$M$7,世界BOSS专属武器!C65)</f>
        <v>40</v>
      </c>
      <c r="E65" s="72">
        <f t="shared" si="26"/>
        <v>2.5000000000000001E-2</v>
      </c>
      <c r="F65" s="72">
        <f t="shared" si="27"/>
        <v>745</v>
      </c>
      <c r="G65" s="73">
        <v>2</v>
      </c>
      <c r="H65" s="73">
        <v>4</v>
      </c>
      <c r="M65" s="44">
        <v>39</v>
      </c>
      <c r="N65" s="44"/>
      <c r="O65" s="44"/>
      <c r="P65" s="44">
        <v>15</v>
      </c>
      <c r="Q65" s="44">
        <f t="shared" si="20"/>
        <v>72.959999999999994</v>
      </c>
      <c r="R65" s="44">
        <v>10</v>
      </c>
      <c r="S65" s="44">
        <f t="shared" si="22"/>
        <v>32.67</v>
      </c>
      <c r="T65" s="44">
        <v>0.1</v>
      </c>
      <c r="U65" s="44"/>
      <c r="V65" s="48">
        <v>10000</v>
      </c>
      <c r="W65" s="48" t="s">
        <v>413</v>
      </c>
      <c r="X65" s="48" t="s">
        <v>414</v>
      </c>
      <c r="Y65" s="48">
        <v>4</v>
      </c>
      <c r="Z65" s="48">
        <v>6</v>
      </c>
      <c r="AA65" s="48"/>
      <c r="AB65" s="48"/>
      <c r="AC65" s="48">
        <f t="shared" si="19"/>
        <v>7.3</v>
      </c>
      <c r="AD65" s="48">
        <v>8</v>
      </c>
      <c r="AE65" s="48">
        <f t="shared" si="21"/>
        <v>3.3</v>
      </c>
      <c r="AF65" s="48">
        <v>3</v>
      </c>
      <c r="AG65" s="48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8">
        <v>0.64</v>
      </c>
      <c r="AN65">
        <v>4</v>
      </c>
      <c r="AO65">
        <f>SUM(AN$27:AN65)</f>
        <v>96</v>
      </c>
    </row>
    <row r="66" spans="1:41" ht="16.5" x14ac:dyDescent="0.2">
      <c r="A66" s="133"/>
      <c r="B66" s="72" t="s">
        <v>613</v>
      </c>
      <c r="C66" s="72">
        <v>1</v>
      </c>
      <c r="D66" s="72">
        <f>INDEX(神器!$M$4:$M$7,世界BOSS专属武器!C66)</f>
        <v>40</v>
      </c>
      <c r="E66" s="72">
        <f t="shared" si="26"/>
        <v>2.5000000000000001E-2</v>
      </c>
      <c r="F66" s="72">
        <f t="shared" si="27"/>
        <v>745</v>
      </c>
      <c r="G66" s="73">
        <v>2</v>
      </c>
      <c r="H66" s="73">
        <v>4</v>
      </c>
      <c r="M66" s="44">
        <v>40</v>
      </c>
      <c r="N66" s="44"/>
      <c r="O66" s="44"/>
      <c r="P66" s="44"/>
      <c r="Q66" s="44"/>
      <c r="R66" s="44">
        <v>11</v>
      </c>
      <c r="S66" s="44">
        <f t="shared" si="22"/>
        <v>35.94</v>
      </c>
      <c r="T66" s="48">
        <v>0.1</v>
      </c>
      <c r="U66" s="44"/>
      <c r="V66" s="48">
        <v>20000</v>
      </c>
      <c r="W66" s="48" t="s">
        <v>414</v>
      </c>
      <c r="X66" s="48"/>
      <c r="Y66" s="48">
        <v>6</v>
      </c>
      <c r="Z66" s="48"/>
      <c r="AA66" s="48"/>
      <c r="AB66" s="48"/>
      <c r="AC66" s="48"/>
      <c r="AD66" s="48"/>
      <c r="AE66" s="48">
        <f t="shared" si="21"/>
        <v>3.6</v>
      </c>
      <c r="AF66" s="48">
        <v>5</v>
      </c>
      <c r="AG66" s="48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8">
        <v>0.66669999999999996</v>
      </c>
      <c r="AN66">
        <v>4</v>
      </c>
      <c r="AO66">
        <f>SUM(AN$27:AN66)</f>
        <v>100</v>
      </c>
    </row>
    <row r="67" spans="1:41" ht="16.5" x14ac:dyDescent="0.2">
      <c r="A67" s="133"/>
      <c r="B67" s="72" t="s">
        <v>614</v>
      </c>
      <c r="C67" s="72">
        <v>1</v>
      </c>
      <c r="D67" s="72">
        <f>INDEX(神器!$M$4:$M$7,世界BOSS专属武器!C67)</f>
        <v>40</v>
      </c>
      <c r="E67" s="72">
        <f t="shared" si="26"/>
        <v>2.5000000000000001E-2</v>
      </c>
      <c r="F67" s="72">
        <f t="shared" si="27"/>
        <v>745</v>
      </c>
      <c r="G67" s="73">
        <v>2</v>
      </c>
      <c r="H67" s="73">
        <v>4</v>
      </c>
      <c r="M67" s="44">
        <v>41</v>
      </c>
      <c r="N67" s="44"/>
      <c r="O67" s="44"/>
      <c r="P67" s="44"/>
      <c r="Q67" s="44"/>
      <c r="R67" s="44">
        <v>12</v>
      </c>
      <c r="S67" s="44">
        <f t="shared" si="22"/>
        <v>39.21</v>
      </c>
      <c r="T67" s="48">
        <v>0.1</v>
      </c>
      <c r="U67" s="44"/>
      <c r="V67" s="48">
        <v>20000</v>
      </c>
      <c r="W67" s="48" t="s">
        <v>414</v>
      </c>
      <c r="X67" s="48"/>
      <c r="Y67" s="48">
        <v>6</v>
      </c>
      <c r="Z67" s="48"/>
      <c r="AA67" s="48"/>
      <c r="AB67" s="48"/>
      <c r="AC67" s="48"/>
      <c r="AD67" s="48"/>
      <c r="AE67" s="48">
        <f t="shared" si="21"/>
        <v>3.9</v>
      </c>
      <c r="AF67" s="48">
        <v>5</v>
      </c>
      <c r="AG67" s="48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8">
        <v>0.7</v>
      </c>
      <c r="AN67">
        <v>5</v>
      </c>
      <c r="AO67">
        <f>SUM(AN$27:AN67)</f>
        <v>105</v>
      </c>
    </row>
    <row r="68" spans="1:41" ht="16.5" x14ac:dyDescent="0.2">
      <c r="A68" s="133"/>
      <c r="B68" s="72" t="s">
        <v>615</v>
      </c>
      <c r="C68" s="72">
        <v>2</v>
      </c>
      <c r="D68" s="72">
        <f>INDEX(神器!$M$4:$M$7,世界BOSS专属武器!C68)</f>
        <v>120</v>
      </c>
      <c r="E68" s="72">
        <f t="shared" si="26"/>
        <v>8.3333333333333332E-3</v>
      </c>
      <c r="F68" s="72">
        <f t="shared" si="27"/>
        <v>248</v>
      </c>
      <c r="G68" s="73">
        <v>2</v>
      </c>
      <c r="H68" s="73">
        <v>4</v>
      </c>
      <c r="M68" s="44">
        <v>42</v>
      </c>
      <c r="N68" s="44"/>
      <c r="O68" s="44"/>
      <c r="P68" s="44"/>
      <c r="Q68" s="44"/>
      <c r="R68" s="44">
        <v>13</v>
      </c>
      <c r="S68" s="44">
        <f t="shared" si="22"/>
        <v>42.47</v>
      </c>
      <c r="T68" s="48">
        <v>0.1</v>
      </c>
      <c r="U68" s="44"/>
      <c r="V68" s="48">
        <v>20000</v>
      </c>
      <c r="W68" s="48" t="s">
        <v>414</v>
      </c>
      <c r="X68" s="48"/>
      <c r="Y68" s="48">
        <v>6</v>
      </c>
      <c r="Z68" s="48"/>
      <c r="AA68" s="48"/>
      <c r="AB68" s="48"/>
      <c r="AC68" s="48"/>
      <c r="AD68" s="48"/>
      <c r="AE68" s="48">
        <f t="shared" si="21"/>
        <v>4.2</v>
      </c>
      <c r="AF68" s="48">
        <v>5</v>
      </c>
      <c r="AG68" s="48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8">
        <v>0.73329999999999995</v>
      </c>
      <c r="AN68">
        <v>5</v>
      </c>
      <c r="AO68">
        <f>SUM(AN$27:AN68)</f>
        <v>110</v>
      </c>
    </row>
    <row r="69" spans="1:41" ht="16.5" x14ac:dyDescent="0.2">
      <c r="A69" s="133"/>
      <c r="B69" s="72" t="s">
        <v>616</v>
      </c>
      <c r="C69" s="72">
        <v>3</v>
      </c>
      <c r="D69" s="72">
        <f>INDEX(神器!$M$4:$M$7,世界BOSS专属武器!C69)</f>
        <v>280</v>
      </c>
      <c r="E69" s="72">
        <f t="shared" si="26"/>
        <v>3.5714285714285713E-3</v>
      </c>
      <c r="F69" s="72">
        <f t="shared" si="27"/>
        <v>106</v>
      </c>
      <c r="G69" s="72">
        <v>1</v>
      </c>
      <c r="H69" s="72">
        <v>2</v>
      </c>
      <c r="M69" s="44">
        <v>43</v>
      </c>
      <c r="N69" s="44"/>
      <c r="O69" s="44"/>
      <c r="P69" s="44"/>
      <c r="Q69" s="44"/>
      <c r="R69" s="44">
        <v>14</v>
      </c>
      <c r="S69" s="44">
        <f t="shared" si="22"/>
        <v>45.74</v>
      </c>
      <c r="T69" s="48">
        <v>0.1</v>
      </c>
      <c r="U69" s="44"/>
      <c r="V69" s="48">
        <v>20000</v>
      </c>
      <c r="W69" s="48" t="s">
        <v>414</v>
      </c>
      <c r="X69" s="48"/>
      <c r="Y69" s="48">
        <v>6</v>
      </c>
      <c r="Z69" s="48"/>
      <c r="AA69" s="48"/>
      <c r="AB69" s="48"/>
      <c r="AC69" s="48"/>
      <c r="AD69" s="48"/>
      <c r="AE69" s="48">
        <f t="shared" si="21"/>
        <v>4.5999999999999996</v>
      </c>
      <c r="AF69" s="48">
        <v>5</v>
      </c>
      <c r="AG69" s="48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8">
        <v>0.76670000000000005</v>
      </c>
      <c r="AN69">
        <v>5</v>
      </c>
      <c r="AO69">
        <f>SUM(AN$27:AN69)</f>
        <v>115</v>
      </c>
    </row>
    <row r="70" spans="1:41" ht="16.5" x14ac:dyDescent="0.2">
      <c r="A70" s="133"/>
      <c r="B70" s="72" t="s">
        <v>617</v>
      </c>
      <c r="C70" s="72">
        <v>1</v>
      </c>
      <c r="D70" s="72">
        <f>INDEX(神器!$M$4:$M$7,世界BOSS专属武器!C70)</f>
        <v>40</v>
      </c>
      <c r="E70" s="72">
        <f t="shared" si="26"/>
        <v>2.5000000000000001E-2</v>
      </c>
      <c r="F70" s="72">
        <f t="shared" si="27"/>
        <v>745</v>
      </c>
      <c r="G70" s="72">
        <v>2</v>
      </c>
      <c r="H70" s="72">
        <v>4</v>
      </c>
      <c r="M70" s="44">
        <v>44</v>
      </c>
      <c r="N70" s="44"/>
      <c r="O70" s="44"/>
      <c r="P70" s="44"/>
      <c r="Q70" s="44"/>
      <c r="R70" s="44">
        <v>15</v>
      </c>
      <c r="S70" s="44">
        <f t="shared" si="22"/>
        <v>49.01</v>
      </c>
      <c r="T70" s="48">
        <v>0.1</v>
      </c>
      <c r="U70" s="44"/>
      <c r="V70" s="48">
        <v>20000</v>
      </c>
      <c r="W70" s="48" t="s">
        <v>414</v>
      </c>
      <c r="X70" s="48"/>
      <c r="Y70" s="48">
        <v>6</v>
      </c>
      <c r="Z70" s="48"/>
      <c r="AA70" s="48"/>
      <c r="AB70" s="48"/>
      <c r="AC70" s="48"/>
      <c r="AD70" s="48"/>
      <c r="AE70" s="48">
        <f t="shared" si="21"/>
        <v>4.9000000000000004</v>
      </c>
      <c r="AF70" s="48">
        <v>5</v>
      </c>
      <c r="AG70" s="48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8">
        <v>0.8</v>
      </c>
      <c r="AN70">
        <v>5</v>
      </c>
      <c r="AO70">
        <f>SUM(AN$27:AN70)</f>
        <v>120</v>
      </c>
    </row>
    <row r="71" spans="1:41" ht="16.5" x14ac:dyDescent="0.2">
      <c r="A71" s="133"/>
      <c r="B71" s="72" t="s">
        <v>618</v>
      </c>
      <c r="C71" s="72">
        <v>2</v>
      </c>
      <c r="D71" s="72">
        <f>INDEX(神器!$M$4:$M$7,世界BOSS专属武器!C71)</f>
        <v>120</v>
      </c>
      <c r="E71" s="72">
        <f t="shared" si="26"/>
        <v>8.3333333333333332E-3</v>
      </c>
      <c r="F71" s="72">
        <f t="shared" si="27"/>
        <v>248</v>
      </c>
      <c r="G71" s="72">
        <v>2</v>
      </c>
      <c r="H71" s="72">
        <v>4</v>
      </c>
      <c r="M71" s="44">
        <v>45</v>
      </c>
      <c r="N71" s="44"/>
      <c r="O71" s="44"/>
      <c r="P71" s="44"/>
      <c r="Q71" s="44"/>
      <c r="R71" s="44">
        <v>16</v>
      </c>
      <c r="S71" s="44">
        <f t="shared" si="22"/>
        <v>52.27</v>
      </c>
      <c r="T71" s="48">
        <v>0.1</v>
      </c>
      <c r="U71" s="44"/>
      <c r="V71" s="48">
        <v>20000</v>
      </c>
      <c r="W71" s="48" t="s">
        <v>414</v>
      </c>
      <c r="X71" s="48"/>
      <c r="Y71" s="48">
        <v>6</v>
      </c>
      <c r="Z71" s="48"/>
      <c r="AA71" s="48"/>
      <c r="AB71" s="48"/>
      <c r="AC71" s="48"/>
      <c r="AD71" s="48"/>
      <c r="AE71" s="48">
        <f t="shared" si="21"/>
        <v>5.2</v>
      </c>
      <c r="AF71" s="48">
        <v>6</v>
      </c>
      <c r="AG71" s="48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8">
        <v>0.83330000000000004</v>
      </c>
      <c r="AN71">
        <v>5</v>
      </c>
      <c r="AO71">
        <f>SUM(AN$27:AN71)</f>
        <v>125</v>
      </c>
    </row>
    <row r="72" spans="1:41" ht="16.5" x14ac:dyDescent="0.2">
      <c r="A72" s="133"/>
      <c r="B72" s="72" t="s">
        <v>619</v>
      </c>
      <c r="C72" s="72">
        <v>2</v>
      </c>
      <c r="D72" s="72">
        <f>INDEX(神器!$M$4:$M$7,世界BOSS专属武器!C72)</f>
        <v>120</v>
      </c>
      <c r="E72" s="72">
        <f t="shared" si="26"/>
        <v>8.3333333333333332E-3</v>
      </c>
      <c r="F72" s="72">
        <f t="shared" si="27"/>
        <v>248</v>
      </c>
      <c r="G72" s="73">
        <v>2</v>
      </c>
      <c r="H72" s="73">
        <v>4</v>
      </c>
      <c r="M72" s="44">
        <v>46</v>
      </c>
      <c r="N72" s="44"/>
      <c r="O72" s="44"/>
      <c r="P72" s="44"/>
      <c r="Q72" s="44"/>
      <c r="R72" s="44">
        <v>17</v>
      </c>
      <c r="S72" s="44">
        <f t="shared" si="22"/>
        <v>55.54</v>
      </c>
      <c r="T72" s="48">
        <v>0.1</v>
      </c>
      <c r="U72" s="44"/>
      <c r="V72" s="48">
        <v>20000</v>
      </c>
      <c r="W72" s="48" t="s">
        <v>414</v>
      </c>
      <c r="X72" s="48"/>
      <c r="Y72" s="48">
        <v>6</v>
      </c>
      <c r="Z72" s="48"/>
      <c r="AA72" s="48"/>
      <c r="AB72" s="48"/>
      <c r="AC72" s="48"/>
      <c r="AD72" s="48"/>
      <c r="AE72" s="48">
        <f t="shared" si="21"/>
        <v>5.6</v>
      </c>
      <c r="AF72" s="48">
        <v>7</v>
      </c>
      <c r="AG72" s="48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8">
        <v>0.86670000000000003</v>
      </c>
      <c r="AN72">
        <v>5</v>
      </c>
      <c r="AO72">
        <f>SUM(AN$27:AN72)</f>
        <v>130</v>
      </c>
    </row>
    <row r="73" spans="1:41" ht="16.5" x14ac:dyDescent="0.2">
      <c r="A73" s="133"/>
      <c r="B73" s="72" t="s">
        <v>620</v>
      </c>
      <c r="C73" s="72">
        <v>3</v>
      </c>
      <c r="D73" s="72">
        <f>INDEX(神器!$M$4:$M$7,世界BOSS专属武器!C73)</f>
        <v>280</v>
      </c>
      <c r="E73" s="72">
        <f t="shared" si="26"/>
        <v>3.5714285714285713E-3</v>
      </c>
      <c r="F73" s="72">
        <f t="shared" si="27"/>
        <v>106</v>
      </c>
      <c r="G73" s="73">
        <v>1</v>
      </c>
      <c r="H73" s="73">
        <v>2</v>
      </c>
      <c r="M73" s="44">
        <v>47</v>
      </c>
      <c r="N73" s="44"/>
      <c r="O73" s="44"/>
      <c r="P73" s="44"/>
      <c r="Q73" s="44"/>
      <c r="R73" s="44">
        <v>18</v>
      </c>
      <c r="S73" s="44">
        <f t="shared" si="22"/>
        <v>58.81</v>
      </c>
      <c r="T73" s="48">
        <v>0.1</v>
      </c>
      <c r="U73" s="44"/>
      <c r="V73" s="48">
        <v>20000</v>
      </c>
      <c r="W73" s="48" t="s">
        <v>414</v>
      </c>
      <c r="X73" s="48"/>
      <c r="Y73" s="48">
        <v>6</v>
      </c>
      <c r="Z73" s="48"/>
      <c r="AA73" s="48"/>
      <c r="AB73" s="48"/>
      <c r="AC73" s="48"/>
      <c r="AD73" s="48"/>
      <c r="AE73" s="48">
        <f t="shared" si="21"/>
        <v>5.9</v>
      </c>
      <c r="AF73" s="48">
        <v>8</v>
      </c>
      <c r="AG73" s="48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8">
        <v>0.9</v>
      </c>
      <c r="AN73">
        <v>5</v>
      </c>
      <c r="AO73">
        <f>SUM(AN$27:AN73)</f>
        <v>135</v>
      </c>
    </row>
    <row r="74" spans="1:41" ht="16.5" x14ac:dyDescent="0.2">
      <c r="A74" s="133"/>
      <c r="B74" s="72" t="s">
        <v>621</v>
      </c>
      <c r="C74" s="72">
        <v>3</v>
      </c>
      <c r="D74" s="72">
        <f>INDEX(神器!$M$4:$M$7,世界BOSS专属武器!C74)</f>
        <v>280</v>
      </c>
      <c r="E74" s="72">
        <f t="shared" si="26"/>
        <v>3.5714285714285713E-3</v>
      </c>
      <c r="F74" s="72">
        <f t="shared" si="27"/>
        <v>106</v>
      </c>
      <c r="G74" s="73">
        <v>1</v>
      </c>
      <c r="H74" s="73">
        <v>2</v>
      </c>
      <c r="M74" s="44">
        <v>48</v>
      </c>
      <c r="N74" s="44"/>
      <c r="O74" s="44"/>
      <c r="P74" s="44"/>
      <c r="Q74" s="44"/>
      <c r="R74" s="44">
        <v>19</v>
      </c>
      <c r="S74" s="44">
        <f t="shared" si="22"/>
        <v>62.08</v>
      </c>
      <c r="T74" s="48">
        <v>0.1</v>
      </c>
      <c r="U74" s="44"/>
      <c r="V74" s="48">
        <v>20000</v>
      </c>
      <c r="W74" s="48" t="s">
        <v>414</v>
      </c>
      <c r="X74" s="48"/>
      <c r="Y74" s="48">
        <v>6</v>
      </c>
      <c r="Z74" s="48"/>
      <c r="AA74" s="48"/>
      <c r="AB74" s="48"/>
      <c r="AC74" s="48"/>
      <c r="AD74" s="48"/>
      <c r="AE74" s="48">
        <f t="shared" si="21"/>
        <v>6.2</v>
      </c>
      <c r="AF74" s="48">
        <v>9</v>
      </c>
      <c r="AG74" s="48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8">
        <v>0.93330000000000002</v>
      </c>
      <c r="AN74">
        <v>5</v>
      </c>
      <c r="AO74">
        <f>SUM(AN$27:AN74)</f>
        <v>140</v>
      </c>
    </row>
    <row r="75" spans="1:41" ht="16.5" x14ac:dyDescent="0.2">
      <c r="A75" s="133"/>
      <c r="B75" s="72" t="s">
        <v>622</v>
      </c>
      <c r="C75" s="72">
        <v>4</v>
      </c>
      <c r="D75" s="72">
        <f>INDEX(神器!$M$4:$M$7,世界BOSS专属武器!C75)</f>
        <v>600</v>
      </c>
      <c r="E75" s="72">
        <f t="shared" si="26"/>
        <v>1.6666666666666668E-3</v>
      </c>
      <c r="F75" s="72">
        <f t="shared" si="27"/>
        <v>50</v>
      </c>
      <c r="G75" s="72">
        <v>1</v>
      </c>
      <c r="H75" s="72">
        <v>1</v>
      </c>
      <c r="M75" s="44">
        <v>49</v>
      </c>
      <c r="N75" s="44"/>
      <c r="O75" s="44"/>
      <c r="P75" s="44"/>
      <c r="Q75" s="44"/>
      <c r="R75" s="44">
        <v>20</v>
      </c>
      <c r="S75" s="44">
        <f t="shared" si="22"/>
        <v>65.34</v>
      </c>
      <c r="T75" s="48">
        <v>0.1</v>
      </c>
      <c r="U75" s="44"/>
      <c r="V75" s="48">
        <v>20000</v>
      </c>
      <c r="W75" s="48" t="s">
        <v>414</v>
      </c>
      <c r="X75" s="48"/>
      <c r="Y75" s="48">
        <v>6</v>
      </c>
      <c r="Z75" s="48"/>
      <c r="AA75" s="48"/>
      <c r="AB75" s="48"/>
      <c r="AC75" s="48"/>
      <c r="AD75" s="48"/>
      <c r="AE75" s="48">
        <f t="shared" si="21"/>
        <v>6.5</v>
      </c>
      <c r="AF75" s="48">
        <v>10</v>
      </c>
      <c r="AG75" s="48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8">
        <v>0.9667</v>
      </c>
      <c r="AN75">
        <v>5</v>
      </c>
      <c r="AO75">
        <f>SUM(AN$27:AN75)</f>
        <v>145</v>
      </c>
    </row>
    <row r="76" spans="1:41" ht="16.5" x14ac:dyDescent="0.2">
      <c r="A76" s="133"/>
      <c r="B76" s="72" t="s">
        <v>623</v>
      </c>
      <c r="C76" s="72">
        <v>1</v>
      </c>
      <c r="D76" s="72">
        <f>INDEX(神器!$M$4:$M$7,世界BOSS专属武器!C76)</f>
        <v>40</v>
      </c>
      <c r="E76" s="72">
        <f t="shared" si="26"/>
        <v>2.5000000000000001E-2</v>
      </c>
      <c r="F76" s="72">
        <f t="shared" si="27"/>
        <v>745</v>
      </c>
      <c r="G76" s="72">
        <v>2</v>
      </c>
      <c r="H76" s="72">
        <v>4</v>
      </c>
      <c r="M76" s="44">
        <v>50</v>
      </c>
      <c r="N76" s="44"/>
      <c r="O76" s="44"/>
      <c r="P76" s="44"/>
      <c r="Q76" s="44"/>
      <c r="R76" s="44">
        <v>22</v>
      </c>
      <c r="S76" s="44">
        <f t="shared" si="22"/>
        <v>71.88</v>
      </c>
      <c r="T76" s="48">
        <v>0.1</v>
      </c>
      <c r="U76" s="44"/>
      <c r="V76" s="48">
        <v>20000</v>
      </c>
      <c r="W76" s="48" t="s">
        <v>414</v>
      </c>
      <c r="X76" s="48"/>
      <c r="Y76" s="48">
        <v>6</v>
      </c>
      <c r="Z76" s="48"/>
      <c r="AA76" s="48"/>
      <c r="AB76" s="48"/>
      <c r="AC76" s="48"/>
      <c r="AD76" s="48"/>
      <c r="AE76" s="48">
        <f t="shared" si="21"/>
        <v>7.2</v>
      </c>
      <c r="AF76" s="48">
        <v>15</v>
      </c>
      <c r="AG76" s="48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8">
        <v>1</v>
      </c>
      <c r="AN76">
        <v>5</v>
      </c>
      <c r="AO76">
        <f>SUM(AN$27:AN76)</f>
        <v>150</v>
      </c>
    </row>
    <row r="77" spans="1:41" ht="16.5" x14ac:dyDescent="0.2">
      <c r="A77" s="133"/>
      <c r="B77" s="72" t="s">
        <v>624</v>
      </c>
      <c r="C77" s="72">
        <v>2</v>
      </c>
      <c r="D77" s="72">
        <f>INDEX(神器!$M$4:$M$7,世界BOSS专属武器!C77)</f>
        <v>120</v>
      </c>
      <c r="E77" s="72">
        <f t="shared" si="26"/>
        <v>8.3333333333333332E-3</v>
      </c>
      <c r="F77" s="72">
        <f t="shared" si="27"/>
        <v>248</v>
      </c>
      <c r="G77" s="73">
        <v>2</v>
      </c>
      <c r="H77" s="73">
        <v>4</v>
      </c>
    </row>
    <row r="78" spans="1:41" ht="16.5" x14ac:dyDescent="0.2">
      <c r="A78" s="133"/>
      <c r="B78" s="72" t="s">
        <v>625</v>
      </c>
      <c r="C78" s="72">
        <v>2</v>
      </c>
      <c r="D78" s="72">
        <f>INDEX(神器!$M$4:$M$7,世界BOSS专属武器!C78)</f>
        <v>120</v>
      </c>
      <c r="E78" s="72">
        <f t="shared" si="26"/>
        <v>8.3333333333333332E-3</v>
      </c>
      <c r="F78" s="72">
        <f t="shared" si="27"/>
        <v>248</v>
      </c>
      <c r="G78" s="73">
        <v>2</v>
      </c>
      <c r="H78" s="73">
        <v>4</v>
      </c>
    </row>
    <row r="79" spans="1:41" ht="17.25" x14ac:dyDescent="0.2">
      <c r="A79" s="133"/>
      <c r="B79" s="72" t="s">
        <v>626</v>
      </c>
      <c r="C79" s="72">
        <v>3</v>
      </c>
      <c r="D79" s="72">
        <f>INDEX(神器!$M$4:$M$7,世界BOSS专属武器!C79)</f>
        <v>280</v>
      </c>
      <c r="E79" s="72">
        <f t="shared" si="26"/>
        <v>3.5714285714285713E-3</v>
      </c>
      <c r="F79" s="72">
        <f t="shared" si="27"/>
        <v>106</v>
      </c>
      <c r="G79" s="73">
        <v>1</v>
      </c>
      <c r="H79" s="73">
        <v>2</v>
      </c>
      <c r="M79" s="12" t="s">
        <v>393</v>
      </c>
      <c r="N79" s="12" t="s">
        <v>397</v>
      </c>
      <c r="O79" s="12" t="s">
        <v>395</v>
      </c>
      <c r="P79" s="12" t="s">
        <v>398</v>
      </c>
      <c r="Q79" s="12" t="s">
        <v>396</v>
      </c>
      <c r="R79" s="12" t="s">
        <v>400</v>
      </c>
      <c r="S79" s="12" t="s">
        <v>401</v>
      </c>
      <c r="T79" s="12" t="s">
        <v>402</v>
      </c>
      <c r="U79" s="12" t="s">
        <v>403</v>
      </c>
      <c r="V79" s="12" t="s">
        <v>404</v>
      </c>
      <c r="W79" s="12" t="s">
        <v>405</v>
      </c>
      <c r="X79" s="12" t="s">
        <v>406</v>
      </c>
      <c r="Y79" s="12" t="s">
        <v>407</v>
      </c>
      <c r="Z79" s="12" t="s">
        <v>408</v>
      </c>
      <c r="AA79" s="12" t="s">
        <v>409</v>
      </c>
    </row>
    <row r="80" spans="1:41" ht="16.5" x14ac:dyDescent="0.2">
      <c r="A80" s="133"/>
      <c r="B80" s="72" t="s">
        <v>627</v>
      </c>
      <c r="C80" s="72">
        <v>3</v>
      </c>
      <c r="D80" s="72">
        <f>INDEX(神器!$M$4:$M$7,世界BOSS专属武器!C80)</f>
        <v>280</v>
      </c>
      <c r="E80" s="72">
        <f t="shared" si="26"/>
        <v>3.5714285714285713E-3</v>
      </c>
      <c r="F80" s="72">
        <f t="shared" si="27"/>
        <v>106</v>
      </c>
      <c r="G80" s="73">
        <v>1</v>
      </c>
      <c r="H80" s="73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8" t="s">
        <v>399</v>
      </c>
      <c r="Q80" s="15">
        <f>MOD(M80-1,51)</f>
        <v>0</v>
      </c>
      <c r="R80" s="48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33"/>
      <c r="B81" s="72" t="s">
        <v>628</v>
      </c>
      <c r="C81" s="72">
        <v>4</v>
      </c>
      <c r="D81" s="72">
        <f>INDEX(神器!$M$4:$M$7,世界BOSS专属武器!C81)</f>
        <v>600</v>
      </c>
      <c r="E81" s="72">
        <f t="shared" si="26"/>
        <v>1.6666666666666668E-3</v>
      </c>
      <c r="F81" s="72">
        <f t="shared" si="27"/>
        <v>50</v>
      </c>
      <c r="G81" s="72">
        <v>1</v>
      </c>
      <c r="H81" s="72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8" t="s">
        <v>399</v>
      </c>
      <c r="Q81" s="15">
        <f t="shared" ref="Q81:Q144" si="29">MOD(M81-1,51)</f>
        <v>1</v>
      </c>
      <c r="R81" s="48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33"/>
      <c r="B82" s="72" t="s">
        <v>629</v>
      </c>
      <c r="C82" s="72">
        <v>1</v>
      </c>
      <c r="D82" s="72">
        <f>INDEX(神器!$M$4:$M$7,世界BOSS专属武器!C82)</f>
        <v>40</v>
      </c>
      <c r="E82" s="72">
        <f t="shared" si="26"/>
        <v>2.5000000000000001E-2</v>
      </c>
      <c r="F82" s="72">
        <f t="shared" si="27"/>
        <v>745</v>
      </c>
      <c r="G82" s="72">
        <v>2</v>
      </c>
      <c r="H82" s="72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8" t="s">
        <v>399</v>
      </c>
      <c r="Q82" s="15">
        <f t="shared" si="29"/>
        <v>2</v>
      </c>
      <c r="R82" s="48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33"/>
      <c r="B83" s="72" t="s">
        <v>630</v>
      </c>
      <c r="C83" s="72">
        <v>2</v>
      </c>
      <c r="D83" s="72">
        <f>INDEX(神器!$M$4:$M$7,世界BOSS专属武器!C83)</f>
        <v>120</v>
      </c>
      <c r="E83" s="72">
        <f t="shared" si="26"/>
        <v>8.3333333333333332E-3</v>
      </c>
      <c r="F83" s="72">
        <f t="shared" si="27"/>
        <v>248</v>
      </c>
      <c r="G83" s="72">
        <v>2</v>
      </c>
      <c r="H83" s="72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8" t="s">
        <v>399</v>
      </c>
      <c r="Q83" s="15">
        <f t="shared" si="29"/>
        <v>3</v>
      </c>
      <c r="R83" s="48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33"/>
      <c r="B84" s="72" t="s">
        <v>631</v>
      </c>
      <c r="C84" s="72">
        <v>2</v>
      </c>
      <c r="D84" s="72">
        <f>INDEX(神器!$M$4:$M$7,世界BOSS专属武器!C84)</f>
        <v>120</v>
      </c>
      <c r="E84" s="72">
        <f t="shared" si="26"/>
        <v>8.3333333333333332E-3</v>
      </c>
      <c r="F84" s="72">
        <f t="shared" si="27"/>
        <v>248</v>
      </c>
      <c r="G84" s="73">
        <v>2</v>
      </c>
      <c r="H84" s="73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8" t="s">
        <v>399</v>
      </c>
      <c r="Q84" s="15">
        <f t="shared" si="29"/>
        <v>4</v>
      </c>
      <c r="R84" s="48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33"/>
      <c r="B85" s="72" t="s">
        <v>632</v>
      </c>
      <c r="C85" s="72">
        <v>3</v>
      </c>
      <c r="D85" s="72">
        <f>INDEX(神器!$M$4:$M$7,世界BOSS专属武器!C85)</f>
        <v>280</v>
      </c>
      <c r="E85" s="72">
        <f t="shared" si="26"/>
        <v>3.5714285714285713E-3</v>
      </c>
      <c r="F85" s="72">
        <f t="shared" si="27"/>
        <v>106</v>
      </c>
      <c r="G85" s="73">
        <v>1</v>
      </c>
      <c r="H85" s="73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8" t="s">
        <v>399</v>
      </c>
      <c r="Q85" s="15">
        <f t="shared" si="29"/>
        <v>5</v>
      </c>
      <c r="R85" s="48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33"/>
      <c r="B86" s="72" t="s">
        <v>633</v>
      </c>
      <c r="C86" s="72">
        <v>3</v>
      </c>
      <c r="D86" s="72">
        <f>INDEX(神器!$M$4:$M$7,世界BOSS专属武器!C86)</f>
        <v>280</v>
      </c>
      <c r="E86" s="72">
        <f t="shared" si="26"/>
        <v>3.5714285714285713E-3</v>
      </c>
      <c r="F86" s="72">
        <f t="shared" si="27"/>
        <v>106</v>
      </c>
      <c r="G86" s="73">
        <v>1</v>
      </c>
      <c r="H86" s="73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8" t="s">
        <v>399</v>
      </c>
      <c r="Q86" s="15">
        <f t="shared" si="29"/>
        <v>6</v>
      </c>
      <c r="R86" s="48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33"/>
      <c r="B87" s="72" t="s">
        <v>634</v>
      </c>
      <c r="C87" s="72">
        <v>4</v>
      </c>
      <c r="D87" s="72">
        <f>INDEX(神器!$M$4:$M$7,世界BOSS专属武器!C87)</f>
        <v>600</v>
      </c>
      <c r="E87" s="72">
        <f t="shared" si="26"/>
        <v>1.6666666666666668E-3</v>
      </c>
      <c r="F87" s="72">
        <f t="shared" si="27"/>
        <v>50</v>
      </c>
      <c r="G87" s="72">
        <v>1</v>
      </c>
      <c r="H87" s="72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8" t="s">
        <v>399</v>
      </c>
      <c r="Q87" s="15">
        <f t="shared" si="29"/>
        <v>7</v>
      </c>
      <c r="R87" s="48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33"/>
      <c r="B88" s="72" t="s">
        <v>635</v>
      </c>
      <c r="C88" s="72">
        <v>2</v>
      </c>
      <c r="D88" s="72">
        <f>INDEX(神器!$M$4:$M$7,世界BOSS专属武器!C88)</f>
        <v>120</v>
      </c>
      <c r="E88" s="72">
        <f>1/D88/2</f>
        <v>4.1666666666666666E-3</v>
      </c>
      <c r="F88" s="72">
        <f t="shared" si="27"/>
        <v>124</v>
      </c>
      <c r="G88" s="72">
        <v>1</v>
      </c>
      <c r="H88" s="72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8" t="s">
        <v>399</v>
      </c>
      <c r="Q88" s="15">
        <f t="shared" si="29"/>
        <v>8</v>
      </c>
      <c r="R88" s="48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33"/>
      <c r="B89" s="72" t="s">
        <v>636</v>
      </c>
      <c r="C89" s="72">
        <v>2</v>
      </c>
      <c r="D89" s="72">
        <f>INDEX(神器!$M$4:$M$7,世界BOSS专属武器!C89)</f>
        <v>120</v>
      </c>
      <c r="E89" s="72">
        <f t="shared" ref="E89:E103" si="40">1/D89/2</f>
        <v>4.1666666666666666E-3</v>
      </c>
      <c r="F89" s="72">
        <f t="shared" si="27"/>
        <v>124</v>
      </c>
      <c r="G89" s="73">
        <v>1</v>
      </c>
      <c r="H89" s="73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8" t="s">
        <v>399</v>
      </c>
      <c r="Q89" s="15">
        <f t="shared" si="29"/>
        <v>9</v>
      </c>
      <c r="R89" s="48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33"/>
      <c r="B90" s="72" t="s">
        <v>637</v>
      </c>
      <c r="C90" s="72">
        <v>2</v>
      </c>
      <c r="D90" s="72">
        <f>INDEX(神器!$M$4:$M$7,世界BOSS专属武器!C90)</f>
        <v>120</v>
      </c>
      <c r="E90" s="72">
        <f t="shared" si="40"/>
        <v>4.1666666666666666E-3</v>
      </c>
      <c r="F90" s="72">
        <f t="shared" si="27"/>
        <v>124</v>
      </c>
      <c r="G90" s="73">
        <v>1</v>
      </c>
      <c r="H90" s="73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8" t="s">
        <v>399</v>
      </c>
      <c r="Q90" s="15">
        <f t="shared" si="29"/>
        <v>10</v>
      </c>
      <c r="R90" s="48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33"/>
      <c r="B91" s="72" t="s">
        <v>638</v>
      </c>
      <c r="C91" s="72">
        <v>3</v>
      </c>
      <c r="D91" s="72">
        <f>INDEX(神器!$M$4:$M$7,世界BOSS专属武器!C91)</f>
        <v>280</v>
      </c>
      <c r="E91" s="72">
        <f t="shared" si="40"/>
        <v>1.7857142857142857E-3</v>
      </c>
      <c r="F91" s="72">
        <f t="shared" si="27"/>
        <v>53</v>
      </c>
      <c r="G91" s="72">
        <v>1</v>
      </c>
      <c r="H91" s="72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8" t="s">
        <v>399</v>
      </c>
      <c r="Q91" s="15">
        <f t="shared" si="29"/>
        <v>11</v>
      </c>
      <c r="R91" s="48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33"/>
      <c r="B92" s="72" t="s">
        <v>639</v>
      </c>
      <c r="C92" s="72">
        <v>3</v>
      </c>
      <c r="D92" s="72">
        <f>INDEX(神器!$M$4:$M$7,世界BOSS专属武器!C92)</f>
        <v>280</v>
      </c>
      <c r="E92" s="72">
        <f t="shared" si="40"/>
        <v>1.7857142857142857E-3</v>
      </c>
      <c r="F92" s="72">
        <f t="shared" si="27"/>
        <v>53</v>
      </c>
      <c r="G92" s="73">
        <v>1</v>
      </c>
      <c r="H92" s="73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8" t="s">
        <v>399</v>
      </c>
      <c r="Q92" s="15">
        <f t="shared" si="29"/>
        <v>12</v>
      </c>
      <c r="R92" s="48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33"/>
      <c r="B93" s="72" t="s">
        <v>640</v>
      </c>
      <c r="C93" s="72">
        <v>3</v>
      </c>
      <c r="D93" s="72">
        <f>INDEX(神器!$M$4:$M$7,世界BOSS专属武器!C93)</f>
        <v>280</v>
      </c>
      <c r="E93" s="72">
        <f t="shared" si="40"/>
        <v>1.7857142857142857E-3</v>
      </c>
      <c r="F93" s="72">
        <f t="shared" si="27"/>
        <v>53</v>
      </c>
      <c r="G93" s="73">
        <v>1</v>
      </c>
      <c r="H93" s="73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8" t="s">
        <v>399</v>
      </c>
      <c r="Q93" s="15">
        <f t="shared" si="29"/>
        <v>13</v>
      </c>
      <c r="R93" s="48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33"/>
      <c r="B94" s="72" t="s">
        <v>641</v>
      </c>
      <c r="C94" s="72">
        <v>4</v>
      </c>
      <c r="D94" s="72">
        <f>INDEX(神器!$M$4:$M$7,世界BOSS专属武器!C94)</f>
        <v>600</v>
      </c>
      <c r="E94" s="72">
        <f t="shared" si="40"/>
        <v>8.3333333333333339E-4</v>
      </c>
      <c r="F94" s="72">
        <f t="shared" si="27"/>
        <v>25</v>
      </c>
      <c r="G94" s="72">
        <v>1</v>
      </c>
      <c r="H94" s="72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8" t="s">
        <v>399</v>
      </c>
      <c r="Q94" s="15">
        <f t="shared" si="29"/>
        <v>14</v>
      </c>
      <c r="R94" s="48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33"/>
      <c r="B95" s="72" t="s">
        <v>642</v>
      </c>
      <c r="C95" s="72">
        <v>4</v>
      </c>
      <c r="D95" s="72">
        <f>INDEX(神器!$M$4:$M$7,世界BOSS专属武器!C95)</f>
        <v>600</v>
      </c>
      <c r="E95" s="72">
        <f t="shared" si="40"/>
        <v>8.3333333333333339E-4</v>
      </c>
      <c r="F95" s="72">
        <f t="shared" si="27"/>
        <v>25</v>
      </c>
      <c r="G95" s="73">
        <v>1</v>
      </c>
      <c r="H95" s="73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8" t="s">
        <v>399</v>
      </c>
      <c r="Q95" s="15">
        <f t="shared" si="29"/>
        <v>15</v>
      </c>
      <c r="R95" s="48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33"/>
      <c r="B96" s="72" t="s">
        <v>643</v>
      </c>
      <c r="C96" s="72">
        <v>2</v>
      </c>
      <c r="D96" s="72">
        <f>INDEX(神器!$M$4:$M$7,世界BOSS专属武器!C96)</f>
        <v>120</v>
      </c>
      <c r="E96" s="72">
        <f t="shared" si="40"/>
        <v>4.1666666666666666E-3</v>
      </c>
      <c r="F96" s="72">
        <f t="shared" si="27"/>
        <v>124</v>
      </c>
      <c r="G96" s="72">
        <v>1</v>
      </c>
      <c r="H96" s="72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8" t="s">
        <v>399</v>
      </c>
      <c r="Q96" s="15">
        <f t="shared" si="29"/>
        <v>16</v>
      </c>
      <c r="R96" s="48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33"/>
      <c r="B97" s="72" t="s">
        <v>644</v>
      </c>
      <c r="C97" s="72">
        <v>2</v>
      </c>
      <c r="D97" s="72">
        <f>INDEX(神器!$M$4:$M$7,世界BOSS专属武器!C97)</f>
        <v>120</v>
      </c>
      <c r="E97" s="72">
        <f t="shared" si="40"/>
        <v>4.1666666666666666E-3</v>
      </c>
      <c r="F97" s="72">
        <f t="shared" si="27"/>
        <v>124</v>
      </c>
      <c r="G97" s="73">
        <v>1</v>
      </c>
      <c r="H97" s="73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8" t="s">
        <v>399</v>
      </c>
      <c r="Q97" s="15">
        <f t="shared" si="29"/>
        <v>17</v>
      </c>
      <c r="R97" s="48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33"/>
      <c r="B98" s="72" t="s">
        <v>645</v>
      </c>
      <c r="C98" s="72">
        <v>2</v>
      </c>
      <c r="D98" s="72">
        <f>INDEX(神器!$M$4:$M$7,世界BOSS专属武器!C98)</f>
        <v>120</v>
      </c>
      <c r="E98" s="72">
        <f t="shared" si="40"/>
        <v>4.1666666666666666E-3</v>
      </c>
      <c r="F98" s="72">
        <f t="shared" si="27"/>
        <v>124</v>
      </c>
      <c r="G98" s="73">
        <v>1</v>
      </c>
      <c r="H98" s="73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8" t="s">
        <v>399</v>
      </c>
      <c r="Q98" s="15">
        <f t="shared" si="29"/>
        <v>18</v>
      </c>
      <c r="R98" s="48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33"/>
      <c r="B99" s="72" t="s">
        <v>646</v>
      </c>
      <c r="C99" s="72">
        <v>3</v>
      </c>
      <c r="D99" s="72">
        <f>INDEX(神器!$M$4:$M$7,世界BOSS专属武器!C99)</f>
        <v>280</v>
      </c>
      <c r="E99" s="72">
        <f t="shared" si="40"/>
        <v>1.7857142857142857E-3</v>
      </c>
      <c r="F99" s="72">
        <f t="shared" si="27"/>
        <v>53</v>
      </c>
      <c r="G99" s="72">
        <v>1</v>
      </c>
      <c r="H99" s="72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8" t="s">
        <v>399</v>
      </c>
      <c r="Q99" s="15">
        <f t="shared" si="29"/>
        <v>19</v>
      </c>
      <c r="R99" s="48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33"/>
      <c r="B100" s="72" t="s">
        <v>647</v>
      </c>
      <c r="C100" s="72">
        <v>3</v>
      </c>
      <c r="D100" s="72">
        <f>INDEX(神器!$M$4:$M$7,世界BOSS专属武器!C100)</f>
        <v>280</v>
      </c>
      <c r="E100" s="72">
        <f t="shared" si="40"/>
        <v>1.7857142857142857E-3</v>
      </c>
      <c r="F100" s="72">
        <f t="shared" si="27"/>
        <v>53</v>
      </c>
      <c r="G100" s="73">
        <v>1</v>
      </c>
      <c r="H100" s="73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8" t="s">
        <v>399</v>
      </c>
      <c r="Q100" s="15">
        <f t="shared" si="29"/>
        <v>20</v>
      </c>
      <c r="R100" s="48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33"/>
      <c r="B101" s="72" t="s">
        <v>648</v>
      </c>
      <c r="C101" s="72">
        <v>3</v>
      </c>
      <c r="D101" s="72">
        <f>INDEX(神器!$M$4:$M$7,世界BOSS专属武器!C101)</f>
        <v>280</v>
      </c>
      <c r="E101" s="72">
        <f t="shared" si="40"/>
        <v>1.7857142857142857E-3</v>
      </c>
      <c r="F101" s="72">
        <f t="shared" si="27"/>
        <v>53</v>
      </c>
      <c r="G101" s="73">
        <v>1</v>
      </c>
      <c r="H101" s="73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8" t="s">
        <v>399</v>
      </c>
      <c r="Q101" s="15">
        <f t="shared" si="29"/>
        <v>21</v>
      </c>
      <c r="R101" s="48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33"/>
      <c r="B102" s="72" t="s">
        <v>649</v>
      </c>
      <c r="C102" s="72">
        <v>4</v>
      </c>
      <c r="D102" s="72">
        <f>INDEX(神器!$M$4:$M$7,世界BOSS专属武器!C102)</f>
        <v>600</v>
      </c>
      <c r="E102" s="72">
        <f t="shared" si="40"/>
        <v>8.3333333333333339E-4</v>
      </c>
      <c r="F102" s="72">
        <f t="shared" si="27"/>
        <v>25</v>
      </c>
      <c r="G102" s="72">
        <v>1</v>
      </c>
      <c r="H102" s="72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8" t="s">
        <v>399</v>
      </c>
      <c r="Q102" s="15">
        <f t="shared" si="29"/>
        <v>22</v>
      </c>
      <c r="R102" s="48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33"/>
      <c r="B103" s="72" t="s">
        <v>650</v>
      </c>
      <c r="C103" s="72">
        <v>4</v>
      </c>
      <c r="D103" s="72">
        <f>INDEX(神器!$M$4:$M$7,世界BOSS专属武器!C103)</f>
        <v>600</v>
      </c>
      <c r="E103" s="72">
        <f t="shared" si="40"/>
        <v>8.3333333333333339E-4</v>
      </c>
      <c r="F103" s="72">
        <f>10000-SUM(F62:F102)</f>
        <v>27</v>
      </c>
      <c r="G103" s="73">
        <v>1</v>
      </c>
      <c r="H103" s="73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8" t="s">
        <v>399</v>
      </c>
      <c r="Q103" s="15">
        <f t="shared" si="29"/>
        <v>23</v>
      </c>
      <c r="R103" s="48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8" t="s">
        <v>399</v>
      </c>
      <c r="Q104" s="15">
        <f t="shared" si="29"/>
        <v>24</v>
      </c>
      <c r="R104" s="48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7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8" t="s">
        <v>399</v>
      </c>
      <c r="Q105" s="15">
        <f t="shared" si="29"/>
        <v>25</v>
      </c>
      <c r="R105" s="48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33" t="s">
        <v>721</v>
      </c>
      <c r="B106" s="73" t="s">
        <v>617</v>
      </c>
      <c r="C106" s="73">
        <v>1</v>
      </c>
      <c r="D106" s="73">
        <f>INDEX(神器!$M$4:$M$7,世界BOSS专属武器!C106)</f>
        <v>40</v>
      </c>
      <c r="E106" s="73">
        <f t="shared" ref="E106:E123" si="41">1/D106</f>
        <v>2.5000000000000001E-2</v>
      </c>
      <c r="F106" s="73">
        <f>ROUND(E106/E$105*10000,0)</f>
        <v>1313</v>
      </c>
      <c r="G106" s="73">
        <v>2</v>
      </c>
      <c r="H106" s="73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8" t="s">
        <v>399</v>
      </c>
      <c r="Q106" s="15">
        <f t="shared" si="29"/>
        <v>26</v>
      </c>
      <c r="R106" s="48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33"/>
      <c r="B107" s="73" t="s">
        <v>618</v>
      </c>
      <c r="C107" s="73">
        <v>2</v>
      </c>
      <c r="D107" s="73">
        <f>INDEX(神器!$M$4:$M$7,世界BOSS专属武器!C107)</f>
        <v>120</v>
      </c>
      <c r="E107" s="73">
        <f t="shared" si="41"/>
        <v>8.3333333333333332E-3</v>
      </c>
      <c r="F107" s="73">
        <f t="shared" ref="F107:F138" si="42">ROUND(E107/E$105*10000,0)</f>
        <v>438</v>
      </c>
      <c r="G107" s="73">
        <v>2</v>
      </c>
      <c r="H107" s="73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8" t="s">
        <v>399</v>
      </c>
      <c r="Q107" s="15">
        <f t="shared" si="29"/>
        <v>27</v>
      </c>
      <c r="R107" s="48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33"/>
      <c r="B108" s="73" t="s">
        <v>619</v>
      </c>
      <c r="C108" s="73">
        <v>2</v>
      </c>
      <c r="D108" s="73">
        <f>INDEX(神器!$M$4:$M$7,世界BOSS专属武器!C108)</f>
        <v>120</v>
      </c>
      <c r="E108" s="73">
        <f t="shared" si="41"/>
        <v>8.3333333333333332E-3</v>
      </c>
      <c r="F108" s="73">
        <f t="shared" si="42"/>
        <v>438</v>
      </c>
      <c r="G108" s="73">
        <v>2</v>
      </c>
      <c r="H108" s="73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8" t="s">
        <v>399</v>
      </c>
      <c r="Q108" s="15">
        <f t="shared" si="29"/>
        <v>28</v>
      </c>
      <c r="R108" s="48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33"/>
      <c r="B109" s="73" t="s">
        <v>620</v>
      </c>
      <c r="C109" s="73">
        <v>3</v>
      </c>
      <c r="D109" s="73">
        <f>INDEX(神器!$M$4:$M$7,世界BOSS专属武器!C109)</f>
        <v>280</v>
      </c>
      <c r="E109" s="73">
        <f t="shared" si="41"/>
        <v>3.5714285714285713E-3</v>
      </c>
      <c r="F109" s="73">
        <f t="shared" si="42"/>
        <v>188</v>
      </c>
      <c r="G109" s="73">
        <v>1</v>
      </c>
      <c r="H109" s="73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8" t="s">
        <v>399</v>
      </c>
      <c r="Q109" s="15">
        <f t="shared" si="29"/>
        <v>29</v>
      </c>
      <c r="R109" s="48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33"/>
      <c r="B110" s="73" t="s">
        <v>621</v>
      </c>
      <c r="C110" s="73">
        <v>3</v>
      </c>
      <c r="D110" s="73">
        <f>INDEX(神器!$M$4:$M$7,世界BOSS专属武器!C110)</f>
        <v>280</v>
      </c>
      <c r="E110" s="73">
        <f t="shared" si="41"/>
        <v>3.5714285714285713E-3</v>
      </c>
      <c r="F110" s="73">
        <f t="shared" si="42"/>
        <v>188</v>
      </c>
      <c r="G110" s="73">
        <v>1</v>
      </c>
      <c r="H110" s="73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8" t="s">
        <v>399</v>
      </c>
      <c r="Q110" s="15">
        <f t="shared" si="29"/>
        <v>30</v>
      </c>
      <c r="R110" s="48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33"/>
      <c r="B111" s="73" t="s">
        <v>622</v>
      </c>
      <c r="C111" s="73">
        <v>4</v>
      </c>
      <c r="D111" s="73">
        <f>INDEX(神器!$M$4:$M$7,世界BOSS专属武器!C111)</f>
        <v>600</v>
      </c>
      <c r="E111" s="73">
        <f t="shared" si="41"/>
        <v>1.6666666666666668E-3</v>
      </c>
      <c r="F111" s="73">
        <f t="shared" si="42"/>
        <v>88</v>
      </c>
      <c r="G111" s="73">
        <v>1</v>
      </c>
      <c r="H111" s="73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8" t="s">
        <v>399</v>
      </c>
      <c r="Q111" s="15">
        <f t="shared" si="29"/>
        <v>31</v>
      </c>
      <c r="R111" s="48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33"/>
      <c r="B112" s="73" t="s">
        <v>623</v>
      </c>
      <c r="C112" s="73">
        <v>1</v>
      </c>
      <c r="D112" s="73">
        <f>INDEX(神器!$M$4:$M$7,世界BOSS专属武器!C112)</f>
        <v>40</v>
      </c>
      <c r="E112" s="73">
        <f t="shared" si="41"/>
        <v>2.5000000000000001E-2</v>
      </c>
      <c r="F112" s="73">
        <f t="shared" si="42"/>
        <v>1313</v>
      </c>
      <c r="G112" s="73">
        <v>2</v>
      </c>
      <c r="H112" s="73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8" t="s">
        <v>399</v>
      </c>
      <c r="Q112" s="15">
        <f t="shared" si="29"/>
        <v>32</v>
      </c>
      <c r="R112" s="48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33"/>
      <c r="B113" s="73" t="s">
        <v>624</v>
      </c>
      <c r="C113" s="73">
        <v>2</v>
      </c>
      <c r="D113" s="73">
        <f>INDEX(神器!$M$4:$M$7,世界BOSS专属武器!C113)</f>
        <v>120</v>
      </c>
      <c r="E113" s="73">
        <f t="shared" si="41"/>
        <v>8.3333333333333332E-3</v>
      </c>
      <c r="F113" s="73">
        <f t="shared" si="42"/>
        <v>438</v>
      </c>
      <c r="G113" s="73">
        <v>2</v>
      </c>
      <c r="H113" s="73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8" t="s">
        <v>399</v>
      </c>
      <c r="Q113" s="15">
        <f t="shared" si="29"/>
        <v>33</v>
      </c>
      <c r="R113" s="48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33"/>
      <c r="B114" s="73" t="s">
        <v>625</v>
      </c>
      <c r="C114" s="73">
        <v>2</v>
      </c>
      <c r="D114" s="73">
        <f>INDEX(神器!$M$4:$M$7,世界BOSS专属武器!C114)</f>
        <v>120</v>
      </c>
      <c r="E114" s="73">
        <f t="shared" si="41"/>
        <v>8.3333333333333332E-3</v>
      </c>
      <c r="F114" s="73">
        <f t="shared" si="42"/>
        <v>438</v>
      </c>
      <c r="G114" s="73">
        <v>2</v>
      </c>
      <c r="H114" s="73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8" t="s">
        <v>399</v>
      </c>
      <c r="Q114" s="15">
        <f t="shared" si="29"/>
        <v>34</v>
      </c>
      <c r="R114" s="48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33"/>
      <c r="B115" s="73" t="s">
        <v>626</v>
      </c>
      <c r="C115" s="73">
        <v>3</v>
      </c>
      <c r="D115" s="73">
        <f>INDEX(神器!$M$4:$M$7,世界BOSS专属武器!C115)</f>
        <v>280</v>
      </c>
      <c r="E115" s="73">
        <f t="shared" si="41"/>
        <v>3.5714285714285713E-3</v>
      </c>
      <c r="F115" s="73">
        <f t="shared" si="42"/>
        <v>188</v>
      </c>
      <c r="G115" s="73">
        <v>1</v>
      </c>
      <c r="H115" s="73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8" t="s">
        <v>399</v>
      </c>
      <c r="Q115" s="15">
        <f t="shared" si="29"/>
        <v>35</v>
      </c>
      <c r="R115" s="48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33"/>
      <c r="B116" s="73" t="s">
        <v>627</v>
      </c>
      <c r="C116" s="73">
        <v>3</v>
      </c>
      <c r="D116" s="73">
        <f>INDEX(神器!$M$4:$M$7,世界BOSS专属武器!C116)</f>
        <v>280</v>
      </c>
      <c r="E116" s="73">
        <f t="shared" si="41"/>
        <v>3.5714285714285713E-3</v>
      </c>
      <c r="F116" s="73">
        <f t="shared" si="42"/>
        <v>188</v>
      </c>
      <c r="G116" s="73">
        <v>1</v>
      </c>
      <c r="H116" s="73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8" t="s">
        <v>399</v>
      </c>
      <c r="Q116" s="15">
        <f t="shared" si="29"/>
        <v>36</v>
      </c>
      <c r="R116" s="48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33"/>
      <c r="B117" s="73" t="s">
        <v>628</v>
      </c>
      <c r="C117" s="73">
        <v>4</v>
      </c>
      <c r="D117" s="73">
        <f>INDEX(神器!$M$4:$M$7,世界BOSS专属武器!C117)</f>
        <v>600</v>
      </c>
      <c r="E117" s="73">
        <f t="shared" si="41"/>
        <v>1.6666666666666668E-3</v>
      </c>
      <c r="F117" s="73">
        <f t="shared" si="42"/>
        <v>88</v>
      </c>
      <c r="G117" s="73">
        <v>1</v>
      </c>
      <c r="H117" s="73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8" t="s">
        <v>399</v>
      </c>
      <c r="Q117" s="15">
        <f t="shared" si="29"/>
        <v>37</v>
      </c>
      <c r="R117" s="48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33"/>
      <c r="B118" s="73" t="s">
        <v>629</v>
      </c>
      <c r="C118" s="73">
        <v>1</v>
      </c>
      <c r="D118" s="73">
        <f>INDEX(神器!$M$4:$M$7,世界BOSS专属武器!C118)</f>
        <v>40</v>
      </c>
      <c r="E118" s="73">
        <f t="shared" si="41"/>
        <v>2.5000000000000001E-2</v>
      </c>
      <c r="F118" s="73">
        <f t="shared" si="42"/>
        <v>1313</v>
      </c>
      <c r="G118" s="73">
        <v>2</v>
      </c>
      <c r="H118" s="73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8" t="s">
        <v>399</v>
      </c>
      <c r="Q118" s="15">
        <f t="shared" si="29"/>
        <v>38</v>
      </c>
      <c r="R118" s="48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33"/>
      <c r="B119" s="73" t="s">
        <v>630</v>
      </c>
      <c r="C119" s="73">
        <v>2</v>
      </c>
      <c r="D119" s="73">
        <f>INDEX(神器!$M$4:$M$7,世界BOSS专属武器!C119)</f>
        <v>120</v>
      </c>
      <c r="E119" s="73">
        <f t="shared" si="41"/>
        <v>8.3333333333333332E-3</v>
      </c>
      <c r="F119" s="73">
        <f t="shared" si="42"/>
        <v>438</v>
      </c>
      <c r="G119" s="73">
        <v>2</v>
      </c>
      <c r="H119" s="73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8" t="s">
        <v>399</v>
      </c>
      <c r="Q119" s="15">
        <f t="shared" si="29"/>
        <v>39</v>
      </c>
      <c r="R119" s="48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33"/>
      <c r="B120" s="73" t="s">
        <v>631</v>
      </c>
      <c r="C120" s="73">
        <v>2</v>
      </c>
      <c r="D120" s="73">
        <f>INDEX(神器!$M$4:$M$7,世界BOSS专属武器!C120)</f>
        <v>120</v>
      </c>
      <c r="E120" s="73">
        <f t="shared" si="41"/>
        <v>8.3333333333333332E-3</v>
      </c>
      <c r="F120" s="73">
        <f t="shared" si="42"/>
        <v>438</v>
      </c>
      <c r="G120" s="73">
        <v>2</v>
      </c>
      <c r="H120" s="73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8" t="s">
        <v>399</v>
      </c>
      <c r="Q120" s="15">
        <f t="shared" si="29"/>
        <v>40</v>
      </c>
      <c r="R120" s="48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33"/>
      <c r="B121" s="73" t="s">
        <v>632</v>
      </c>
      <c r="C121" s="73">
        <v>3</v>
      </c>
      <c r="D121" s="73">
        <f>INDEX(神器!$M$4:$M$7,世界BOSS专属武器!C121)</f>
        <v>280</v>
      </c>
      <c r="E121" s="73">
        <f t="shared" si="41"/>
        <v>3.5714285714285713E-3</v>
      </c>
      <c r="F121" s="73">
        <f t="shared" si="42"/>
        <v>188</v>
      </c>
      <c r="G121" s="73">
        <v>1</v>
      </c>
      <c r="H121" s="73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8" t="s">
        <v>399</v>
      </c>
      <c r="Q121" s="15">
        <f t="shared" si="29"/>
        <v>41</v>
      </c>
      <c r="R121" s="48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33"/>
      <c r="B122" s="73" t="s">
        <v>633</v>
      </c>
      <c r="C122" s="73">
        <v>3</v>
      </c>
      <c r="D122" s="73">
        <f>INDEX(神器!$M$4:$M$7,世界BOSS专属武器!C122)</f>
        <v>280</v>
      </c>
      <c r="E122" s="73">
        <f t="shared" si="41"/>
        <v>3.5714285714285713E-3</v>
      </c>
      <c r="F122" s="73">
        <f t="shared" si="42"/>
        <v>188</v>
      </c>
      <c r="G122" s="73">
        <v>1</v>
      </c>
      <c r="H122" s="73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8" t="s">
        <v>399</v>
      </c>
      <c r="Q122" s="15">
        <f t="shared" si="29"/>
        <v>42</v>
      </c>
      <c r="R122" s="48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33"/>
      <c r="B123" s="73" t="s">
        <v>634</v>
      </c>
      <c r="C123" s="73">
        <v>4</v>
      </c>
      <c r="D123" s="73">
        <f>INDEX(神器!$M$4:$M$7,世界BOSS专属武器!C123)</f>
        <v>600</v>
      </c>
      <c r="E123" s="73">
        <f t="shared" si="41"/>
        <v>1.6666666666666668E-3</v>
      </c>
      <c r="F123" s="73">
        <f t="shared" si="42"/>
        <v>88</v>
      </c>
      <c r="G123" s="73">
        <v>1</v>
      </c>
      <c r="H123" s="73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8" t="s">
        <v>399</v>
      </c>
      <c r="Q123" s="15">
        <f t="shared" si="29"/>
        <v>43</v>
      </c>
      <c r="R123" s="48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33"/>
      <c r="B124" s="73" t="s">
        <v>635</v>
      </c>
      <c r="C124" s="73">
        <v>2</v>
      </c>
      <c r="D124" s="73">
        <f>INDEX(神器!$M$4:$M$7,世界BOSS专属武器!C124)</f>
        <v>120</v>
      </c>
      <c r="E124" s="73">
        <f>1/D124/2</f>
        <v>4.1666666666666666E-3</v>
      </c>
      <c r="F124" s="73">
        <f t="shared" si="42"/>
        <v>219</v>
      </c>
      <c r="G124" s="73">
        <v>1</v>
      </c>
      <c r="H124" s="73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8" t="s">
        <v>399</v>
      </c>
      <c r="Q124" s="15">
        <f t="shared" si="29"/>
        <v>44</v>
      </c>
      <c r="R124" s="48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33"/>
      <c r="B125" s="73" t="s">
        <v>636</v>
      </c>
      <c r="C125" s="73">
        <v>2</v>
      </c>
      <c r="D125" s="73">
        <f>INDEX(神器!$M$4:$M$7,世界BOSS专属武器!C125)</f>
        <v>120</v>
      </c>
      <c r="E125" s="73">
        <f t="shared" ref="E125:E139" si="43">1/D125/2</f>
        <v>4.1666666666666666E-3</v>
      </c>
      <c r="F125" s="73">
        <f t="shared" si="42"/>
        <v>219</v>
      </c>
      <c r="G125" s="73">
        <v>2</v>
      </c>
      <c r="H125" s="73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8" t="s">
        <v>399</v>
      </c>
      <c r="Q125" s="15">
        <f t="shared" si="29"/>
        <v>45</v>
      </c>
      <c r="R125" s="48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33"/>
      <c r="B126" s="73" t="s">
        <v>637</v>
      </c>
      <c r="C126" s="73">
        <v>2</v>
      </c>
      <c r="D126" s="73">
        <f>INDEX(神器!$M$4:$M$7,世界BOSS专属武器!C126)</f>
        <v>120</v>
      </c>
      <c r="E126" s="73">
        <f t="shared" si="43"/>
        <v>4.1666666666666666E-3</v>
      </c>
      <c r="F126" s="73">
        <f t="shared" si="42"/>
        <v>219</v>
      </c>
      <c r="G126" s="73">
        <v>2</v>
      </c>
      <c r="H126" s="73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8" t="s">
        <v>399</v>
      </c>
      <c r="Q126" s="15">
        <f t="shared" si="29"/>
        <v>46</v>
      </c>
      <c r="R126" s="48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33"/>
      <c r="B127" s="73" t="s">
        <v>638</v>
      </c>
      <c r="C127" s="73">
        <v>3</v>
      </c>
      <c r="D127" s="73">
        <f>INDEX(神器!$M$4:$M$7,世界BOSS专属武器!C127)</f>
        <v>280</v>
      </c>
      <c r="E127" s="73">
        <f t="shared" si="43"/>
        <v>1.7857142857142857E-3</v>
      </c>
      <c r="F127" s="73">
        <f t="shared" si="42"/>
        <v>94</v>
      </c>
      <c r="G127" s="73">
        <v>1</v>
      </c>
      <c r="H127" s="73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8" t="s">
        <v>399</v>
      </c>
      <c r="Q127" s="15">
        <f t="shared" si="29"/>
        <v>47</v>
      </c>
      <c r="R127" s="48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33"/>
      <c r="B128" s="73" t="s">
        <v>639</v>
      </c>
      <c r="C128" s="73">
        <v>3</v>
      </c>
      <c r="D128" s="73">
        <f>INDEX(神器!$M$4:$M$7,世界BOSS专属武器!C128)</f>
        <v>280</v>
      </c>
      <c r="E128" s="73">
        <f t="shared" si="43"/>
        <v>1.7857142857142857E-3</v>
      </c>
      <c r="F128" s="73">
        <f t="shared" si="42"/>
        <v>94</v>
      </c>
      <c r="G128" s="73">
        <v>1</v>
      </c>
      <c r="H128" s="73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8" t="s">
        <v>399</v>
      </c>
      <c r="Q128" s="15">
        <f t="shared" si="29"/>
        <v>48</v>
      </c>
      <c r="R128" s="48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33"/>
      <c r="B129" s="73" t="s">
        <v>640</v>
      </c>
      <c r="C129" s="73">
        <v>3</v>
      </c>
      <c r="D129" s="73">
        <f>INDEX(神器!$M$4:$M$7,世界BOSS专属武器!C129)</f>
        <v>280</v>
      </c>
      <c r="E129" s="73">
        <f t="shared" si="43"/>
        <v>1.7857142857142857E-3</v>
      </c>
      <c r="F129" s="73">
        <f t="shared" si="42"/>
        <v>94</v>
      </c>
      <c r="G129" s="73">
        <v>1</v>
      </c>
      <c r="H129" s="73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8" t="s">
        <v>399</v>
      </c>
      <c r="Q129" s="15">
        <f t="shared" si="29"/>
        <v>49</v>
      </c>
      <c r="R129" s="48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33"/>
      <c r="B130" s="73" t="s">
        <v>641</v>
      </c>
      <c r="C130" s="73">
        <v>4</v>
      </c>
      <c r="D130" s="73">
        <f>INDEX(神器!$M$4:$M$7,世界BOSS专属武器!C130)</f>
        <v>600</v>
      </c>
      <c r="E130" s="73">
        <f t="shared" si="43"/>
        <v>8.3333333333333339E-4</v>
      </c>
      <c r="F130" s="73">
        <f t="shared" si="42"/>
        <v>44</v>
      </c>
      <c r="G130" s="73">
        <v>1</v>
      </c>
      <c r="H130" s="73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8" t="s">
        <v>399</v>
      </c>
      <c r="Q130" s="15">
        <f t="shared" si="29"/>
        <v>50</v>
      </c>
      <c r="R130" s="48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33"/>
      <c r="B131" s="73" t="s">
        <v>642</v>
      </c>
      <c r="C131" s="73">
        <v>4</v>
      </c>
      <c r="D131" s="73">
        <f>INDEX(神器!$M$4:$M$7,世界BOSS专属武器!C131)</f>
        <v>600</v>
      </c>
      <c r="E131" s="73">
        <f t="shared" si="43"/>
        <v>8.3333333333333339E-4</v>
      </c>
      <c r="F131" s="73">
        <f t="shared" si="42"/>
        <v>44</v>
      </c>
      <c r="G131" s="73">
        <v>1</v>
      </c>
      <c r="H131" s="73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8" t="s">
        <v>399</v>
      </c>
      <c r="Q131" s="15">
        <f t="shared" si="29"/>
        <v>0</v>
      </c>
      <c r="R131" s="48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33"/>
      <c r="B132" s="73" t="s">
        <v>643</v>
      </c>
      <c r="C132" s="73">
        <v>2</v>
      </c>
      <c r="D132" s="73">
        <f>INDEX(神器!$M$4:$M$7,世界BOSS专属武器!C132)</f>
        <v>120</v>
      </c>
      <c r="E132" s="73">
        <f t="shared" si="43"/>
        <v>4.1666666666666666E-3</v>
      </c>
      <c r="F132" s="73">
        <f t="shared" si="42"/>
        <v>219</v>
      </c>
      <c r="G132" s="73">
        <v>2</v>
      </c>
      <c r="H132" s="73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8" t="s">
        <v>399</v>
      </c>
      <c r="Q132" s="15">
        <f t="shared" si="29"/>
        <v>1</v>
      </c>
      <c r="R132" s="48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33"/>
      <c r="B133" s="73" t="s">
        <v>644</v>
      </c>
      <c r="C133" s="73">
        <v>2</v>
      </c>
      <c r="D133" s="73">
        <f>INDEX(神器!$M$4:$M$7,世界BOSS专属武器!C133)</f>
        <v>120</v>
      </c>
      <c r="E133" s="73">
        <f t="shared" si="43"/>
        <v>4.1666666666666666E-3</v>
      </c>
      <c r="F133" s="73">
        <f t="shared" si="42"/>
        <v>219</v>
      </c>
      <c r="G133" s="73">
        <v>2</v>
      </c>
      <c r="H133" s="73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8" t="s">
        <v>399</v>
      </c>
      <c r="Q133" s="15">
        <f t="shared" si="29"/>
        <v>2</v>
      </c>
      <c r="R133" s="48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33"/>
      <c r="B134" s="73" t="s">
        <v>645</v>
      </c>
      <c r="C134" s="73">
        <v>2</v>
      </c>
      <c r="D134" s="73">
        <f>INDEX(神器!$M$4:$M$7,世界BOSS专属武器!C134)</f>
        <v>120</v>
      </c>
      <c r="E134" s="73">
        <f t="shared" si="43"/>
        <v>4.1666666666666666E-3</v>
      </c>
      <c r="F134" s="73">
        <f t="shared" si="42"/>
        <v>219</v>
      </c>
      <c r="G134" s="73">
        <v>2</v>
      </c>
      <c r="H134" s="73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8" t="s">
        <v>399</v>
      </c>
      <c r="Q134" s="15">
        <f t="shared" si="29"/>
        <v>3</v>
      </c>
      <c r="R134" s="48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33"/>
      <c r="B135" s="73" t="s">
        <v>646</v>
      </c>
      <c r="C135" s="73">
        <v>3</v>
      </c>
      <c r="D135" s="73">
        <f>INDEX(神器!$M$4:$M$7,世界BOSS专属武器!C135)</f>
        <v>280</v>
      </c>
      <c r="E135" s="73">
        <f t="shared" si="43"/>
        <v>1.7857142857142857E-3</v>
      </c>
      <c r="F135" s="73">
        <f t="shared" si="42"/>
        <v>94</v>
      </c>
      <c r="G135" s="73">
        <v>1</v>
      </c>
      <c r="H135" s="73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8" t="s">
        <v>399</v>
      </c>
      <c r="Q135" s="15">
        <f t="shared" si="29"/>
        <v>4</v>
      </c>
      <c r="R135" s="48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33"/>
      <c r="B136" s="73" t="s">
        <v>647</v>
      </c>
      <c r="C136" s="73">
        <v>3</v>
      </c>
      <c r="D136" s="73">
        <f>INDEX(神器!$M$4:$M$7,世界BOSS专属武器!C136)</f>
        <v>280</v>
      </c>
      <c r="E136" s="73">
        <f t="shared" si="43"/>
        <v>1.7857142857142857E-3</v>
      </c>
      <c r="F136" s="73">
        <f t="shared" si="42"/>
        <v>94</v>
      </c>
      <c r="G136" s="73">
        <v>1</v>
      </c>
      <c r="H136" s="73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8" t="s">
        <v>399</v>
      </c>
      <c r="Q136" s="15">
        <f t="shared" si="29"/>
        <v>5</v>
      </c>
      <c r="R136" s="48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33"/>
      <c r="B137" s="73" t="s">
        <v>648</v>
      </c>
      <c r="C137" s="73">
        <v>3</v>
      </c>
      <c r="D137" s="73">
        <f>INDEX(神器!$M$4:$M$7,世界BOSS专属武器!C137)</f>
        <v>280</v>
      </c>
      <c r="E137" s="73">
        <f t="shared" si="43"/>
        <v>1.7857142857142857E-3</v>
      </c>
      <c r="F137" s="73">
        <f t="shared" si="42"/>
        <v>94</v>
      </c>
      <c r="G137" s="73">
        <v>1</v>
      </c>
      <c r="H137" s="73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8" t="s">
        <v>399</v>
      </c>
      <c r="Q137" s="15">
        <f t="shared" si="29"/>
        <v>6</v>
      </c>
      <c r="R137" s="48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33"/>
      <c r="B138" s="73" t="s">
        <v>649</v>
      </c>
      <c r="C138" s="73">
        <v>4</v>
      </c>
      <c r="D138" s="73">
        <f>INDEX(神器!$M$4:$M$7,世界BOSS专属武器!C138)</f>
        <v>600</v>
      </c>
      <c r="E138" s="73">
        <f t="shared" si="43"/>
        <v>8.3333333333333339E-4</v>
      </c>
      <c r="F138" s="73">
        <f t="shared" si="42"/>
        <v>44</v>
      </c>
      <c r="G138" s="73">
        <v>1</v>
      </c>
      <c r="H138" s="73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8" t="s">
        <v>399</v>
      </c>
      <c r="Q138" s="15">
        <f t="shared" si="29"/>
        <v>7</v>
      </c>
      <c r="R138" s="48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33"/>
      <c r="B139" s="73" t="s">
        <v>650</v>
      </c>
      <c r="C139" s="73">
        <v>4</v>
      </c>
      <c r="D139" s="73">
        <f>INDEX(神器!$M$4:$M$7,世界BOSS专属武器!C139)</f>
        <v>600</v>
      </c>
      <c r="E139" s="73">
        <f t="shared" si="43"/>
        <v>8.3333333333333339E-4</v>
      </c>
      <c r="F139" s="73">
        <f>10000-SUM(F106:F138)</f>
        <v>31</v>
      </c>
      <c r="G139" s="73">
        <v>1</v>
      </c>
      <c r="H139" s="73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8" t="s">
        <v>399</v>
      </c>
      <c r="Q139" s="15">
        <f t="shared" si="29"/>
        <v>8</v>
      </c>
      <c r="R139" s="48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8" t="s">
        <v>399</v>
      </c>
      <c r="Q140" s="15">
        <f t="shared" si="29"/>
        <v>9</v>
      </c>
      <c r="R140" s="48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7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8" t="s">
        <v>399</v>
      </c>
      <c r="Q141" s="15">
        <f t="shared" si="29"/>
        <v>10</v>
      </c>
      <c r="R141" s="48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33" t="s">
        <v>722</v>
      </c>
      <c r="B142" s="73" t="s">
        <v>617</v>
      </c>
      <c r="C142" s="73">
        <v>1</v>
      </c>
      <c r="D142" s="73">
        <f>INDEX(神器!$M$4:$M$7,世界BOSS专属武器!C142)</f>
        <v>40</v>
      </c>
      <c r="E142" s="73">
        <f t="shared" ref="E142:E175" si="44">1/D142</f>
        <v>2.5000000000000001E-2</v>
      </c>
      <c r="F142" s="73">
        <f>ROUND(E142/E$141*10000,0)</f>
        <v>1089</v>
      </c>
      <c r="G142" s="73">
        <v>2</v>
      </c>
      <c r="H142" s="73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8" t="s">
        <v>399</v>
      </c>
      <c r="Q142" s="15">
        <f t="shared" si="29"/>
        <v>11</v>
      </c>
      <c r="R142" s="48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33"/>
      <c r="B143" s="73" t="s">
        <v>618</v>
      </c>
      <c r="C143" s="73">
        <v>2</v>
      </c>
      <c r="D143" s="73">
        <f>INDEX(神器!$M$4:$M$7,世界BOSS专属武器!C143)</f>
        <v>120</v>
      </c>
      <c r="E143" s="73">
        <f t="shared" si="44"/>
        <v>8.3333333333333332E-3</v>
      </c>
      <c r="F143" s="73">
        <f t="shared" ref="F143:F174" si="45">ROUND(E143/E$141*10000,0)</f>
        <v>363</v>
      </c>
      <c r="G143" s="73">
        <v>2</v>
      </c>
      <c r="H143" s="73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8" t="s">
        <v>399</v>
      </c>
      <c r="Q143" s="15">
        <f t="shared" si="29"/>
        <v>12</v>
      </c>
      <c r="R143" s="48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33"/>
      <c r="B144" s="73" t="s">
        <v>619</v>
      </c>
      <c r="C144" s="73">
        <v>2</v>
      </c>
      <c r="D144" s="73">
        <f>INDEX(神器!$M$4:$M$7,世界BOSS专属武器!C144)</f>
        <v>120</v>
      </c>
      <c r="E144" s="73">
        <f t="shared" si="44"/>
        <v>8.3333333333333332E-3</v>
      </c>
      <c r="F144" s="73">
        <f t="shared" si="45"/>
        <v>363</v>
      </c>
      <c r="G144" s="73">
        <v>2</v>
      </c>
      <c r="H144" s="73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8" t="s">
        <v>399</v>
      </c>
      <c r="Q144" s="15">
        <f t="shared" si="29"/>
        <v>13</v>
      </c>
      <c r="R144" s="48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33"/>
      <c r="B145" s="73" t="s">
        <v>620</v>
      </c>
      <c r="C145" s="73">
        <v>3</v>
      </c>
      <c r="D145" s="73">
        <f>INDEX(神器!$M$4:$M$7,世界BOSS专属武器!C145)</f>
        <v>280</v>
      </c>
      <c r="E145" s="73">
        <f t="shared" si="44"/>
        <v>3.5714285714285713E-3</v>
      </c>
      <c r="F145" s="73">
        <f t="shared" si="45"/>
        <v>156</v>
      </c>
      <c r="G145" s="73">
        <v>1</v>
      </c>
      <c r="H145" s="73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8" t="s">
        <v>399</v>
      </c>
      <c r="Q145" s="15">
        <f t="shared" ref="Q145:Q208" si="47">MOD(M145-1,51)</f>
        <v>14</v>
      </c>
      <c r="R145" s="48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33"/>
      <c r="B146" s="73" t="s">
        <v>621</v>
      </c>
      <c r="C146" s="73">
        <v>3</v>
      </c>
      <c r="D146" s="73">
        <f>INDEX(神器!$M$4:$M$7,世界BOSS专属武器!C146)</f>
        <v>280</v>
      </c>
      <c r="E146" s="73">
        <f t="shared" si="44"/>
        <v>3.5714285714285713E-3</v>
      </c>
      <c r="F146" s="73">
        <f t="shared" si="45"/>
        <v>156</v>
      </c>
      <c r="G146" s="73">
        <v>1</v>
      </c>
      <c r="H146" s="73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8" t="s">
        <v>399</v>
      </c>
      <c r="Q146" s="15">
        <f t="shared" si="47"/>
        <v>15</v>
      </c>
      <c r="R146" s="48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33"/>
      <c r="B147" s="73" t="s">
        <v>622</v>
      </c>
      <c r="C147" s="73">
        <v>4</v>
      </c>
      <c r="D147" s="73">
        <f>INDEX(神器!$M$4:$M$7,世界BOSS专属武器!C147)</f>
        <v>600</v>
      </c>
      <c r="E147" s="73">
        <f t="shared" si="44"/>
        <v>1.6666666666666668E-3</v>
      </c>
      <c r="F147" s="73">
        <f t="shared" si="45"/>
        <v>73</v>
      </c>
      <c r="G147" s="73">
        <v>1</v>
      </c>
      <c r="H147" s="73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8" t="s">
        <v>399</v>
      </c>
      <c r="Q147" s="15">
        <f t="shared" si="47"/>
        <v>16</v>
      </c>
      <c r="R147" s="48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33"/>
      <c r="B148" s="73" t="s">
        <v>623</v>
      </c>
      <c r="C148" s="73">
        <v>1</v>
      </c>
      <c r="D148" s="73">
        <f>INDEX(神器!$M$4:$M$7,世界BOSS专属武器!C148)</f>
        <v>40</v>
      </c>
      <c r="E148" s="73">
        <f t="shared" si="44"/>
        <v>2.5000000000000001E-2</v>
      </c>
      <c r="F148" s="73">
        <f t="shared" si="45"/>
        <v>1089</v>
      </c>
      <c r="G148" s="73">
        <v>2</v>
      </c>
      <c r="H148" s="73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8" t="s">
        <v>399</v>
      </c>
      <c r="Q148" s="15">
        <f t="shared" si="47"/>
        <v>17</v>
      </c>
      <c r="R148" s="48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33"/>
      <c r="B149" s="73" t="s">
        <v>624</v>
      </c>
      <c r="C149" s="73">
        <v>2</v>
      </c>
      <c r="D149" s="73">
        <f>INDEX(神器!$M$4:$M$7,世界BOSS专属武器!C149)</f>
        <v>120</v>
      </c>
      <c r="E149" s="73">
        <f t="shared" si="44"/>
        <v>8.3333333333333332E-3</v>
      </c>
      <c r="F149" s="73">
        <f t="shared" si="45"/>
        <v>363</v>
      </c>
      <c r="G149" s="73">
        <v>2</v>
      </c>
      <c r="H149" s="73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8" t="s">
        <v>399</v>
      </c>
      <c r="Q149" s="15">
        <f t="shared" si="47"/>
        <v>18</v>
      </c>
      <c r="R149" s="48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33"/>
      <c r="B150" s="73" t="s">
        <v>625</v>
      </c>
      <c r="C150" s="73">
        <v>2</v>
      </c>
      <c r="D150" s="73">
        <f>INDEX(神器!$M$4:$M$7,世界BOSS专属武器!C150)</f>
        <v>120</v>
      </c>
      <c r="E150" s="73">
        <f t="shared" si="44"/>
        <v>8.3333333333333332E-3</v>
      </c>
      <c r="F150" s="73">
        <f t="shared" si="45"/>
        <v>363</v>
      </c>
      <c r="G150" s="73">
        <v>2</v>
      </c>
      <c r="H150" s="73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8" t="s">
        <v>399</v>
      </c>
      <c r="Q150" s="15">
        <f t="shared" si="47"/>
        <v>19</v>
      </c>
      <c r="R150" s="48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33"/>
      <c r="B151" s="73" t="s">
        <v>626</v>
      </c>
      <c r="C151" s="73">
        <v>3</v>
      </c>
      <c r="D151" s="73">
        <f>INDEX(神器!$M$4:$M$7,世界BOSS专属武器!C151)</f>
        <v>280</v>
      </c>
      <c r="E151" s="73">
        <f t="shared" si="44"/>
        <v>3.5714285714285713E-3</v>
      </c>
      <c r="F151" s="73">
        <f t="shared" si="45"/>
        <v>156</v>
      </c>
      <c r="G151" s="73">
        <v>1</v>
      </c>
      <c r="H151" s="73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8" t="s">
        <v>399</v>
      </c>
      <c r="Q151" s="15">
        <f t="shared" si="47"/>
        <v>20</v>
      </c>
      <c r="R151" s="48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33"/>
      <c r="B152" s="73" t="s">
        <v>627</v>
      </c>
      <c r="C152" s="73">
        <v>3</v>
      </c>
      <c r="D152" s="73">
        <f>INDEX(神器!$M$4:$M$7,世界BOSS专属武器!C152)</f>
        <v>280</v>
      </c>
      <c r="E152" s="73">
        <f t="shared" si="44"/>
        <v>3.5714285714285713E-3</v>
      </c>
      <c r="F152" s="73">
        <f t="shared" si="45"/>
        <v>156</v>
      </c>
      <c r="G152" s="73">
        <v>1</v>
      </c>
      <c r="H152" s="73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8" t="s">
        <v>399</v>
      </c>
      <c r="Q152" s="15">
        <f t="shared" si="47"/>
        <v>21</v>
      </c>
      <c r="R152" s="48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33"/>
      <c r="B153" s="73" t="s">
        <v>628</v>
      </c>
      <c r="C153" s="73">
        <v>4</v>
      </c>
      <c r="D153" s="73">
        <f>INDEX(神器!$M$4:$M$7,世界BOSS专属武器!C153)</f>
        <v>600</v>
      </c>
      <c r="E153" s="73">
        <f t="shared" si="44"/>
        <v>1.6666666666666668E-3</v>
      </c>
      <c r="F153" s="73">
        <f t="shared" si="45"/>
        <v>73</v>
      </c>
      <c r="G153" s="73">
        <v>1</v>
      </c>
      <c r="H153" s="73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8" t="s">
        <v>399</v>
      </c>
      <c r="Q153" s="15">
        <f t="shared" si="47"/>
        <v>22</v>
      </c>
      <c r="R153" s="48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33"/>
      <c r="B154" s="73" t="s">
        <v>629</v>
      </c>
      <c r="C154" s="73">
        <v>1</v>
      </c>
      <c r="D154" s="73">
        <f>INDEX(神器!$M$4:$M$7,世界BOSS专属武器!C154)</f>
        <v>40</v>
      </c>
      <c r="E154" s="73">
        <f t="shared" si="44"/>
        <v>2.5000000000000001E-2</v>
      </c>
      <c r="F154" s="73">
        <f t="shared" si="45"/>
        <v>1089</v>
      </c>
      <c r="G154" s="73">
        <v>2</v>
      </c>
      <c r="H154" s="73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8" t="s">
        <v>399</v>
      </c>
      <c r="Q154" s="15">
        <f t="shared" si="47"/>
        <v>23</v>
      </c>
      <c r="R154" s="48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33"/>
      <c r="B155" s="73" t="s">
        <v>630</v>
      </c>
      <c r="C155" s="73">
        <v>2</v>
      </c>
      <c r="D155" s="73">
        <f>INDEX(神器!$M$4:$M$7,世界BOSS专属武器!C155)</f>
        <v>120</v>
      </c>
      <c r="E155" s="73">
        <f t="shared" si="44"/>
        <v>8.3333333333333332E-3</v>
      </c>
      <c r="F155" s="73">
        <f t="shared" si="45"/>
        <v>363</v>
      </c>
      <c r="G155" s="73">
        <v>2</v>
      </c>
      <c r="H155" s="73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8" t="s">
        <v>399</v>
      </c>
      <c r="Q155" s="15">
        <f t="shared" si="47"/>
        <v>24</v>
      </c>
      <c r="R155" s="48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33"/>
      <c r="B156" s="73" t="s">
        <v>631</v>
      </c>
      <c r="C156" s="73">
        <v>2</v>
      </c>
      <c r="D156" s="73">
        <f>INDEX(神器!$M$4:$M$7,世界BOSS专属武器!C156)</f>
        <v>120</v>
      </c>
      <c r="E156" s="73">
        <f t="shared" si="44"/>
        <v>8.3333333333333332E-3</v>
      </c>
      <c r="F156" s="73">
        <f t="shared" si="45"/>
        <v>363</v>
      </c>
      <c r="G156" s="73">
        <v>2</v>
      </c>
      <c r="H156" s="73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8" t="s">
        <v>399</v>
      </c>
      <c r="Q156" s="15">
        <f t="shared" si="47"/>
        <v>25</v>
      </c>
      <c r="R156" s="48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33"/>
      <c r="B157" s="73" t="s">
        <v>632</v>
      </c>
      <c r="C157" s="73">
        <v>3</v>
      </c>
      <c r="D157" s="73">
        <f>INDEX(神器!$M$4:$M$7,世界BOSS专属武器!C157)</f>
        <v>280</v>
      </c>
      <c r="E157" s="73">
        <f t="shared" si="44"/>
        <v>3.5714285714285713E-3</v>
      </c>
      <c r="F157" s="73">
        <f t="shared" si="45"/>
        <v>156</v>
      </c>
      <c r="G157" s="73">
        <v>1</v>
      </c>
      <c r="H157" s="73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8" t="s">
        <v>399</v>
      </c>
      <c r="Q157" s="15">
        <f t="shared" si="47"/>
        <v>26</v>
      </c>
      <c r="R157" s="48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33"/>
      <c r="B158" s="73" t="s">
        <v>633</v>
      </c>
      <c r="C158" s="73">
        <v>3</v>
      </c>
      <c r="D158" s="73">
        <f>INDEX(神器!$M$4:$M$7,世界BOSS专属武器!C158)</f>
        <v>280</v>
      </c>
      <c r="E158" s="73">
        <f t="shared" si="44"/>
        <v>3.5714285714285713E-3</v>
      </c>
      <c r="F158" s="73">
        <f t="shared" si="45"/>
        <v>156</v>
      </c>
      <c r="G158" s="73">
        <v>1</v>
      </c>
      <c r="H158" s="73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8" t="s">
        <v>399</v>
      </c>
      <c r="Q158" s="15">
        <f t="shared" si="47"/>
        <v>27</v>
      </c>
      <c r="R158" s="48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33"/>
      <c r="B159" s="73" t="s">
        <v>634</v>
      </c>
      <c r="C159" s="73">
        <v>4</v>
      </c>
      <c r="D159" s="73">
        <f>INDEX(神器!$M$4:$M$7,世界BOSS专属武器!C159)</f>
        <v>600</v>
      </c>
      <c r="E159" s="73">
        <f t="shared" si="44"/>
        <v>1.6666666666666668E-3</v>
      </c>
      <c r="F159" s="73">
        <f t="shared" si="45"/>
        <v>73</v>
      </c>
      <c r="G159" s="73">
        <v>1</v>
      </c>
      <c r="H159" s="73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8" t="s">
        <v>399</v>
      </c>
      <c r="Q159" s="15">
        <f t="shared" si="47"/>
        <v>28</v>
      </c>
      <c r="R159" s="48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33"/>
      <c r="B160" s="73" t="s">
        <v>635</v>
      </c>
      <c r="C160" s="73">
        <v>2</v>
      </c>
      <c r="D160" s="73">
        <f>INDEX(神器!$M$4:$M$7,世界BOSS专属武器!C160)</f>
        <v>120</v>
      </c>
      <c r="E160" s="73">
        <f t="shared" si="44"/>
        <v>8.3333333333333332E-3</v>
      </c>
      <c r="F160" s="73">
        <f t="shared" si="45"/>
        <v>363</v>
      </c>
      <c r="G160" s="73">
        <v>2</v>
      </c>
      <c r="H160" s="73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8" t="s">
        <v>399</v>
      </c>
      <c r="Q160" s="15">
        <f t="shared" si="47"/>
        <v>29</v>
      </c>
      <c r="R160" s="48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33"/>
      <c r="B161" s="73" t="s">
        <v>636</v>
      </c>
      <c r="C161" s="73">
        <v>2</v>
      </c>
      <c r="D161" s="73">
        <f>INDEX(神器!$M$4:$M$7,世界BOSS专属武器!C161)</f>
        <v>120</v>
      </c>
      <c r="E161" s="73">
        <f t="shared" si="44"/>
        <v>8.3333333333333332E-3</v>
      </c>
      <c r="F161" s="73">
        <f t="shared" si="45"/>
        <v>363</v>
      </c>
      <c r="G161" s="73">
        <v>2</v>
      </c>
      <c r="H161" s="73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8" t="s">
        <v>399</v>
      </c>
      <c r="Q161" s="15">
        <f t="shared" si="47"/>
        <v>30</v>
      </c>
      <c r="R161" s="48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33"/>
      <c r="B162" s="73" t="s">
        <v>637</v>
      </c>
      <c r="C162" s="73">
        <v>2</v>
      </c>
      <c r="D162" s="73">
        <f>INDEX(神器!$M$4:$M$7,世界BOSS专属武器!C162)</f>
        <v>120</v>
      </c>
      <c r="E162" s="73">
        <f t="shared" si="44"/>
        <v>8.3333333333333332E-3</v>
      </c>
      <c r="F162" s="73">
        <f t="shared" si="45"/>
        <v>363</v>
      </c>
      <c r="G162" s="73">
        <v>2</v>
      </c>
      <c r="H162" s="73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8" t="s">
        <v>399</v>
      </c>
      <c r="Q162" s="15">
        <f t="shared" si="47"/>
        <v>31</v>
      </c>
      <c r="R162" s="48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33"/>
      <c r="B163" s="73" t="s">
        <v>638</v>
      </c>
      <c r="C163" s="73">
        <v>3</v>
      </c>
      <c r="D163" s="73">
        <f>INDEX(神器!$M$4:$M$7,世界BOSS专属武器!C163)</f>
        <v>280</v>
      </c>
      <c r="E163" s="73">
        <f t="shared" si="44"/>
        <v>3.5714285714285713E-3</v>
      </c>
      <c r="F163" s="73">
        <f t="shared" si="45"/>
        <v>156</v>
      </c>
      <c r="G163" s="73">
        <v>1</v>
      </c>
      <c r="H163" s="73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8" t="s">
        <v>399</v>
      </c>
      <c r="Q163" s="15">
        <f t="shared" si="47"/>
        <v>32</v>
      </c>
      <c r="R163" s="48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33"/>
      <c r="B164" s="73" t="s">
        <v>639</v>
      </c>
      <c r="C164" s="73">
        <v>3</v>
      </c>
      <c r="D164" s="73">
        <f>INDEX(神器!$M$4:$M$7,世界BOSS专属武器!C164)</f>
        <v>280</v>
      </c>
      <c r="E164" s="73">
        <f t="shared" si="44"/>
        <v>3.5714285714285713E-3</v>
      </c>
      <c r="F164" s="73">
        <f t="shared" si="45"/>
        <v>156</v>
      </c>
      <c r="G164" s="73">
        <v>1</v>
      </c>
      <c r="H164" s="73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8" t="s">
        <v>399</v>
      </c>
      <c r="Q164" s="15">
        <f t="shared" si="47"/>
        <v>33</v>
      </c>
      <c r="R164" s="48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33"/>
      <c r="B165" s="73" t="s">
        <v>640</v>
      </c>
      <c r="C165" s="73">
        <v>3</v>
      </c>
      <c r="D165" s="73">
        <f>INDEX(神器!$M$4:$M$7,世界BOSS专属武器!C165)</f>
        <v>280</v>
      </c>
      <c r="E165" s="73">
        <f t="shared" si="44"/>
        <v>3.5714285714285713E-3</v>
      </c>
      <c r="F165" s="73">
        <f t="shared" si="45"/>
        <v>156</v>
      </c>
      <c r="G165" s="73">
        <v>1</v>
      </c>
      <c r="H165" s="73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8" t="s">
        <v>399</v>
      </c>
      <c r="Q165" s="15">
        <f t="shared" si="47"/>
        <v>34</v>
      </c>
      <c r="R165" s="48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33"/>
      <c r="B166" s="73" t="s">
        <v>641</v>
      </c>
      <c r="C166" s="73">
        <v>4</v>
      </c>
      <c r="D166" s="73">
        <f>INDEX(神器!$M$4:$M$7,世界BOSS专属武器!C166)</f>
        <v>600</v>
      </c>
      <c r="E166" s="73">
        <f t="shared" si="44"/>
        <v>1.6666666666666668E-3</v>
      </c>
      <c r="F166" s="73">
        <f t="shared" si="45"/>
        <v>73</v>
      </c>
      <c r="G166" s="73">
        <v>1</v>
      </c>
      <c r="H166" s="73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8" t="s">
        <v>399</v>
      </c>
      <c r="Q166" s="15">
        <f t="shared" si="47"/>
        <v>35</v>
      </c>
      <c r="R166" s="48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33"/>
      <c r="B167" s="73" t="s">
        <v>642</v>
      </c>
      <c r="C167" s="73">
        <v>4</v>
      </c>
      <c r="D167" s="73">
        <f>INDEX(神器!$M$4:$M$7,世界BOSS专属武器!C167)</f>
        <v>600</v>
      </c>
      <c r="E167" s="73">
        <f t="shared" si="44"/>
        <v>1.6666666666666668E-3</v>
      </c>
      <c r="F167" s="73">
        <f t="shared" si="45"/>
        <v>73</v>
      </c>
      <c r="G167" s="73">
        <v>1</v>
      </c>
      <c r="H167" s="73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8" t="s">
        <v>399</v>
      </c>
      <c r="Q167" s="15">
        <f t="shared" si="47"/>
        <v>36</v>
      </c>
      <c r="R167" s="48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33"/>
      <c r="B168" s="73" t="s">
        <v>643</v>
      </c>
      <c r="C168" s="73">
        <v>2</v>
      </c>
      <c r="D168" s="73">
        <f>INDEX(神器!$M$4:$M$7,世界BOSS专属武器!C168)</f>
        <v>120</v>
      </c>
      <c r="E168" s="73">
        <f t="shared" si="44"/>
        <v>8.3333333333333332E-3</v>
      </c>
      <c r="F168" s="73">
        <f t="shared" si="45"/>
        <v>363</v>
      </c>
      <c r="G168" s="73">
        <v>2</v>
      </c>
      <c r="H168" s="73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8" t="s">
        <v>399</v>
      </c>
      <c r="Q168" s="15">
        <f t="shared" si="47"/>
        <v>37</v>
      </c>
      <c r="R168" s="48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33"/>
      <c r="B169" s="73" t="s">
        <v>644</v>
      </c>
      <c r="C169" s="73">
        <v>2</v>
      </c>
      <c r="D169" s="73">
        <f>INDEX(神器!$M$4:$M$7,世界BOSS专属武器!C169)</f>
        <v>120</v>
      </c>
      <c r="E169" s="73">
        <f t="shared" si="44"/>
        <v>8.3333333333333332E-3</v>
      </c>
      <c r="F169" s="73">
        <f t="shared" si="45"/>
        <v>363</v>
      </c>
      <c r="G169" s="73">
        <v>2</v>
      </c>
      <c r="H169" s="73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8" t="s">
        <v>399</v>
      </c>
      <c r="Q169" s="15">
        <f t="shared" si="47"/>
        <v>38</v>
      </c>
      <c r="R169" s="48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33"/>
      <c r="B170" s="73" t="s">
        <v>645</v>
      </c>
      <c r="C170" s="73">
        <v>2</v>
      </c>
      <c r="D170" s="73">
        <f>INDEX(神器!$M$4:$M$7,世界BOSS专属武器!C170)</f>
        <v>120</v>
      </c>
      <c r="E170" s="73">
        <f t="shared" si="44"/>
        <v>8.3333333333333332E-3</v>
      </c>
      <c r="F170" s="73">
        <f t="shared" si="45"/>
        <v>363</v>
      </c>
      <c r="G170" s="73">
        <v>2</v>
      </c>
      <c r="H170" s="73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8" t="s">
        <v>399</v>
      </c>
      <c r="Q170" s="15">
        <f t="shared" si="47"/>
        <v>39</v>
      </c>
      <c r="R170" s="48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33"/>
      <c r="B171" s="73" t="s">
        <v>646</v>
      </c>
      <c r="C171" s="73">
        <v>3</v>
      </c>
      <c r="D171" s="73">
        <f>INDEX(神器!$M$4:$M$7,世界BOSS专属武器!C171)</f>
        <v>280</v>
      </c>
      <c r="E171" s="73">
        <f t="shared" si="44"/>
        <v>3.5714285714285713E-3</v>
      </c>
      <c r="F171" s="73">
        <f t="shared" si="45"/>
        <v>156</v>
      </c>
      <c r="G171" s="73">
        <v>1</v>
      </c>
      <c r="H171" s="73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8" t="s">
        <v>399</v>
      </c>
      <c r="Q171" s="15">
        <f t="shared" si="47"/>
        <v>40</v>
      </c>
      <c r="R171" s="48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33"/>
      <c r="B172" s="73" t="s">
        <v>647</v>
      </c>
      <c r="C172" s="73">
        <v>3</v>
      </c>
      <c r="D172" s="73">
        <f>INDEX(神器!$M$4:$M$7,世界BOSS专属武器!C172)</f>
        <v>280</v>
      </c>
      <c r="E172" s="73">
        <f t="shared" si="44"/>
        <v>3.5714285714285713E-3</v>
      </c>
      <c r="F172" s="73">
        <f t="shared" si="45"/>
        <v>156</v>
      </c>
      <c r="G172" s="73">
        <v>1</v>
      </c>
      <c r="H172" s="73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8" t="s">
        <v>399</v>
      </c>
      <c r="Q172" s="15">
        <f t="shared" si="47"/>
        <v>41</v>
      </c>
      <c r="R172" s="48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33"/>
      <c r="B173" s="73" t="s">
        <v>648</v>
      </c>
      <c r="C173" s="73">
        <v>3</v>
      </c>
      <c r="D173" s="73">
        <f>INDEX(神器!$M$4:$M$7,世界BOSS专属武器!C173)</f>
        <v>280</v>
      </c>
      <c r="E173" s="73">
        <f t="shared" si="44"/>
        <v>3.5714285714285713E-3</v>
      </c>
      <c r="F173" s="73">
        <f t="shared" si="45"/>
        <v>156</v>
      </c>
      <c r="G173" s="73">
        <v>1</v>
      </c>
      <c r="H173" s="73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8" t="s">
        <v>399</v>
      </c>
      <c r="Q173" s="15">
        <f t="shared" si="47"/>
        <v>42</v>
      </c>
      <c r="R173" s="48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33"/>
      <c r="B174" s="73" t="s">
        <v>649</v>
      </c>
      <c r="C174" s="73">
        <v>4</v>
      </c>
      <c r="D174" s="73">
        <f>INDEX(神器!$M$4:$M$7,世界BOSS专属武器!C174)</f>
        <v>600</v>
      </c>
      <c r="E174" s="73">
        <f t="shared" si="44"/>
        <v>1.6666666666666668E-3</v>
      </c>
      <c r="F174" s="73">
        <f t="shared" si="45"/>
        <v>73</v>
      </c>
      <c r="G174" s="73">
        <v>1</v>
      </c>
      <c r="H174" s="73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8" t="s">
        <v>399</v>
      </c>
      <c r="Q174" s="15">
        <f t="shared" si="47"/>
        <v>43</v>
      </c>
      <c r="R174" s="48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33"/>
      <c r="B175" s="73" t="s">
        <v>650</v>
      </c>
      <c r="C175" s="73">
        <v>4</v>
      </c>
      <c r="D175" s="73">
        <f>INDEX(神器!$M$4:$M$7,世界BOSS专属武器!C175)</f>
        <v>600</v>
      </c>
      <c r="E175" s="73">
        <f t="shared" si="44"/>
        <v>1.6666666666666668E-3</v>
      </c>
      <c r="F175" s="73">
        <f>10000-SUM(F142:F174)</f>
        <v>67</v>
      </c>
      <c r="G175" s="73">
        <v>1</v>
      </c>
      <c r="H175" s="73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8" t="s">
        <v>399</v>
      </c>
      <c r="Q175" s="15">
        <f t="shared" si="47"/>
        <v>44</v>
      </c>
      <c r="R175" s="48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8" t="s">
        <v>399</v>
      </c>
      <c r="Q176" s="15">
        <f t="shared" si="47"/>
        <v>45</v>
      </c>
      <c r="R176" s="48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7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8" t="s">
        <v>399</v>
      </c>
      <c r="Q177" s="15">
        <f t="shared" si="47"/>
        <v>46</v>
      </c>
      <c r="R177" s="48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33" t="s">
        <v>723</v>
      </c>
      <c r="B178" s="73" t="s">
        <v>617</v>
      </c>
      <c r="C178" s="73">
        <v>1</v>
      </c>
      <c r="D178" s="73">
        <f>INDEX(神器!$M$4:$M$7,世界BOSS专属武器!C178)</f>
        <v>40</v>
      </c>
      <c r="E178" s="73">
        <f t="shared" ref="E178:E211" si="58">1/D178</f>
        <v>2.5000000000000001E-2</v>
      </c>
      <c r="F178" s="73">
        <f>ROUND(E178/E$177*10000,0)</f>
        <v>1089</v>
      </c>
      <c r="G178" s="73">
        <v>3</v>
      </c>
      <c r="H178" s="73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8" t="s">
        <v>399</v>
      </c>
      <c r="Q178" s="15">
        <f t="shared" si="47"/>
        <v>47</v>
      </c>
      <c r="R178" s="48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33"/>
      <c r="B179" s="73" t="s">
        <v>618</v>
      </c>
      <c r="C179" s="73">
        <v>2</v>
      </c>
      <c r="D179" s="73">
        <f>INDEX(神器!$M$4:$M$7,世界BOSS专属武器!C179)</f>
        <v>120</v>
      </c>
      <c r="E179" s="73">
        <f t="shared" si="58"/>
        <v>8.3333333333333332E-3</v>
      </c>
      <c r="F179" s="73">
        <f t="shared" ref="F179:F210" si="59">ROUND(E179/E$177*10000,0)</f>
        <v>363</v>
      </c>
      <c r="G179" s="73">
        <v>3</v>
      </c>
      <c r="H179" s="73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8" t="s">
        <v>399</v>
      </c>
      <c r="Q179" s="15">
        <f t="shared" si="47"/>
        <v>48</v>
      </c>
      <c r="R179" s="48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33"/>
      <c r="B180" s="73" t="s">
        <v>619</v>
      </c>
      <c r="C180" s="73">
        <v>2</v>
      </c>
      <c r="D180" s="73">
        <f>INDEX(神器!$M$4:$M$7,世界BOSS专属武器!C180)</f>
        <v>120</v>
      </c>
      <c r="E180" s="73">
        <f t="shared" si="58"/>
        <v>8.3333333333333332E-3</v>
      </c>
      <c r="F180" s="73">
        <f t="shared" si="59"/>
        <v>363</v>
      </c>
      <c r="G180" s="73">
        <v>3</v>
      </c>
      <c r="H180" s="73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8" t="s">
        <v>399</v>
      </c>
      <c r="Q180" s="15">
        <f t="shared" si="47"/>
        <v>49</v>
      </c>
      <c r="R180" s="48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33"/>
      <c r="B181" s="73" t="s">
        <v>620</v>
      </c>
      <c r="C181" s="73">
        <v>3</v>
      </c>
      <c r="D181" s="73">
        <f>INDEX(神器!$M$4:$M$7,世界BOSS专属武器!C181)</f>
        <v>280</v>
      </c>
      <c r="E181" s="73">
        <f t="shared" si="58"/>
        <v>3.5714285714285713E-3</v>
      </c>
      <c r="F181" s="73">
        <f t="shared" si="59"/>
        <v>156</v>
      </c>
      <c r="G181" s="73">
        <v>2</v>
      </c>
      <c r="H181" s="73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8" t="s">
        <v>399</v>
      </c>
      <c r="Q181" s="15">
        <f t="shared" si="47"/>
        <v>50</v>
      </c>
      <c r="R181" s="48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33"/>
      <c r="B182" s="73" t="s">
        <v>621</v>
      </c>
      <c r="C182" s="73">
        <v>3</v>
      </c>
      <c r="D182" s="73">
        <f>INDEX(神器!$M$4:$M$7,世界BOSS专属武器!C182)</f>
        <v>280</v>
      </c>
      <c r="E182" s="73">
        <f t="shared" si="58"/>
        <v>3.5714285714285713E-3</v>
      </c>
      <c r="F182" s="73">
        <f t="shared" si="59"/>
        <v>156</v>
      </c>
      <c r="G182" s="73">
        <v>2</v>
      </c>
      <c r="H182" s="73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8" t="s">
        <v>399</v>
      </c>
      <c r="Q182" s="15">
        <f t="shared" si="47"/>
        <v>0</v>
      </c>
      <c r="R182" s="48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33"/>
      <c r="B183" s="73" t="s">
        <v>622</v>
      </c>
      <c r="C183" s="73">
        <v>4</v>
      </c>
      <c r="D183" s="73">
        <f>INDEX(神器!$M$4:$M$7,世界BOSS专属武器!C183)</f>
        <v>600</v>
      </c>
      <c r="E183" s="73">
        <f t="shared" si="58"/>
        <v>1.6666666666666668E-3</v>
      </c>
      <c r="F183" s="73">
        <f t="shared" si="59"/>
        <v>73</v>
      </c>
      <c r="G183" s="73">
        <v>1</v>
      </c>
      <c r="H183" s="73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8" t="s">
        <v>399</v>
      </c>
      <c r="Q183" s="15">
        <f t="shared" si="47"/>
        <v>1</v>
      </c>
      <c r="R183" s="48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33"/>
      <c r="B184" s="73" t="s">
        <v>623</v>
      </c>
      <c r="C184" s="73">
        <v>1</v>
      </c>
      <c r="D184" s="73">
        <f>INDEX(神器!$M$4:$M$7,世界BOSS专属武器!C184)</f>
        <v>40</v>
      </c>
      <c r="E184" s="73">
        <f t="shared" si="58"/>
        <v>2.5000000000000001E-2</v>
      </c>
      <c r="F184" s="73">
        <f t="shared" si="59"/>
        <v>1089</v>
      </c>
      <c r="G184" s="73">
        <v>3</v>
      </c>
      <c r="H184" s="73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8" t="s">
        <v>399</v>
      </c>
      <c r="Q184" s="15">
        <f t="shared" si="47"/>
        <v>2</v>
      </c>
      <c r="R184" s="48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33"/>
      <c r="B185" s="73" t="s">
        <v>624</v>
      </c>
      <c r="C185" s="73">
        <v>2</v>
      </c>
      <c r="D185" s="73">
        <f>INDEX(神器!$M$4:$M$7,世界BOSS专属武器!C185)</f>
        <v>120</v>
      </c>
      <c r="E185" s="73">
        <f t="shared" si="58"/>
        <v>8.3333333333333332E-3</v>
      </c>
      <c r="F185" s="73">
        <f t="shared" si="59"/>
        <v>363</v>
      </c>
      <c r="G185" s="73">
        <v>3</v>
      </c>
      <c r="H185" s="73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8" t="s">
        <v>399</v>
      </c>
      <c r="Q185" s="15">
        <f t="shared" si="47"/>
        <v>3</v>
      </c>
      <c r="R185" s="48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33"/>
      <c r="B186" s="73" t="s">
        <v>625</v>
      </c>
      <c r="C186" s="73">
        <v>2</v>
      </c>
      <c r="D186" s="73">
        <f>INDEX(神器!$M$4:$M$7,世界BOSS专属武器!C186)</f>
        <v>120</v>
      </c>
      <c r="E186" s="73">
        <f t="shared" si="58"/>
        <v>8.3333333333333332E-3</v>
      </c>
      <c r="F186" s="73">
        <f t="shared" si="59"/>
        <v>363</v>
      </c>
      <c r="G186" s="73">
        <v>3</v>
      </c>
      <c r="H186" s="73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8" t="s">
        <v>399</v>
      </c>
      <c r="Q186" s="15">
        <f t="shared" si="47"/>
        <v>4</v>
      </c>
      <c r="R186" s="48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33"/>
      <c r="B187" s="73" t="s">
        <v>626</v>
      </c>
      <c r="C187" s="73">
        <v>3</v>
      </c>
      <c r="D187" s="73">
        <f>INDEX(神器!$M$4:$M$7,世界BOSS专属武器!C187)</f>
        <v>280</v>
      </c>
      <c r="E187" s="73">
        <f t="shared" si="58"/>
        <v>3.5714285714285713E-3</v>
      </c>
      <c r="F187" s="73">
        <f t="shared" si="59"/>
        <v>156</v>
      </c>
      <c r="G187" s="73">
        <v>2</v>
      </c>
      <c r="H187" s="73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8" t="s">
        <v>399</v>
      </c>
      <c r="Q187" s="15">
        <f t="shared" si="47"/>
        <v>5</v>
      </c>
      <c r="R187" s="48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33"/>
      <c r="B188" s="73" t="s">
        <v>627</v>
      </c>
      <c r="C188" s="73">
        <v>3</v>
      </c>
      <c r="D188" s="73">
        <f>INDEX(神器!$M$4:$M$7,世界BOSS专属武器!C188)</f>
        <v>280</v>
      </c>
      <c r="E188" s="73">
        <f t="shared" si="58"/>
        <v>3.5714285714285713E-3</v>
      </c>
      <c r="F188" s="73">
        <f t="shared" si="59"/>
        <v>156</v>
      </c>
      <c r="G188" s="73">
        <v>2</v>
      </c>
      <c r="H188" s="73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8" t="s">
        <v>399</v>
      </c>
      <c r="Q188" s="15">
        <f t="shared" si="47"/>
        <v>6</v>
      </c>
      <c r="R188" s="48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33"/>
      <c r="B189" s="73" t="s">
        <v>628</v>
      </c>
      <c r="C189" s="73">
        <v>4</v>
      </c>
      <c r="D189" s="73">
        <f>INDEX(神器!$M$4:$M$7,世界BOSS专属武器!C189)</f>
        <v>600</v>
      </c>
      <c r="E189" s="73">
        <f t="shared" si="58"/>
        <v>1.6666666666666668E-3</v>
      </c>
      <c r="F189" s="73">
        <f t="shared" si="59"/>
        <v>73</v>
      </c>
      <c r="G189" s="73">
        <v>1</v>
      </c>
      <c r="H189" s="73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8" t="s">
        <v>399</v>
      </c>
      <c r="Q189" s="15">
        <f t="shared" si="47"/>
        <v>7</v>
      </c>
      <c r="R189" s="48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33"/>
      <c r="B190" s="73" t="s">
        <v>629</v>
      </c>
      <c r="C190" s="73">
        <v>1</v>
      </c>
      <c r="D190" s="73">
        <f>INDEX(神器!$M$4:$M$7,世界BOSS专属武器!C190)</f>
        <v>40</v>
      </c>
      <c r="E190" s="73">
        <f t="shared" si="58"/>
        <v>2.5000000000000001E-2</v>
      </c>
      <c r="F190" s="73">
        <f t="shared" si="59"/>
        <v>1089</v>
      </c>
      <c r="G190" s="73">
        <v>3</v>
      </c>
      <c r="H190" s="73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8" t="s">
        <v>399</v>
      </c>
      <c r="Q190" s="15">
        <f t="shared" si="47"/>
        <v>8</v>
      </c>
      <c r="R190" s="48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33"/>
      <c r="B191" s="73" t="s">
        <v>630</v>
      </c>
      <c r="C191" s="73">
        <v>2</v>
      </c>
      <c r="D191" s="73">
        <f>INDEX(神器!$M$4:$M$7,世界BOSS专属武器!C191)</f>
        <v>120</v>
      </c>
      <c r="E191" s="73">
        <f t="shared" si="58"/>
        <v>8.3333333333333332E-3</v>
      </c>
      <c r="F191" s="73">
        <f t="shared" si="59"/>
        <v>363</v>
      </c>
      <c r="G191" s="73">
        <v>3</v>
      </c>
      <c r="H191" s="73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8" t="s">
        <v>399</v>
      </c>
      <c r="Q191" s="15">
        <f t="shared" si="47"/>
        <v>9</v>
      </c>
      <c r="R191" s="48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33"/>
      <c r="B192" s="73" t="s">
        <v>631</v>
      </c>
      <c r="C192" s="73">
        <v>2</v>
      </c>
      <c r="D192" s="73">
        <f>INDEX(神器!$M$4:$M$7,世界BOSS专属武器!C192)</f>
        <v>120</v>
      </c>
      <c r="E192" s="73">
        <f t="shared" si="58"/>
        <v>8.3333333333333332E-3</v>
      </c>
      <c r="F192" s="73">
        <f t="shared" si="59"/>
        <v>363</v>
      </c>
      <c r="G192" s="73">
        <v>3</v>
      </c>
      <c r="H192" s="73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8" t="s">
        <v>399</v>
      </c>
      <c r="Q192" s="15">
        <f t="shared" si="47"/>
        <v>10</v>
      </c>
      <c r="R192" s="48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33"/>
      <c r="B193" s="73" t="s">
        <v>632</v>
      </c>
      <c r="C193" s="73">
        <v>3</v>
      </c>
      <c r="D193" s="73">
        <f>INDEX(神器!$M$4:$M$7,世界BOSS专属武器!C193)</f>
        <v>280</v>
      </c>
      <c r="E193" s="73">
        <f t="shared" si="58"/>
        <v>3.5714285714285713E-3</v>
      </c>
      <c r="F193" s="73">
        <f t="shared" si="59"/>
        <v>156</v>
      </c>
      <c r="G193" s="73">
        <v>2</v>
      </c>
      <c r="H193" s="73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8" t="s">
        <v>399</v>
      </c>
      <c r="Q193" s="15">
        <f t="shared" si="47"/>
        <v>11</v>
      </c>
      <c r="R193" s="48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33"/>
      <c r="B194" s="73" t="s">
        <v>633</v>
      </c>
      <c r="C194" s="73">
        <v>3</v>
      </c>
      <c r="D194" s="73">
        <f>INDEX(神器!$M$4:$M$7,世界BOSS专属武器!C194)</f>
        <v>280</v>
      </c>
      <c r="E194" s="73">
        <f t="shared" si="58"/>
        <v>3.5714285714285713E-3</v>
      </c>
      <c r="F194" s="73">
        <f t="shared" si="59"/>
        <v>156</v>
      </c>
      <c r="G194" s="73">
        <v>2</v>
      </c>
      <c r="H194" s="73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8" t="s">
        <v>399</v>
      </c>
      <c r="Q194" s="15">
        <f t="shared" si="47"/>
        <v>12</v>
      </c>
      <c r="R194" s="48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33"/>
      <c r="B195" s="73" t="s">
        <v>634</v>
      </c>
      <c r="C195" s="73">
        <v>4</v>
      </c>
      <c r="D195" s="73">
        <f>INDEX(神器!$M$4:$M$7,世界BOSS专属武器!C195)</f>
        <v>600</v>
      </c>
      <c r="E195" s="73">
        <f t="shared" si="58"/>
        <v>1.6666666666666668E-3</v>
      </c>
      <c r="F195" s="73">
        <f t="shared" si="59"/>
        <v>73</v>
      </c>
      <c r="G195" s="73">
        <v>1</v>
      </c>
      <c r="H195" s="73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8" t="s">
        <v>399</v>
      </c>
      <c r="Q195" s="15">
        <f t="shared" si="47"/>
        <v>13</v>
      </c>
      <c r="R195" s="48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33"/>
      <c r="B196" s="73" t="s">
        <v>635</v>
      </c>
      <c r="C196" s="73">
        <v>2</v>
      </c>
      <c r="D196" s="73">
        <f>INDEX(神器!$M$4:$M$7,世界BOSS专属武器!C196)</f>
        <v>120</v>
      </c>
      <c r="E196" s="73">
        <f t="shared" si="58"/>
        <v>8.3333333333333332E-3</v>
      </c>
      <c r="F196" s="73">
        <f t="shared" si="59"/>
        <v>363</v>
      </c>
      <c r="G196" s="73">
        <v>3</v>
      </c>
      <c r="H196" s="73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8" t="s">
        <v>399</v>
      </c>
      <c r="Q196" s="15">
        <f t="shared" si="47"/>
        <v>14</v>
      </c>
      <c r="R196" s="48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33"/>
      <c r="B197" s="73" t="s">
        <v>636</v>
      </c>
      <c r="C197" s="73">
        <v>2</v>
      </c>
      <c r="D197" s="73">
        <f>INDEX(神器!$M$4:$M$7,世界BOSS专属武器!C197)</f>
        <v>120</v>
      </c>
      <c r="E197" s="73">
        <f t="shared" si="58"/>
        <v>8.3333333333333332E-3</v>
      </c>
      <c r="F197" s="73">
        <f t="shared" si="59"/>
        <v>363</v>
      </c>
      <c r="G197" s="73">
        <v>3</v>
      </c>
      <c r="H197" s="73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8" t="s">
        <v>399</v>
      </c>
      <c r="Q197" s="15">
        <f t="shared" si="47"/>
        <v>15</v>
      </c>
      <c r="R197" s="48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33"/>
      <c r="B198" s="73" t="s">
        <v>637</v>
      </c>
      <c r="C198" s="73">
        <v>2</v>
      </c>
      <c r="D198" s="73">
        <f>INDEX(神器!$M$4:$M$7,世界BOSS专属武器!C198)</f>
        <v>120</v>
      </c>
      <c r="E198" s="73">
        <f t="shared" si="58"/>
        <v>8.3333333333333332E-3</v>
      </c>
      <c r="F198" s="73">
        <f t="shared" si="59"/>
        <v>363</v>
      </c>
      <c r="G198" s="73">
        <v>3</v>
      </c>
      <c r="H198" s="73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8" t="s">
        <v>399</v>
      </c>
      <c r="Q198" s="15">
        <f t="shared" si="47"/>
        <v>16</v>
      </c>
      <c r="R198" s="48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33"/>
      <c r="B199" s="73" t="s">
        <v>638</v>
      </c>
      <c r="C199" s="73">
        <v>3</v>
      </c>
      <c r="D199" s="73">
        <f>INDEX(神器!$M$4:$M$7,世界BOSS专属武器!C199)</f>
        <v>280</v>
      </c>
      <c r="E199" s="73">
        <f t="shared" si="58"/>
        <v>3.5714285714285713E-3</v>
      </c>
      <c r="F199" s="73">
        <f t="shared" si="59"/>
        <v>156</v>
      </c>
      <c r="G199" s="73">
        <v>2</v>
      </c>
      <c r="H199" s="73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8" t="s">
        <v>399</v>
      </c>
      <c r="Q199" s="15">
        <f t="shared" si="47"/>
        <v>17</v>
      </c>
      <c r="R199" s="48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33"/>
      <c r="B200" s="73" t="s">
        <v>639</v>
      </c>
      <c r="C200" s="73">
        <v>3</v>
      </c>
      <c r="D200" s="73">
        <f>INDEX(神器!$M$4:$M$7,世界BOSS专属武器!C200)</f>
        <v>280</v>
      </c>
      <c r="E200" s="73">
        <f t="shared" si="58"/>
        <v>3.5714285714285713E-3</v>
      </c>
      <c r="F200" s="73">
        <f t="shared" si="59"/>
        <v>156</v>
      </c>
      <c r="G200" s="73">
        <v>2</v>
      </c>
      <c r="H200" s="73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8" t="s">
        <v>399</v>
      </c>
      <c r="Q200" s="15">
        <f t="shared" si="47"/>
        <v>18</v>
      </c>
      <c r="R200" s="48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33"/>
      <c r="B201" s="73" t="s">
        <v>640</v>
      </c>
      <c r="C201" s="73">
        <v>3</v>
      </c>
      <c r="D201" s="73">
        <f>INDEX(神器!$M$4:$M$7,世界BOSS专属武器!C201)</f>
        <v>280</v>
      </c>
      <c r="E201" s="73">
        <f t="shared" si="58"/>
        <v>3.5714285714285713E-3</v>
      </c>
      <c r="F201" s="73">
        <f t="shared" si="59"/>
        <v>156</v>
      </c>
      <c r="G201" s="73">
        <v>2</v>
      </c>
      <c r="H201" s="73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8" t="s">
        <v>399</v>
      </c>
      <c r="Q201" s="15">
        <f t="shared" si="47"/>
        <v>19</v>
      </c>
      <c r="R201" s="48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33"/>
      <c r="B202" s="73" t="s">
        <v>641</v>
      </c>
      <c r="C202" s="73">
        <v>4</v>
      </c>
      <c r="D202" s="73">
        <f>INDEX(神器!$M$4:$M$7,世界BOSS专属武器!C202)</f>
        <v>600</v>
      </c>
      <c r="E202" s="73">
        <f t="shared" si="58"/>
        <v>1.6666666666666668E-3</v>
      </c>
      <c r="F202" s="73">
        <f t="shared" si="59"/>
        <v>73</v>
      </c>
      <c r="G202" s="73">
        <v>1</v>
      </c>
      <c r="H202" s="73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8" t="s">
        <v>399</v>
      </c>
      <c r="Q202" s="15">
        <f t="shared" si="47"/>
        <v>20</v>
      </c>
      <c r="R202" s="48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33"/>
      <c r="B203" s="73" t="s">
        <v>642</v>
      </c>
      <c r="C203" s="73">
        <v>4</v>
      </c>
      <c r="D203" s="73">
        <f>INDEX(神器!$M$4:$M$7,世界BOSS专属武器!C203)</f>
        <v>600</v>
      </c>
      <c r="E203" s="73">
        <f t="shared" si="58"/>
        <v>1.6666666666666668E-3</v>
      </c>
      <c r="F203" s="73">
        <f t="shared" si="59"/>
        <v>73</v>
      </c>
      <c r="G203" s="73">
        <v>1</v>
      </c>
      <c r="H203" s="73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8" t="s">
        <v>399</v>
      </c>
      <c r="Q203" s="15">
        <f t="shared" si="47"/>
        <v>21</v>
      </c>
      <c r="R203" s="48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33"/>
      <c r="B204" s="73" t="s">
        <v>643</v>
      </c>
      <c r="C204" s="73">
        <v>2</v>
      </c>
      <c r="D204" s="73">
        <f>INDEX(神器!$M$4:$M$7,世界BOSS专属武器!C204)</f>
        <v>120</v>
      </c>
      <c r="E204" s="73">
        <f t="shared" si="58"/>
        <v>8.3333333333333332E-3</v>
      </c>
      <c r="F204" s="73">
        <f t="shared" si="59"/>
        <v>363</v>
      </c>
      <c r="G204" s="73">
        <v>3</v>
      </c>
      <c r="H204" s="73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8" t="s">
        <v>399</v>
      </c>
      <c r="Q204" s="15">
        <f t="shared" si="47"/>
        <v>22</v>
      </c>
      <c r="R204" s="48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33"/>
      <c r="B205" s="73" t="s">
        <v>644</v>
      </c>
      <c r="C205" s="73">
        <v>2</v>
      </c>
      <c r="D205" s="73">
        <f>INDEX(神器!$M$4:$M$7,世界BOSS专属武器!C205)</f>
        <v>120</v>
      </c>
      <c r="E205" s="73">
        <f t="shared" si="58"/>
        <v>8.3333333333333332E-3</v>
      </c>
      <c r="F205" s="73">
        <f t="shared" si="59"/>
        <v>363</v>
      </c>
      <c r="G205" s="73">
        <v>3</v>
      </c>
      <c r="H205" s="73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8" t="s">
        <v>399</v>
      </c>
      <c r="Q205" s="15">
        <f t="shared" si="47"/>
        <v>23</v>
      </c>
      <c r="R205" s="48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33"/>
      <c r="B206" s="73" t="s">
        <v>645</v>
      </c>
      <c r="C206" s="73">
        <v>2</v>
      </c>
      <c r="D206" s="73">
        <f>INDEX(神器!$M$4:$M$7,世界BOSS专属武器!C206)</f>
        <v>120</v>
      </c>
      <c r="E206" s="73">
        <f t="shared" si="58"/>
        <v>8.3333333333333332E-3</v>
      </c>
      <c r="F206" s="73">
        <f t="shared" si="59"/>
        <v>363</v>
      </c>
      <c r="G206" s="73">
        <v>3</v>
      </c>
      <c r="H206" s="73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8" t="s">
        <v>399</v>
      </c>
      <c r="Q206" s="15">
        <f t="shared" si="47"/>
        <v>24</v>
      </c>
      <c r="R206" s="48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33"/>
      <c r="B207" s="73" t="s">
        <v>646</v>
      </c>
      <c r="C207" s="73">
        <v>3</v>
      </c>
      <c r="D207" s="73">
        <f>INDEX(神器!$M$4:$M$7,世界BOSS专属武器!C207)</f>
        <v>280</v>
      </c>
      <c r="E207" s="73">
        <f t="shared" si="58"/>
        <v>3.5714285714285713E-3</v>
      </c>
      <c r="F207" s="73">
        <f t="shared" si="59"/>
        <v>156</v>
      </c>
      <c r="G207" s="73">
        <v>2</v>
      </c>
      <c r="H207" s="73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8" t="s">
        <v>399</v>
      </c>
      <c r="Q207" s="15">
        <f t="shared" si="47"/>
        <v>25</v>
      </c>
      <c r="R207" s="48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33"/>
      <c r="B208" s="73" t="s">
        <v>647</v>
      </c>
      <c r="C208" s="73">
        <v>3</v>
      </c>
      <c r="D208" s="73">
        <f>INDEX(神器!$M$4:$M$7,世界BOSS专属武器!C208)</f>
        <v>280</v>
      </c>
      <c r="E208" s="73">
        <f t="shared" si="58"/>
        <v>3.5714285714285713E-3</v>
      </c>
      <c r="F208" s="73">
        <f t="shared" si="59"/>
        <v>156</v>
      </c>
      <c r="G208" s="73">
        <v>2</v>
      </c>
      <c r="H208" s="73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8" t="s">
        <v>399</v>
      </c>
      <c r="Q208" s="15">
        <f t="shared" si="47"/>
        <v>26</v>
      </c>
      <c r="R208" s="48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33"/>
      <c r="B209" s="73" t="s">
        <v>648</v>
      </c>
      <c r="C209" s="73">
        <v>3</v>
      </c>
      <c r="D209" s="73">
        <f>INDEX(神器!$M$4:$M$7,世界BOSS专属武器!C209)</f>
        <v>280</v>
      </c>
      <c r="E209" s="73">
        <f t="shared" si="58"/>
        <v>3.5714285714285713E-3</v>
      </c>
      <c r="F209" s="73">
        <f t="shared" si="59"/>
        <v>156</v>
      </c>
      <c r="G209" s="73">
        <v>2</v>
      </c>
      <c r="H209" s="73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8" t="s">
        <v>399</v>
      </c>
      <c r="Q209" s="15">
        <f t="shared" ref="Q209:Q272" si="61">MOD(M209-1,51)</f>
        <v>27</v>
      </c>
      <c r="R209" s="48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33"/>
      <c r="B210" s="73" t="s">
        <v>649</v>
      </c>
      <c r="C210" s="73">
        <v>4</v>
      </c>
      <c r="D210" s="73">
        <f>INDEX(神器!$M$4:$M$7,世界BOSS专属武器!C210)</f>
        <v>600</v>
      </c>
      <c r="E210" s="73">
        <f t="shared" si="58"/>
        <v>1.6666666666666668E-3</v>
      </c>
      <c r="F210" s="73">
        <f t="shared" si="59"/>
        <v>73</v>
      </c>
      <c r="G210" s="73">
        <v>1</v>
      </c>
      <c r="H210" s="73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8" t="s">
        <v>399</v>
      </c>
      <c r="Q210" s="15">
        <f t="shared" si="61"/>
        <v>28</v>
      </c>
      <c r="R210" s="48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33"/>
      <c r="B211" s="73" t="s">
        <v>650</v>
      </c>
      <c r="C211" s="73">
        <v>4</v>
      </c>
      <c r="D211" s="73">
        <f>INDEX(神器!$M$4:$M$7,世界BOSS专属武器!C211)</f>
        <v>600</v>
      </c>
      <c r="E211" s="73">
        <f t="shared" si="58"/>
        <v>1.6666666666666668E-3</v>
      </c>
      <c r="F211" s="73">
        <f>10000-SUM(F178:F210)</f>
        <v>67</v>
      </c>
      <c r="G211" s="73">
        <v>1</v>
      </c>
      <c r="H211" s="73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8" t="s">
        <v>399</v>
      </c>
      <c r="Q211" s="15">
        <f t="shared" si="61"/>
        <v>29</v>
      </c>
      <c r="R211" s="48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8" t="s">
        <v>399</v>
      </c>
      <c r="Q212" s="15">
        <f t="shared" si="61"/>
        <v>30</v>
      </c>
      <c r="R212" s="48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7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8" t="s">
        <v>399</v>
      </c>
      <c r="Q213" s="15">
        <f t="shared" si="61"/>
        <v>31</v>
      </c>
      <c r="R213" s="48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33" t="s">
        <v>724</v>
      </c>
      <c r="B214" s="73" t="s">
        <v>635</v>
      </c>
      <c r="C214" s="73">
        <v>2</v>
      </c>
      <c r="D214" s="73">
        <f>INDEX(神器!$M$4:$M$7,世界BOSS专属武器!C214)</f>
        <v>120</v>
      </c>
      <c r="E214" s="73">
        <f t="shared" ref="E214:E229" si="72">1/D214</f>
        <v>8.3333333333333332E-3</v>
      </c>
      <c r="F214" s="73">
        <f>INT(E214/E$213*10000)</f>
        <v>1067</v>
      </c>
      <c r="G214" s="73">
        <v>1</v>
      </c>
      <c r="H214" s="73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8" t="s">
        <v>399</v>
      </c>
      <c r="Q214" s="15">
        <f t="shared" si="61"/>
        <v>32</v>
      </c>
      <c r="R214" s="48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33"/>
      <c r="B215" s="73" t="s">
        <v>636</v>
      </c>
      <c r="C215" s="73">
        <v>2</v>
      </c>
      <c r="D215" s="73">
        <f>INDEX(神器!$M$4:$M$7,世界BOSS专属武器!C215)</f>
        <v>120</v>
      </c>
      <c r="E215" s="73">
        <f t="shared" si="72"/>
        <v>8.3333333333333332E-3</v>
      </c>
      <c r="F215" s="73">
        <f t="shared" ref="F215:F228" si="73">INT(E215/E$213*10000)</f>
        <v>1067</v>
      </c>
      <c r="G215" s="73">
        <v>1</v>
      </c>
      <c r="H215" s="73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8" t="s">
        <v>399</v>
      </c>
      <c r="Q215" s="15">
        <f t="shared" si="61"/>
        <v>33</v>
      </c>
      <c r="R215" s="48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33"/>
      <c r="B216" s="73" t="s">
        <v>637</v>
      </c>
      <c r="C216" s="73">
        <v>2</v>
      </c>
      <c r="D216" s="73">
        <f>INDEX(神器!$M$4:$M$7,世界BOSS专属武器!C216)</f>
        <v>120</v>
      </c>
      <c r="E216" s="73">
        <f t="shared" si="72"/>
        <v>8.3333333333333332E-3</v>
      </c>
      <c r="F216" s="73">
        <f t="shared" si="73"/>
        <v>1067</v>
      </c>
      <c r="G216" s="73">
        <v>1</v>
      </c>
      <c r="H216" s="73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8" t="s">
        <v>399</v>
      </c>
      <c r="Q216" s="15">
        <f t="shared" si="61"/>
        <v>34</v>
      </c>
      <c r="R216" s="48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33"/>
      <c r="B217" s="73" t="s">
        <v>638</v>
      </c>
      <c r="C217" s="73">
        <v>3</v>
      </c>
      <c r="D217" s="73">
        <f>INDEX(神器!$M$4:$M$7,世界BOSS专属武器!C217)</f>
        <v>280</v>
      </c>
      <c r="E217" s="73">
        <f t="shared" si="72"/>
        <v>3.5714285714285713E-3</v>
      </c>
      <c r="F217" s="73">
        <f t="shared" si="73"/>
        <v>457</v>
      </c>
      <c r="G217" s="73">
        <v>1</v>
      </c>
      <c r="H217" s="73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8" t="s">
        <v>399</v>
      </c>
      <c r="Q217" s="15">
        <f t="shared" si="61"/>
        <v>35</v>
      </c>
      <c r="R217" s="48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33"/>
      <c r="B218" s="73" t="s">
        <v>639</v>
      </c>
      <c r="C218" s="73">
        <v>3</v>
      </c>
      <c r="D218" s="73">
        <f>INDEX(神器!$M$4:$M$7,世界BOSS专属武器!C218)</f>
        <v>280</v>
      </c>
      <c r="E218" s="73">
        <f t="shared" si="72"/>
        <v>3.5714285714285713E-3</v>
      </c>
      <c r="F218" s="73">
        <f t="shared" si="73"/>
        <v>457</v>
      </c>
      <c r="G218" s="73">
        <v>1</v>
      </c>
      <c r="H218" s="73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8" t="s">
        <v>399</v>
      </c>
      <c r="Q218" s="15">
        <f t="shared" si="61"/>
        <v>36</v>
      </c>
      <c r="R218" s="48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33"/>
      <c r="B219" s="73" t="s">
        <v>640</v>
      </c>
      <c r="C219" s="73">
        <v>3</v>
      </c>
      <c r="D219" s="73">
        <f>INDEX(神器!$M$4:$M$7,世界BOSS专属武器!C219)</f>
        <v>280</v>
      </c>
      <c r="E219" s="73">
        <f t="shared" si="72"/>
        <v>3.5714285714285713E-3</v>
      </c>
      <c r="F219" s="73">
        <f t="shared" si="73"/>
        <v>457</v>
      </c>
      <c r="G219" s="73">
        <v>1</v>
      </c>
      <c r="H219" s="73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8" t="s">
        <v>399</v>
      </c>
      <c r="Q219" s="15">
        <f t="shared" si="61"/>
        <v>37</v>
      </c>
      <c r="R219" s="48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33"/>
      <c r="B220" s="73" t="s">
        <v>641</v>
      </c>
      <c r="C220" s="73">
        <v>4</v>
      </c>
      <c r="D220" s="73">
        <f>INDEX(神器!$M$4:$M$7,世界BOSS专属武器!C220)</f>
        <v>600</v>
      </c>
      <c r="E220" s="73">
        <f t="shared" si="72"/>
        <v>1.6666666666666668E-3</v>
      </c>
      <c r="F220" s="73">
        <f t="shared" si="73"/>
        <v>213</v>
      </c>
      <c r="G220" s="73">
        <v>1</v>
      </c>
      <c r="H220" s="73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8" t="s">
        <v>399</v>
      </c>
      <c r="Q220" s="15">
        <f t="shared" si="61"/>
        <v>38</v>
      </c>
      <c r="R220" s="48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33"/>
      <c r="B221" s="73" t="s">
        <v>642</v>
      </c>
      <c r="C221" s="73">
        <v>4</v>
      </c>
      <c r="D221" s="73">
        <f>INDEX(神器!$M$4:$M$7,世界BOSS专属武器!C221)</f>
        <v>600</v>
      </c>
      <c r="E221" s="73">
        <f t="shared" si="72"/>
        <v>1.6666666666666668E-3</v>
      </c>
      <c r="F221" s="73">
        <f t="shared" si="73"/>
        <v>213</v>
      </c>
      <c r="G221" s="73">
        <v>1</v>
      </c>
      <c r="H221" s="73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8" t="s">
        <v>399</v>
      </c>
      <c r="Q221" s="15">
        <f t="shared" si="61"/>
        <v>39</v>
      </c>
      <c r="R221" s="48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33"/>
      <c r="B222" s="73" t="s">
        <v>643</v>
      </c>
      <c r="C222" s="73">
        <v>2</v>
      </c>
      <c r="D222" s="73">
        <f>INDEX(神器!$M$4:$M$7,世界BOSS专属武器!C222)</f>
        <v>120</v>
      </c>
      <c r="E222" s="73">
        <f t="shared" si="72"/>
        <v>8.3333333333333332E-3</v>
      </c>
      <c r="F222" s="73">
        <f t="shared" si="73"/>
        <v>1067</v>
      </c>
      <c r="G222" s="73">
        <v>1</v>
      </c>
      <c r="H222" s="73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8" t="s">
        <v>399</v>
      </c>
      <c r="Q222" s="15">
        <f t="shared" si="61"/>
        <v>40</v>
      </c>
      <c r="R222" s="48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33"/>
      <c r="B223" s="73" t="s">
        <v>644</v>
      </c>
      <c r="C223" s="73">
        <v>2</v>
      </c>
      <c r="D223" s="73">
        <f>INDEX(神器!$M$4:$M$7,世界BOSS专属武器!C223)</f>
        <v>120</v>
      </c>
      <c r="E223" s="73">
        <f t="shared" si="72"/>
        <v>8.3333333333333332E-3</v>
      </c>
      <c r="F223" s="73">
        <f t="shared" si="73"/>
        <v>1067</v>
      </c>
      <c r="G223" s="73">
        <v>1</v>
      </c>
      <c r="H223" s="73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8" t="s">
        <v>399</v>
      </c>
      <c r="Q223" s="15">
        <f t="shared" si="61"/>
        <v>41</v>
      </c>
      <c r="R223" s="48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33"/>
      <c r="B224" s="73" t="s">
        <v>645</v>
      </c>
      <c r="C224" s="73">
        <v>2</v>
      </c>
      <c r="D224" s="73">
        <f>INDEX(神器!$M$4:$M$7,世界BOSS专属武器!C224)</f>
        <v>120</v>
      </c>
      <c r="E224" s="73">
        <f t="shared" si="72"/>
        <v>8.3333333333333332E-3</v>
      </c>
      <c r="F224" s="73">
        <f t="shared" si="73"/>
        <v>1067</v>
      </c>
      <c r="G224" s="73">
        <v>1</v>
      </c>
      <c r="H224" s="73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8" t="s">
        <v>399</v>
      </c>
      <c r="Q224" s="15">
        <f t="shared" si="61"/>
        <v>42</v>
      </c>
      <c r="R224" s="48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33"/>
      <c r="B225" s="73" t="s">
        <v>646</v>
      </c>
      <c r="C225" s="73">
        <v>3</v>
      </c>
      <c r="D225" s="73">
        <f>INDEX(神器!$M$4:$M$7,世界BOSS专属武器!C225)</f>
        <v>280</v>
      </c>
      <c r="E225" s="73">
        <f t="shared" si="72"/>
        <v>3.5714285714285713E-3</v>
      </c>
      <c r="F225" s="73">
        <f t="shared" si="73"/>
        <v>457</v>
      </c>
      <c r="G225" s="73">
        <v>1</v>
      </c>
      <c r="H225" s="73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8" t="s">
        <v>399</v>
      </c>
      <c r="Q225" s="15">
        <f t="shared" si="61"/>
        <v>43</v>
      </c>
      <c r="R225" s="48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33"/>
      <c r="B226" s="73" t="s">
        <v>647</v>
      </c>
      <c r="C226" s="73">
        <v>3</v>
      </c>
      <c r="D226" s="73">
        <f>INDEX(神器!$M$4:$M$7,世界BOSS专属武器!C226)</f>
        <v>280</v>
      </c>
      <c r="E226" s="73">
        <f t="shared" si="72"/>
        <v>3.5714285714285713E-3</v>
      </c>
      <c r="F226" s="73">
        <f t="shared" si="73"/>
        <v>457</v>
      </c>
      <c r="G226" s="73">
        <v>1</v>
      </c>
      <c r="H226" s="73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8" t="s">
        <v>399</v>
      </c>
      <c r="Q226" s="15">
        <f t="shared" si="61"/>
        <v>44</v>
      </c>
      <c r="R226" s="48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33"/>
      <c r="B227" s="73" t="s">
        <v>648</v>
      </c>
      <c r="C227" s="73">
        <v>3</v>
      </c>
      <c r="D227" s="73">
        <f>INDEX(神器!$M$4:$M$7,世界BOSS专属武器!C227)</f>
        <v>280</v>
      </c>
      <c r="E227" s="73">
        <f t="shared" si="72"/>
        <v>3.5714285714285713E-3</v>
      </c>
      <c r="F227" s="73">
        <f t="shared" si="73"/>
        <v>457</v>
      </c>
      <c r="G227" s="73">
        <v>1</v>
      </c>
      <c r="H227" s="73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8" t="s">
        <v>399</v>
      </c>
      <c r="Q227" s="15">
        <f t="shared" si="61"/>
        <v>45</v>
      </c>
      <c r="R227" s="48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33"/>
      <c r="B228" s="73" t="s">
        <v>649</v>
      </c>
      <c r="C228" s="73">
        <v>4</v>
      </c>
      <c r="D228" s="73">
        <f>INDEX(神器!$M$4:$M$7,世界BOSS专属武器!C228)</f>
        <v>600</v>
      </c>
      <c r="E228" s="73">
        <f t="shared" si="72"/>
        <v>1.6666666666666668E-3</v>
      </c>
      <c r="F228" s="73">
        <f t="shared" si="73"/>
        <v>213</v>
      </c>
      <c r="G228" s="73">
        <v>1</v>
      </c>
      <c r="H228" s="73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8" t="s">
        <v>399</v>
      </c>
      <c r="Q228" s="15">
        <f t="shared" si="61"/>
        <v>46</v>
      </c>
      <c r="R228" s="48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33"/>
      <c r="B229" s="73" t="s">
        <v>650</v>
      </c>
      <c r="C229" s="73">
        <v>4</v>
      </c>
      <c r="D229" s="73">
        <f>INDEX(神器!$M$4:$M$7,世界BOSS专属武器!C229)</f>
        <v>600</v>
      </c>
      <c r="E229" s="73">
        <f t="shared" si="72"/>
        <v>1.6666666666666668E-3</v>
      </c>
      <c r="F229" s="73">
        <f>10000-SUM(F214:F228)</f>
        <v>217</v>
      </c>
      <c r="G229" s="73">
        <v>1</v>
      </c>
      <c r="H229" s="73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8" t="s">
        <v>399</v>
      </c>
      <c r="Q229" s="15">
        <f t="shared" si="61"/>
        <v>47</v>
      </c>
      <c r="R229" s="48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8" t="s">
        <v>399</v>
      </c>
      <c r="Q230" s="15">
        <f t="shared" si="61"/>
        <v>48</v>
      </c>
      <c r="R230" s="48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7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8" t="s">
        <v>399</v>
      </c>
      <c r="Q231" s="15">
        <f t="shared" si="61"/>
        <v>49</v>
      </c>
      <c r="R231" s="48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33" t="s">
        <v>725</v>
      </c>
      <c r="B232" s="73" t="s">
        <v>616</v>
      </c>
      <c r="C232" s="73">
        <v>3</v>
      </c>
      <c r="D232" s="73">
        <f>INDEX(神器!$M$4:$M$7,世界BOSS专属武器!C232)</f>
        <v>280</v>
      </c>
      <c r="E232" s="73">
        <f t="shared" ref="E232:E249" si="74">1/D232</f>
        <v>3.5714285714285713E-3</v>
      </c>
      <c r="F232" s="73">
        <f>ROUND(E232/E$231*10000,0)</f>
        <v>652</v>
      </c>
      <c r="G232" s="73">
        <v>1</v>
      </c>
      <c r="H232" s="73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8" t="s">
        <v>399</v>
      </c>
      <c r="Q232" s="15">
        <f t="shared" si="61"/>
        <v>50</v>
      </c>
      <c r="R232" s="48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33"/>
      <c r="B233" s="73" t="s">
        <v>620</v>
      </c>
      <c r="C233" s="73">
        <v>3</v>
      </c>
      <c r="D233" s="73">
        <f>INDEX(神器!$M$4:$M$7,世界BOSS专属武器!C233)</f>
        <v>280</v>
      </c>
      <c r="E233" s="73">
        <f t="shared" si="74"/>
        <v>3.5714285714285713E-3</v>
      </c>
      <c r="F233" s="73">
        <f t="shared" ref="F233:F248" si="75">ROUND(E233/E$231*10000,0)</f>
        <v>652</v>
      </c>
      <c r="G233" s="73">
        <v>1</v>
      </c>
      <c r="H233" s="73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8" t="s">
        <v>399</v>
      </c>
      <c r="Q233" s="15">
        <f t="shared" si="61"/>
        <v>0</v>
      </c>
      <c r="R233" s="48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33"/>
      <c r="B234" s="73" t="s">
        <v>621</v>
      </c>
      <c r="C234" s="73">
        <v>3</v>
      </c>
      <c r="D234" s="73">
        <f>INDEX(神器!$M$4:$M$7,世界BOSS专属武器!C234)</f>
        <v>280</v>
      </c>
      <c r="E234" s="73">
        <f t="shared" si="74"/>
        <v>3.5714285714285713E-3</v>
      </c>
      <c r="F234" s="73">
        <f t="shared" si="75"/>
        <v>652</v>
      </c>
      <c r="G234" s="73">
        <v>1</v>
      </c>
      <c r="H234" s="73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8" t="s">
        <v>399</v>
      </c>
      <c r="Q234" s="15">
        <f t="shared" si="61"/>
        <v>1</v>
      </c>
      <c r="R234" s="48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33"/>
      <c r="B235" s="73" t="s">
        <v>622</v>
      </c>
      <c r="C235" s="73">
        <v>4</v>
      </c>
      <c r="D235" s="73">
        <f>INDEX(神器!$M$4:$M$7,世界BOSS专属武器!C235)</f>
        <v>600</v>
      </c>
      <c r="E235" s="73">
        <f t="shared" si="74"/>
        <v>1.6666666666666668E-3</v>
      </c>
      <c r="F235" s="73">
        <f t="shared" si="75"/>
        <v>304</v>
      </c>
      <c r="G235" s="73">
        <v>1</v>
      </c>
      <c r="H235" s="73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8" t="s">
        <v>399</v>
      </c>
      <c r="Q235" s="15">
        <f t="shared" si="61"/>
        <v>2</v>
      </c>
      <c r="R235" s="48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33"/>
      <c r="B236" s="73" t="s">
        <v>626</v>
      </c>
      <c r="C236" s="73">
        <v>3</v>
      </c>
      <c r="D236" s="73">
        <f>INDEX(神器!$M$4:$M$7,世界BOSS专属武器!C236)</f>
        <v>280</v>
      </c>
      <c r="E236" s="73">
        <f t="shared" si="74"/>
        <v>3.5714285714285713E-3</v>
      </c>
      <c r="F236" s="73">
        <f t="shared" si="75"/>
        <v>652</v>
      </c>
      <c r="G236" s="73">
        <v>1</v>
      </c>
      <c r="H236" s="73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8" t="s">
        <v>399</v>
      </c>
      <c r="Q236" s="15">
        <f t="shared" si="61"/>
        <v>3</v>
      </c>
      <c r="R236" s="48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33"/>
      <c r="B237" s="73" t="s">
        <v>627</v>
      </c>
      <c r="C237" s="73">
        <v>3</v>
      </c>
      <c r="D237" s="73">
        <f>INDEX(神器!$M$4:$M$7,世界BOSS专属武器!C237)</f>
        <v>280</v>
      </c>
      <c r="E237" s="73">
        <f t="shared" si="74"/>
        <v>3.5714285714285713E-3</v>
      </c>
      <c r="F237" s="73">
        <f t="shared" si="75"/>
        <v>652</v>
      </c>
      <c r="G237" s="73">
        <v>1</v>
      </c>
      <c r="H237" s="73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8" t="s">
        <v>399</v>
      </c>
      <c r="Q237" s="15">
        <f t="shared" si="61"/>
        <v>4</v>
      </c>
      <c r="R237" s="48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33"/>
      <c r="B238" s="73" t="s">
        <v>628</v>
      </c>
      <c r="C238" s="73">
        <v>4</v>
      </c>
      <c r="D238" s="73">
        <f>INDEX(神器!$M$4:$M$7,世界BOSS专属武器!C238)</f>
        <v>600</v>
      </c>
      <c r="E238" s="73">
        <f t="shared" si="74"/>
        <v>1.6666666666666668E-3</v>
      </c>
      <c r="F238" s="73">
        <f t="shared" si="75"/>
        <v>304</v>
      </c>
      <c r="G238" s="73">
        <v>1</v>
      </c>
      <c r="H238" s="73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8" t="s">
        <v>399</v>
      </c>
      <c r="Q238" s="15">
        <f t="shared" si="61"/>
        <v>5</v>
      </c>
      <c r="R238" s="48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33"/>
      <c r="B239" s="73" t="s">
        <v>632</v>
      </c>
      <c r="C239" s="73">
        <v>3</v>
      </c>
      <c r="D239" s="73">
        <f>INDEX(神器!$M$4:$M$7,世界BOSS专属武器!C239)</f>
        <v>280</v>
      </c>
      <c r="E239" s="73">
        <f t="shared" si="74"/>
        <v>3.5714285714285713E-3</v>
      </c>
      <c r="F239" s="73">
        <f t="shared" si="75"/>
        <v>652</v>
      </c>
      <c r="G239" s="73">
        <v>1</v>
      </c>
      <c r="H239" s="73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8" t="s">
        <v>399</v>
      </c>
      <c r="Q239" s="15">
        <f t="shared" si="61"/>
        <v>6</v>
      </c>
      <c r="R239" s="48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33"/>
      <c r="B240" s="73" t="s">
        <v>633</v>
      </c>
      <c r="C240" s="73">
        <v>3</v>
      </c>
      <c r="D240" s="73">
        <f>INDEX(神器!$M$4:$M$7,世界BOSS专属武器!C240)</f>
        <v>280</v>
      </c>
      <c r="E240" s="73">
        <f t="shared" si="74"/>
        <v>3.5714285714285713E-3</v>
      </c>
      <c r="F240" s="73">
        <f t="shared" si="75"/>
        <v>652</v>
      </c>
      <c r="G240" s="73">
        <v>1</v>
      </c>
      <c r="H240" s="73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8" t="s">
        <v>399</v>
      </c>
      <c r="Q240" s="15">
        <f t="shared" si="61"/>
        <v>7</v>
      </c>
      <c r="R240" s="48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33"/>
      <c r="B241" s="73" t="s">
        <v>634</v>
      </c>
      <c r="C241" s="73">
        <v>4</v>
      </c>
      <c r="D241" s="73">
        <f>INDEX(神器!$M$4:$M$7,世界BOSS专属武器!C241)</f>
        <v>600</v>
      </c>
      <c r="E241" s="73">
        <f t="shared" si="74"/>
        <v>1.6666666666666668E-3</v>
      </c>
      <c r="F241" s="73">
        <f t="shared" si="75"/>
        <v>304</v>
      </c>
      <c r="G241" s="73">
        <v>1</v>
      </c>
      <c r="H241" s="73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8" t="s">
        <v>399</v>
      </c>
      <c r="Q241" s="15">
        <f t="shared" si="61"/>
        <v>8</v>
      </c>
      <c r="R241" s="48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33"/>
      <c r="B242" s="73" t="s">
        <v>638</v>
      </c>
      <c r="C242" s="73">
        <v>3</v>
      </c>
      <c r="D242" s="73">
        <f>INDEX(神器!$M$4:$M$7,世界BOSS专属武器!C242)</f>
        <v>280</v>
      </c>
      <c r="E242" s="73">
        <f t="shared" si="74"/>
        <v>3.5714285714285713E-3</v>
      </c>
      <c r="F242" s="73">
        <f t="shared" si="75"/>
        <v>652</v>
      </c>
      <c r="G242" s="73">
        <v>1</v>
      </c>
      <c r="H242" s="73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8" t="s">
        <v>399</v>
      </c>
      <c r="Q242" s="15">
        <f t="shared" si="61"/>
        <v>9</v>
      </c>
      <c r="R242" s="48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33"/>
      <c r="B243" s="73" t="s">
        <v>639</v>
      </c>
      <c r="C243" s="73">
        <v>3</v>
      </c>
      <c r="D243" s="73">
        <f>INDEX(神器!$M$4:$M$7,世界BOSS专属武器!C243)</f>
        <v>280</v>
      </c>
      <c r="E243" s="73">
        <f t="shared" si="74"/>
        <v>3.5714285714285713E-3</v>
      </c>
      <c r="F243" s="73">
        <f t="shared" si="75"/>
        <v>652</v>
      </c>
      <c r="G243" s="73">
        <v>1</v>
      </c>
      <c r="H243" s="73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8" t="s">
        <v>399</v>
      </c>
      <c r="Q243" s="15">
        <f t="shared" si="61"/>
        <v>10</v>
      </c>
      <c r="R243" s="48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33"/>
      <c r="B244" s="73" t="s">
        <v>640</v>
      </c>
      <c r="C244" s="73">
        <v>3</v>
      </c>
      <c r="D244" s="73">
        <f>INDEX(神器!$M$4:$M$7,世界BOSS专属武器!C244)</f>
        <v>280</v>
      </c>
      <c r="E244" s="73">
        <f t="shared" si="74"/>
        <v>3.5714285714285713E-3</v>
      </c>
      <c r="F244" s="73">
        <f t="shared" si="75"/>
        <v>652</v>
      </c>
      <c r="G244" s="73">
        <v>1</v>
      </c>
      <c r="H244" s="73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8" t="s">
        <v>399</v>
      </c>
      <c r="Q244" s="15">
        <f t="shared" si="61"/>
        <v>11</v>
      </c>
      <c r="R244" s="48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33"/>
      <c r="B245" s="73" t="s">
        <v>646</v>
      </c>
      <c r="C245" s="73">
        <v>3</v>
      </c>
      <c r="D245" s="73">
        <f>INDEX(神器!$M$4:$M$7,世界BOSS专属武器!C245)</f>
        <v>280</v>
      </c>
      <c r="E245" s="73">
        <f t="shared" si="74"/>
        <v>3.5714285714285713E-3</v>
      </c>
      <c r="F245" s="73">
        <f t="shared" si="75"/>
        <v>652</v>
      </c>
      <c r="G245" s="73">
        <v>1</v>
      </c>
      <c r="H245" s="73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8" t="s">
        <v>399</v>
      </c>
      <c r="Q245" s="15">
        <f t="shared" si="61"/>
        <v>12</v>
      </c>
      <c r="R245" s="48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33"/>
      <c r="B246" s="73" t="s">
        <v>647</v>
      </c>
      <c r="C246" s="73">
        <v>3</v>
      </c>
      <c r="D246" s="73">
        <f>INDEX(神器!$M$4:$M$7,世界BOSS专属武器!C246)</f>
        <v>280</v>
      </c>
      <c r="E246" s="73">
        <f t="shared" si="74"/>
        <v>3.5714285714285713E-3</v>
      </c>
      <c r="F246" s="73">
        <f t="shared" si="75"/>
        <v>652</v>
      </c>
      <c r="G246" s="73">
        <v>1</v>
      </c>
      <c r="H246" s="73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8" t="s">
        <v>399</v>
      </c>
      <c r="Q246" s="15">
        <f t="shared" si="61"/>
        <v>13</v>
      </c>
      <c r="R246" s="48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33"/>
      <c r="B247" s="73" t="s">
        <v>648</v>
      </c>
      <c r="C247" s="73">
        <v>3</v>
      </c>
      <c r="D247" s="73">
        <f>INDEX(神器!$M$4:$M$7,世界BOSS专属武器!C247)</f>
        <v>280</v>
      </c>
      <c r="E247" s="73">
        <f t="shared" si="74"/>
        <v>3.5714285714285713E-3</v>
      </c>
      <c r="F247" s="73">
        <f t="shared" si="75"/>
        <v>652</v>
      </c>
      <c r="G247" s="73">
        <v>1</v>
      </c>
      <c r="H247" s="73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8" t="s">
        <v>399</v>
      </c>
      <c r="Q247" s="15">
        <f t="shared" si="61"/>
        <v>14</v>
      </c>
      <c r="R247" s="48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33"/>
      <c r="B248" s="73" t="s">
        <v>649</v>
      </c>
      <c r="C248" s="73">
        <v>4</v>
      </c>
      <c r="D248" s="73">
        <f>INDEX(神器!$M$4:$M$7,世界BOSS专属武器!C248)</f>
        <v>600</v>
      </c>
      <c r="E248" s="73">
        <f t="shared" si="74"/>
        <v>1.6666666666666668E-3</v>
      </c>
      <c r="F248" s="73">
        <f t="shared" si="75"/>
        <v>304</v>
      </c>
      <c r="G248" s="73">
        <v>1</v>
      </c>
      <c r="H248" s="73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8" t="s">
        <v>399</v>
      </c>
      <c r="Q248" s="15">
        <f t="shared" si="61"/>
        <v>15</v>
      </c>
      <c r="R248" s="48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33"/>
      <c r="B249" s="73" t="s">
        <v>650</v>
      </c>
      <c r="C249" s="73">
        <v>4</v>
      </c>
      <c r="D249" s="73">
        <f>INDEX(神器!$M$4:$M$7,世界BOSS专属武器!C249)</f>
        <v>600</v>
      </c>
      <c r="E249" s="73">
        <f t="shared" si="74"/>
        <v>1.6666666666666668E-3</v>
      </c>
      <c r="F249" s="73">
        <f>10000-SUM(F232:F248)</f>
        <v>308</v>
      </c>
      <c r="G249" s="73">
        <v>1</v>
      </c>
      <c r="H249" s="73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8" t="s">
        <v>399</v>
      </c>
      <c r="Q249" s="15">
        <f t="shared" si="61"/>
        <v>16</v>
      </c>
      <c r="R249" s="48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8" t="s">
        <v>399</v>
      </c>
      <c r="Q250" s="15">
        <f t="shared" si="61"/>
        <v>17</v>
      </c>
      <c r="R250" s="48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8" t="s">
        <v>399</v>
      </c>
      <c r="Q251" s="15">
        <f t="shared" si="61"/>
        <v>18</v>
      </c>
      <c r="R251" s="48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34" t="s">
        <v>726</v>
      </c>
      <c r="B252" s="73" t="s">
        <v>609</v>
      </c>
      <c r="C252" s="73">
        <v>1</v>
      </c>
      <c r="D252" s="73">
        <f>INDEX(神器!$M$4:$M$7,世界BOSS专属武器!C252)</f>
        <v>40</v>
      </c>
      <c r="E252" s="73">
        <f t="shared" ref="E252:E268" si="76">1/D252</f>
        <v>2.5000000000000001E-2</v>
      </c>
      <c r="F252" s="73">
        <f>ROUND(E252/E$251*10000,0)</f>
        <v>925</v>
      </c>
      <c r="G252" s="73">
        <v>1</v>
      </c>
      <c r="H252" s="73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8" t="s">
        <v>399</v>
      </c>
      <c r="Q252" s="15">
        <f t="shared" si="61"/>
        <v>19</v>
      </c>
      <c r="R252" s="48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35"/>
      <c r="B253" s="73" t="s">
        <v>610</v>
      </c>
      <c r="C253" s="73">
        <v>1</v>
      </c>
      <c r="D253" s="73">
        <f>INDEX(神器!$M$4:$M$7,世界BOSS专属武器!C253)</f>
        <v>40</v>
      </c>
      <c r="E253" s="73">
        <f t="shared" si="76"/>
        <v>2.5000000000000001E-2</v>
      </c>
      <c r="F253" s="73">
        <f t="shared" ref="F253:F267" si="77">ROUND(E253/E$251*10000,0)</f>
        <v>925</v>
      </c>
      <c r="G253" s="73">
        <v>1</v>
      </c>
      <c r="H253" s="73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8" t="s">
        <v>399</v>
      </c>
      <c r="Q253" s="15">
        <f t="shared" si="61"/>
        <v>20</v>
      </c>
      <c r="R253" s="48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35"/>
      <c r="B254" s="73" t="s">
        <v>611</v>
      </c>
      <c r="C254" s="73">
        <v>2</v>
      </c>
      <c r="D254" s="73">
        <f>INDEX(神器!$M$4:$M$7,世界BOSS专属武器!C254)</f>
        <v>120</v>
      </c>
      <c r="E254" s="73">
        <f t="shared" si="76"/>
        <v>8.3333333333333332E-3</v>
      </c>
      <c r="F254" s="73">
        <f t="shared" si="77"/>
        <v>308</v>
      </c>
      <c r="G254" s="73">
        <v>1</v>
      </c>
      <c r="H254" s="73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8" t="s">
        <v>399</v>
      </c>
      <c r="Q254" s="15">
        <f t="shared" si="61"/>
        <v>21</v>
      </c>
      <c r="R254" s="48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35"/>
      <c r="B255" s="73" t="s">
        <v>612</v>
      </c>
      <c r="C255" s="73">
        <v>1</v>
      </c>
      <c r="D255" s="73">
        <f>INDEX(神器!$M$4:$M$7,世界BOSS专属武器!C255)</f>
        <v>40</v>
      </c>
      <c r="E255" s="73">
        <f t="shared" si="76"/>
        <v>2.5000000000000001E-2</v>
      </c>
      <c r="F255" s="73">
        <f t="shared" si="77"/>
        <v>925</v>
      </c>
      <c r="G255" s="73">
        <v>1</v>
      </c>
      <c r="H255" s="73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8" t="s">
        <v>399</v>
      </c>
      <c r="Q255" s="15">
        <f t="shared" si="61"/>
        <v>22</v>
      </c>
      <c r="R255" s="48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35"/>
      <c r="B256" s="73" t="s">
        <v>613</v>
      </c>
      <c r="C256" s="73">
        <v>1</v>
      </c>
      <c r="D256" s="73">
        <f>INDEX(神器!$M$4:$M$7,世界BOSS专属武器!C256)</f>
        <v>40</v>
      </c>
      <c r="E256" s="73">
        <f t="shared" si="76"/>
        <v>2.5000000000000001E-2</v>
      </c>
      <c r="F256" s="73">
        <f t="shared" si="77"/>
        <v>925</v>
      </c>
      <c r="G256" s="73">
        <v>1</v>
      </c>
      <c r="H256" s="73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8" t="s">
        <v>399</v>
      </c>
      <c r="Q256" s="15">
        <f t="shared" si="61"/>
        <v>23</v>
      </c>
      <c r="R256" s="48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35"/>
      <c r="B257" s="73" t="s">
        <v>614</v>
      </c>
      <c r="C257" s="73">
        <v>1</v>
      </c>
      <c r="D257" s="73">
        <f>INDEX(神器!$M$4:$M$7,世界BOSS专属武器!C257)</f>
        <v>40</v>
      </c>
      <c r="E257" s="73">
        <f t="shared" si="76"/>
        <v>2.5000000000000001E-2</v>
      </c>
      <c r="F257" s="73">
        <f t="shared" si="77"/>
        <v>925</v>
      </c>
      <c r="G257" s="73">
        <v>1</v>
      </c>
      <c r="H257" s="73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8" t="s">
        <v>399</v>
      </c>
      <c r="Q257" s="15">
        <f t="shared" si="61"/>
        <v>24</v>
      </c>
      <c r="R257" s="48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35"/>
      <c r="B258" s="73" t="s">
        <v>615</v>
      </c>
      <c r="C258" s="73">
        <v>2</v>
      </c>
      <c r="D258" s="73">
        <f>INDEX(神器!$M$4:$M$7,世界BOSS专属武器!C258)</f>
        <v>120</v>
      </c>
      <c r="E258" s="73">
        <f t="shared" si="76"/>
        <v>8.3333333333333332E-3</v>
      </c>
      <c r="F258" s="73">
        <f t="shared" si="77"/>
        <v>308</v>
      </c>
      <c r="G258" s="73">
        <v>1</v>
      </c>
      <c r="H258" s="73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8" t="s">
        <v>399</v>
      </c>
      <c r="Q258" s="15">
        <f t="shared" si="61"/>
        <v>25</v>
      </c>
      <c r="R258" s="48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35"/>
      <c r="B259" s="73" t="s">
        <v>616</v>
      </c>
      <c r="C259" s="73">
        <v>3</v>
      </c>
      <c r="D259" s="73">
        <f>INDEX(神器!$M$4:$M$7,世界BOSS专属武器!C259)</f>
        <v>280</v>
      </c>
      <c r="E259" s="73">
        <f t="shared" si="76"/>
        <v>3.5714285714285713E-3</v>
      </c>
      <c r="F259" s="73">
        <f t="shared" si="77"/>
        <v>132</v>
      </c>
      <c r="G259" s="73">
        <v>1</v>
      </c>
      <c r="H259" s="73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8" t="s">
        <v>399</v>
      </c>
      <c r="Q259" s="15">
        <f t="shared" si="61"/>
        <v>26</v>
      </c>
      <c r="R259" s="48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35"/>
      <c r="B260" s="73" t="s">
        <v>617</v>
      </c>
      <c r="C260" s="73">
        <v>1</v>
      </c>
      <c r="D260" s="73">
        <f>INDEX(神器!$M$4:$M$7,世界BOSS专属武器!C260)</f>
        <v>40</v>
      </c>
      <c r="E260" s="73">
        <f t="shared" si="76"/>
        <v>2.5000000000000001E-2</v>
      </c>
      <c r="F260" s="73">
        <f t="shared" si="77"/>
        <v>925</v>
      </c>
      <c r="G260" s="73">
        <v>1</v>
      </c>
      <c r="H260" s="73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8" t="s">
        <v>399</v>
      </c>
      <c r="Q260" s="15">
        <f t="shared" si="61"/>
        <v>27</v>
      </c>
      <c r="R260" s="48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35"/>
      <c r="B261" s="73" t="s">
        <v>618</v>
      </c>
      <c r="C261" s="73">
        <v>2</v>
      </c>
      <c r="D261" s="73">
        <f>INDEX(神器!$M$4:$M$7,世界BOSS专属武器!C261)</f>
        <v>120</v>
      </c>
      <c r="E261" s="73">
        <f t="shared" si="76"/>
        <v>8.3333333333333332E-3</v>
      </c>
      <c r="F261" s="73">
        <f t="shared" si="77"/>
        <v>308</v>
      </c>
      <c r="G261" s="73">
        <v>1</v>
      </c>
      <c r="H261" s="73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8" t="s">
        <v>399</v>
      </c>
      <c r="Q261" s="15">
        <f t="shared" si="61"/>
        <v>28</v>
      </c>
      <c r="R261" s="48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35"/>
      <c r="B262" s="73" t="s">
        <v>619</v>
      </c>
      <c r="C262" s="73">
        <v>2</v>
      </c>
      <c r="D262" s="73">
        <f>INDEX(神器!$M$4:$M$7,世界BOSS专属武器!C262)</f>
        <v>120</v>
      </c>
      <c r="E262" s="73">
        <f t="shared" si="76"/>
        <v>8.3333333333333332E-3</v>
      </c>
      <c r="F262" s="73">
        <f t="shared" si="77"/>
        <v>308</v>
      </c>
      <c r="G262" s="73">
        <v>1</v>
      </c>
      <c r="H262" s="73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8" t="s">
        <v>399</v>
      </c>
      <c r="Q262" s="15">
        <f t="shared" si="61"/>
        <v>29</v>
      </c>
      <c r="R262" s="48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35"/>
      <c r="B263" s="73" t="s">
        <v>623</v>
      </c>
      <c r="C263" s="73">
        <v>1</v>
      </c>
      <c r="D263" s="73">
        <f>INDEX(神器!$M$4:$M$7,世界BOSS专属武器!C263)</f>
        <v>40</v>
      </c>
      <c r="E263" s="73">
        <f t="shared" si="76"/>
        <v>2.5000000000000001E-2</v>
      </c>
      <c r="F263" s="73">
        <f t="shared" si="77"/>
        <v>925</v>
      </c>
      <c r="G263" s="73">
        <v>1</v>
      </c>
      <c r="H263" s="73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8" t="s">
        <v>399</v>
      </c>
      <c r="Q263" s="15">
        <f t="shared" si="61"/>
        <v>30</v>
      </c>
      <c r="R263" s="48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35"/>
      <c r="B264" s="73" t="s">
        <v>624</v>
      </c>
      <c r="C264" s="73">
        <v>2</v>
      </c>
      <c r="D264" s="73">
        <f>INDEX(神器!$M$4:$M$7,世界BOSS专属武器!C264)</f>
        <v>120</v>
      </c>
      <c r="E264" s="73">
        <f t="shared" si="76"/>
        <v>8.3333333333333332E-3</v>
      </c>
      <c r="F264" s="73">
        <f t="shared" si="77"/>
        <v>308</v>
      </c>
      <c r="G264" s="73">
        <v>1</v>
      </c>
      <c r="H264" s="73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8" t="s">
        <v>399</v>
      </c>
      <c r="Q264" s="15">
        <f t="shared" si="61"/>
        <v>31</v>
      </c>
      <c r="R264" s="48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35"/>
      <c r="B265" s="73" t="s">
        <v>625</v>
      </c>
      <c r="C265" s="73">
        <v>2</v>
      </c>
      <c r="D265" s="73">
        <f>INDEX(神器!$M$4:$M$7,世界BOSS专属武器!C265)</f>
        <v>120</v>
      </c>
      <c r="E265" s="73">
        <f t="shared" si="76"/>
        <v>8.3333333333333332E-3</v>
      </c>
      <c r="F265" s="73">
        <f t="shared" si="77"/>
        <v>308</v>
      </c>
      <c r="G265" s="73">
        <v>1</v>
      </c>
      <c r="H265" s="73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8" t="s">
        <v>399</v>
      </c>
      <c r="Q265" s="15">
        <f t="shared" si="61"/>
        <v>32</v>
      </c>
      <c r="R265" s="48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35"/>
      <c r="B266" s="73" t="s">
        <v>629</v>
      </c>
      <c r="C266" s="73">
        <v>1</v>
      </c>
      <c r="D266" s="73">
        <f>INDEX(神器!$M$4:$M$7,世界BOSS专属武器!C266)</f>
        <v>40</v>
      </c>
      <c r="E266" s="73">
        <f t="shared" si="76"/>
        <v>2.5000000000000001E-2</v>
      </c>
      <c r="F266" s="73">
        <f t="shared" si="77"/>
        <v>925</v>
      </c>
      <c r="G266" s="73">
        <v>1</v>
      </c>
      <c r="H266" s="73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8" t="s">
        <v>399</v>
      </c>
      <c r="Q266" s="15">
        <f t="shared" si="61"/>
        <v>33</v>
      </c>
      <c r="R266" s="48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35"/>
      <c r="B267" s="73" t="s">
        <v>630</v>
      </c>
      <c r="C267" s="73">
        <v>2</v>
      </c>
      <c r="D267" s="73">
        <f>INDEX(神器!$M$4:$M$7,世界BOSS专属武器!C267)</f>
        <v>120</v>
      </c>
      <c r="E267" s="73">
        <f t="shared" si="76"/>
        <v>8.3333333333333332E-3</v>
      </c>
      <c r="F267" s="73">
        <f t="shared" si="77"/>
        <v>308</v>
      </c>
      <c r="G267" s="73">
        <v>1</v>
      </c>
      <c r="H267" s="73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8" t="s">
        <v>399</v>
      </c>
      <c r="Q267" s="15">
        <f t="shared" si="61"/>
        <v>34</v>
      </c>
      <c r="R267" s="48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36"/>
      <c r="B268" s="73" t="s">
        <v>631</v>
      </c>
      <c r="C268" s="73">
        <v>2</v>
      </c>
      <c r="D268" s="73">
        <f>INDEX(神器!$M$4:$M$7,世界BOSS专属武器!C268)</f>
        <v>120</v>
      </c>
      <c r="E268" s="73">
        <f t="shared" si="76"/>
        <v>8.3333333333333332E-3</v>
      </c>
      <c r="F268" s="73">
        <f>10000-SUM(F252:F267)</f>
        <v>312</v>
      </c>
      <c r="G268" s="73">
        <v>1</v>
      </c>
      <c r="H268" s="73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8" t="s">
        <v>399</v>
      </c>
      <c r="Q268" s="15">
        <f t="shared" si="61"/>
        <v>35</v>
      </c>
      <c r="R268" s="48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8" t="s">
        <v>399</v>
      </c>
      <c r="Q269" s="15">
        <f t="shared" si="61"/>
        <v>36</v>
      </c>
      <c r="R269" s="48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8" t="s">
        <v>399</v>
      </c>
      <c r="Q270" s="15">
        <f t="shared" si="61"/>
        <v>37</v>
      </c>
      <c r="R270" s="48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33" t="s">
        <v>727</v>
      </c>
      <c r="B271" s="73" t="s">
        <v>611</v>
      </c>
      <c r="C271" s="73">
        <v>2</v>
      </c>
      <c r="D271" s="73">
        <f>INDEX(神器!$M$4:$M$7,世界BOSS专属武器!C271)</f>
        <v>120</v>
      </c>
      <c r="E271" s="73">
        <f t="shared" ref="E271:E294" si="78">1/D271</f>
        <v>8.3333333333333332E-3</v>
      </c>
      <c r="F271" s="73">
        <f>ROUND(10000*E271/E$270,0)</f>
        <v>568</v>
      </c>
      <c r="G271" s="73">
        <v>1</v>
      </c>
      <c r="H271" s="73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8" t="s">
        <v>399</v>
      </c>
      <c r="Q271" s="15">
        <f t="shared" si="61"/>
        <v>38</v>
      </c>
      <c r="R271" s="48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33"/>
      <c r="B272" s="73" t="s">
        <v>615</v>
      </c>
      <c r="C272" s="73">
        <v>2</v>
      </c>
      <c r="D272" s="73">
        <f>INDEX(神器!$M$4:$M$7,世界BOSS专属武器!C272)</f>
        <v>120</v>
      </c>
      <c r="E272" s="73">
        <f t="shared" si="78"/>
        <v>8.3333333333333332E-3</v>
      </c>
      <c r="F272" s="73">
        <f t="shared" ref="F272:F293" si="79">ROUND(10000*E272/E$270,0)</f>
        <v>568</v>
      </c>
      <c r="G272" s="73">
        <v>1</v>
      </c>
      <c r="H272" s="73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8" t="s">
        <v>399</v>
      </c>
      <c r="Q272" s="15">
        <f t="shared" si="61"/>
        <v>39</v>
      </c>
      <c r="R272" s="48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33"/>
      <c r="B273" s="73" t="s">
        <v>616</v>
      </c>
      <c r="C273" s="73">
        <v>3</v>
      </c>
      <c r="D273" s="73">
        <f>INDEX(神器!$M$4:$M$7,世界BOSS专属武器!C273)</f>
        <v>280</v>
      </c>
      <c r="E273" s="73">
        <f t="shared" si="78"/>
        <v>3.5714285714285713E-3</v>
      </c>
      <c r="F273" s="73">
        <f t="shared" si="79"/>
        <v>244</v>
      </c>
      <c r="G273" s="73">
        <v>1</v>
      </c>
      <c r="H273" s="73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8" t="s">
        <v>399</v>
      </c>
      <c r="Q273" s="15">
        <f t="shared" ref="Q273:Q336" si="81">MOD(M273-1,51)</f>
        <v>40</v>
      </c>
      <c r="R273" s="48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33"/>
      <c r="B274" s="73" t="s">
        <v>618</v>
      </c>
      <c r="C274" s="73">
        <v>2</v>
      </c>
      <c r="D274" s="73">
        <f>INDEX(神器!$M$4:$M$7,世界BOSS专属武器!C274)</f>
        <v>120</v>
      </c>
      <c r="E274" s="73">
        <f t="shared" si="78"/>
        <v>8.3333333333333332E-3</v>
      </c>
      <c r="F274" s="73">
        <f t="shared" si="79"/>
        <v>568</v>
      </c>
      <c r="G274" s="73">
        <v>1</v>
      </c>
      <c r="H274" s="73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8" t="s">
        <v>399</v>
      </c>
      <c r="Q274" s="15">
        <f t="shared" si="81"/>
        <v>41</v>
      </c>
      <c r="R274" s="48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33"/>
      <c r="B275" s="73" t="s">
        <v>619</v>
      </c>
      <c r="C275" s="73">
        <v>2</v>
      </c>
      <c r="D275" s="73">
        <f>INDEX(神器!$M$4:$M$7,世界BOSS专属武器!C275)</f>
        <v>120</v>
      </c>
      <c r="E275" s="73">
        <f t="shared" si="78"/>
        <v>8.3333333333333332E-3</v>
      </c>
      <c r="F275" s="73">
        <f t="shared" si="79"/>
        <v>568</v>
      </c>
      <c r="G275" s="73">
        <v>1</v>
      </c>
      <c r="H275" s="73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8" t="s">
        <v>399</v>
      </c>
      <c r="Q275" s="15">
        <f t="shared" si="81"/>
        <v>42</v>
      </c>
      <c r="R275" s="48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33"/>
      <c r="B276" s="73" t="s">
        <v>620</v>
      </c>
      <c r="C276" s="73">
        <v>3</v>
      </c>
      <c r="D276" s="73">
        <f>INDEX(神器!$M$4:$M$7,世界BOSS专属武器!C276)</f>
        <v>280</v>
      </c>
      <c r="E276" s="73">
        <f t="shared" si="78"/>
        <v>3.5714285714285713E-3</v>
      </c>
      <c r="F276" s="73">
        <f t="shared" si="79"/>
        <v>244</v>
      </c>
      <c r="G276" s="73">
        <v>1</v>
      </c>
      <c r="H276" s="73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8" t="s">
        <v>399</v>
      </c>
      <c r="Q276" s="15">
        <f t="shared" si="81"/>
        <v>43</v>
      </c>
      <c r="R276" s="48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33"/>
      <c r="B277" s="73" t="s">
        <v>621</v>
      </c>
      <c r="C277" s="73">
        <v>3</v>
      </c>
      <c r="D277" s="73">
        <f>INDEX(神器!$M$4:$M$7,世界BOSS专属武器!C277)</f>
        <v>280</v>
      </c>
      <c r="E277" s="73">
        <f t="shared" si="78"/>
        <v>3.5714285714285713E-3</v>
      </c>
      <c r="F277" s="73">
        <f t="shared" si="79"/>
        <v>244</v>
      </c>
      <c r="G277" s="73">
        <v>1</v>
      </c>
      <c r="H277" s="73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8" t="s">
        <v>399</v>
      </c>
      <c r="Q277" s="15">
        <f t="shared" si="81"/>
        <v>44</v>
      </c>
      <c r="R277" s="48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33"/>
      <c r="B278" s="73" t="s">
        <v>622</v>
      </c>
      <c r="C278" s="73">
        <v>4</v>
      </c>
      <c r="D278" s="73">
        <f>INDEX(神器!$M$4:$M$7,世界BOSS专属武器!C278)</f>
        <v>600</v>
      </c>
      <c r="E278" s="73">
        <f t="shared" si="78"/>
        <v>1.6666666666666668E-3</v>
      </c>
      <c r="F278" s="73">
        <f t="shared" si="79"/>
        <v>114</v>
      </c>
      <c r="G278" s="73">
        <v>1</v>
      </c>
      <c r="H278" s="73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8" t="s">
        <v>399</v>
      </c>
      <c r="Q278" s="15">
        <f t="shared" si="81"/>
        <v>45</v>
      </c>
      <c r="R278" s="48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33"/>
      <c r="B279" s="73" t="s">
        <v>624</v>
      </c>
      <c r="C279" s="73">
        <v>2</v>
      </c>
      <c r="D279" s="73">
        <f>INDEX(神器!$M$4:$M$7,世界BOSS专属武器!C279)</f>
        <v>120</v>
      </c>
      <c r="E279" s="73">
        <f t="shared" si="78"/>
        <v>8.3333333333333332E-3</v>
      </c>
      <c r="F279" s="73">
        <f t="shared" si="79"/>
        <v>568</v>
      </c>
      <c r="G279" s="73">
        <v>1</v>
      </c>
      <c r="H279" s="73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8" t="s">
        <v>399</v>
      </c>
      <c r="Q279" s="15">
        <f t="shared" si="81"/>
        <v>46</v>
      </c>
      <c r="R279" s="48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33"/>
      <c r="B280" s="73" t="s">
        <v>625</v>
      </c>
      <c r="C280" s="73">
        <v>2</v>
      </c>
      <c r="D280" s="73">
        <f>INDEX(神器!$M$4:$M$7,世界BOSS专属武器!C280)</f>
        <v>120</v>
      </c>
      <c r="E280" s="73">
        <f t="shared" si="78"/>
        <v>8.3333333333333332E-3</v>
      </c>
      <c r="F280" s="73">
        <f t="shared" si="79"/>
        <v>568</v>
      </c>
      <c r="G280" s="73">
        <v>1</v>
      </c>
      <c r="H280" s="73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8" t="s">
        <v>399</v>
      </c>
      <c r="Q280" s="15">
        <f t="shared" si="81"/>
        <v>47</v>
      </c>
      <c r="R280" s="48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33"/>
      <c r="B281" s="73" t="s">
        <v>626</v>
      </c>
      <c r="C281" s="73">
        <v>3</v>
      </c>
      <c r="D281" s="73">
        <f>INDEX(神器!$M$4:$M$7,世界BOSS专属武器!C281)</f>
        <v>280</v>
      </c>
      <c r="E281" s="73">
        <f t="shared" si="78"/>
        <v>3.5714285714285713E-3</v>
      </c>
      <c r="F281" s="73">
        <f t="shared" si="79"/>
        <v>244</v>
      </c>
      <c r="G281" s="73">
        <v>1</v>
      </c>
      <c r="H281" s="73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8" t="s">
        <v>399</v>
      </c>
      <c r="Q281" s="15">
        <f t="shared" si="81"/>
        <v>48</v>
      </c>
      <c r="R281" s="48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33"/>
      <c r="B282" s="73" t="s">
        <v>627</v>
      </c>
      <c r="C282" s="73">
        <v>3</v>
      </c>
      <c r="D282" s="73">
        <f>INDEX(神器!$M$4:$M$7,世界BOSS专属武器!C282)</f>
        <v>280</v>
      </c>
      <c r="E282" s="73">
        <f t="shared" si="78"/>
        <v>3.5714285714285713E-3</v>
      </c>
      <c r="F282" s="73">
        <f t="shared" si="79"/>
        <v>244</v>
      </c>
      <c r="G282" s="73">
        <v>1</v>
      </c>
      <c r="H282" s="73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8" t="s">
        <v>399</v>
      </c>
      <c r="Q282" s="15">
        <f t="shared" si="81"/>
        <v>49</v>
      </c>
      <c r="R282" s="48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33"/>
      <c r="B283" s="73" t="s">
        <v>628</v>
      </c>
      <c r="C283" s="73">
        <v>4</v>
      </c>
      <c r="D283" s="73">
        <f>INDEX(神器!$M$4:$M$7,世界BOSS专属武器!C283)</f>
        <v>600</v>
      </c>
      <c r="E283" s="73">
        <f t="shared" si="78"/>
        <v>1.6666666666666668E-3</v>
      </c>
      <c r="F283" s="73">
        <f t="shared" si="79"/>
        <v>114</v>
      </c>
      <c r="G283" s="73">
        <v>1</v>
      </c>
      <c r="H283" s="73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8" t="s">
        <v>399</v>
      </c>
      <c r="Q283" s="15">
        <f t="shared" si="81"/>
        <v>50</v>
      </c>
      <c r="R283" s="48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33"/>
      <c r="B284" s="73" t="s">
        <v>630</v>
      </c>
      <c r="C284" s="73">
        <v>2</v>
      </c>
      <c r="D284" s="73">
        <f>INDEX(神器!$M$4:$M$7,世界BOSS专属武器!C284)</f>
        <v>120</v>
      </c>
      <c r="E284" s="73">
        <f t="shared" si="78"/>
        <v>8.3333333333333332E-3</v>
      </c>
      <c r="F284" s="73">
        <f t="shared" si="79"/>
        <v>568</v>
      </c>
      <c r="G284" s="73">
        <v>1</v>
      </c>
      <c r="H284" s="73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8" t="s">
        <v>399</v>
      </c>
      <c r="Q284" s="15">
        <f t="shared" si="81"/>
        <v>0</v>
      </c>
      <c r="R284" s="48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33"/>
      <c r="B285" s="73" t="s">
        <v>631</v>
      </c>
      <c r="C285" s="73">
        <v>2</v>
      </c>
      <c r="D285" s="73">
        <f>INDEX(神器!$M$4:$M$7,世界BOSS专属武器!C285)</f>
        <v>120</v>
      </c>
      <c r="E285" s="73">
        <f t="shared" si="78"/>
        <v>8.3333333333333332E-3</v>
      </c>
      <c r="F285" s="73">
        <f t="shared" si="79"/>
        <v>568</v>
      </c>
      <c r="G285" s="73">
        <v>1</v>
      </c>
      <c r="H285" s="73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8" t="s">
        <v>399</v>
      </c>
      <c r="Q285" s="15">
        <f t="shared" si="81"/>
        <v>1</v>
      </c>
      <c r="R285" s="48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33"/>
      <c r="B286" s="73" t="s">
        <v>632</v>
      </c>
      <c r="C286" s="73">
        <v>3</v>
      </c>
      <c r="D286" s="73">
        <f>INDEX(神器!$M$4:$M$7,世界BOSS专属武器!C286)</f>
        <v>280</v>
      </c>
      <c r="E286" s="73">
        <f t="shared" si="78"/>
        <v>3.5714285714285713E-3</v>
      </c>
      <c r="F286" s="73">
        <f t="shared" si="79"/>
        <v>244</v>
      </c>
      <c r="G286" s="73">
        <v>1</v>
      </c>
      <c r="H286" s="73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8" t="s">
        <v>399</v>
      </c>
      <c r="Q286" s="15">
        <f t="shared" si="81"/>
        <v>2</v>
      </c>
      <c r="R286" s="48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33"/>
      <c r="B287" s="73" t="s">
        <v>633</v>
      </c>
      <c r="C287" s="73">
        <v>3</v>
      </c>
      <c r="D287" s="73">
        <f>INDEX(神器!$M$4:$M$7,世界BOSS专属武器!C287)</f>
        <v>280</v>
      </c>
      <c r="E287" s="73">
        <f t="shared" si="78"/>
        <v>3.5714285714285713E-3</v>
      </c>
      <c r="F287" s="73">
        <f t="shared" si="79"/>
        <v>244</v>
      </c>
      <c r="G287" s="73">
        <v>1</v>
      </c>
      <c r="H287" s="73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8" t="s">
        <v>399</v>
      </c>
      <c r="Q287" s="15">
        <f t="shared" si="81"/>
        <v>3</v>
      </c>
      <c r="R287" s="48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33"/>
      <c r="B288" s="73" t="s">
        <v>634</v>
      </c>
      <c r="C288" s="73">
        <v>4</v>
      </c>
      <c r="D288" s="73">
        <f>INDEX(神器!$M$4:$M$7,世界BOSS专属武器!C288)</f>
        <v>600</v>
      </c>
      <c r="E288" s="73">
        <f t="shared" si="78"/>
        <v>1.6666666666666668E-3</v>
      </c>
      <c r="F288" s="73">
        <f t="shared" si="79"/>
        <v>114</v>
      </c>
      <c r="G288" s="73">
        <v>1</v>
      </c>
      <c r="H288" s="73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8" t="s">
        <v>399</v>
      </c>
      <c r="Q288" s="15">
        <f t="shared" si="81"/>
        <v>4</v>
      </c>
      <c r="R288" s="48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33"/>
      <c r="B289" s="73" t="s">
        <v>635</v>
      </c>
      <c r="C289" s="73">
        <v>2</v>
      </c>
      <c r="D289" s="73">
        <f>INDEX(神器!$M$4:$M$7,世界BOSS专属武器!C289)</f>
        <v>120</v>
      </c>
      <c r="E289" s="73">
        <f t="shared" si="78"/>
        <v>8.3333333333333332E-3</v>
      </c>
      <c r="F289" s="73">
        <f t="shared" si="79"/>
        <v>568</v>
      </c>
      <c r="G289" s="73">
        <v>1</v>
      </c>
      <c r="H289" s="73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8" t="s">
        <v>399</v>
      </c>
      <c r="Q289" s="15">
        <f t="shared" si="81"/>
        <v>5</v>
      </c>
      <c r="R289" s="48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33"/>
      <c r="B290" s="73" t="s">
        <v>636</v>
      </c>
      <c r="C290" s="73">
        <v>2</v>
      </c>
      <c r="D290" s="73">
        <f>INDEX(神器!$M$4:$M$7,世界BOSS专属武器!C290)</f>
        <v>120</v>
      </c>
      <c r="E290" s="73">
        <f t="shared" si="78"/>
        <v>8.3333333333333332E-3</v>
      </c>
      <c r="F290" s="73">
        <f t="shared" si="79"/>
        <v>568</v>
      </c>
      <c r="G290" s="73">
        <v>1</v>
      </c>
      <c r="H290" s="73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8" t="s">
        <v>399</v>
      </c>
      <c r="Q290" s="15">
        <f t="shared" si="81"/>
        <v>6</v>
      </c>
      <c r="R290" s="48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33"/>
      <c r="B291" s="73" t="s">
        <v>637</v>
      </c>
      <c r="C291" s="73">
        <v>2</v>
      </c>
      <c r="D291" s="73">
        <f>INDEX(神器!$M$4:$M$7,世界BOSS专属武器!C291)</f>
        <v>120</v>
      </c>
      <c r="E291" s="73">
        <f t="shared" si="78"/>
        <v>8.3333333333333332E-3</v>
      </c>
      <c r="F291" s="73">
        <f t="shared" si="79"/>
        <v>568</v>
      </c>
      <c r="G291" s="73">
        <v>1</v>
      </c>
      <c r="H291" s="73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8" t="s">
        <v>399</v>
      </c>
      <c r="Q291" s="15">
        <f t="shared" si="81"/>
        <v>7</v>
      </c>
      <c r="R291" s="48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33"/>
      <c r="B292" s="73" t="s">
        <v>643</v>
      </c>
      <c r="C292" s="73">
        <v>2</v>
      </c>
      <c r="D292" s="73">
        <f>INDEX(神器!$M$4:$M$7,世界BOSS专属武器!C292)</f>
        <v>120</v>
      </c>
      <c r="E292" s="73">
        <f t="shared" si="78"/>
        <v>8.3333333333333332E-3</v>
      </c>
      <c r="F292" s="73">
        <f t="shared" si="79"/>
        <v>568</v>
      </c>
      <c r="G292" s="73">
        <v>1</v>
      </c>
      <c r="H292" s="73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8" t="s">
        <v>399</v>
      </c>
      <c r="Q292" s="15">
        <f t="shared" si="81"/>
        <v>8</v>
      </c>
      <c r="R292" s="48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33"/>
      <c r="B293" s="73" t="s">
        <v>644</v>
      </c>
      <c r="C293" s="73">
        <v>2</v>
      </c>
      <c r="D293" s="73">
        <f>INDEX(神器!$M$4:$M$7,世界BOSS专属武器!C293)</f>
        <v>120</v>
      </c>
      <c r="E293" s="73">
        <f t="shared" si="78"/>
        <v>8.3333333333333332E-3</v>
      </c>
      <c r="F293" s="73">
        <f t="shared" si="79"/>
        <v>568</v>
      </c>
      <c r="G293" s="73">
        <v>1</v>
      </c>
      <c r="H293" s="73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8" t="s">
        <v>399</v>
      </c>
      <c r="Q293" s="15">
        <f t="shared" si="81"/>
        <v>9</v>
      </c>
      <c r="R293" s="48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33"/>
      <c r="B294" s="73" t="s">
        <v>645</v>
      </c>
      <c r="C294" s="73">
        <v>2</v>
      </c>
      <c r="D294" s="73">
        <f>INDEX(神器!$M$4:$M$7,世界BOSS专属武器!C294)</f>
        <v>120</v>
      </c>
      <c r="E294" s="73">
        <f t="shared" si="78"/>
        <v>8.3333333333333332E-3</v>
      </c>
      <c r="F294" s="73">
        <f>10000-SUM(F271:F293)</f>
        <v>566</v>
      </c>
      <c r="G294" s="73">
        <v>1</v>
      </c>
      <c r="H294" s="73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8" t="s">
        <v>399</v>
      </c>
      <c r="Q294" s="15">
        <f t="shared" si="81"/>
        <v>10</v>
      </c>
      <c r="R294" s="48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8" t="s">
        <v>399</v>
      </c>
      <c r="Q295" s="15">
        <f t="shared" si="81"/>
        <v>11</v>
      </c>
      <c r="R295" s="48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8" t="s">
        <v>399</v>
      </c>
      <c r="Q296" s="15">
        <f t="shared" si="81"/>
        <v>12</v>
      </c>
      <c r="R296" s="48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33" t="s">
        <v>728</v>
      </c>
      <c r="B297" s="73" t="s">
        <v>620</v>
      </c>
      <c r="C297" s="73">
        <v>3</v>
      </c>
      <c r="D297" s="73">
        <f>INDEX(神器!$M$4:$M$7,世界BOSS专属武器!C297)</f>
        <v>280</v>
      </c>
      <c r="E297" s="73">
        <f t="shared" ref="E297:E321" si="92">1/D297</f>
        <v>3.5714285714285713E-3</v>
      </c>
      <c r="F297" s="73">
        <f t="shared" ref="F297:F320" si="93">ROUND(10000*E297/E$296,0)</f>
        <v>342</v>
      </c>
      <c r="G297" s="73">
        <v>1</v>
      </c>
      <c r="H297" s="73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8" t="s">
        <v>399</v>
      </c>
      <c r="Q297" s="15">
        <f t="shared" si="81"/>
        <v>13</v>
      </c>
      <c r="R297" s="48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33"/>
      <c r="B298" s="73" t="s">
        <v>621</v>
      </c>
      <c r="C298" s="73">
        <v>3</v>
      </c>
      <c r="D298" s="73">
        <f>INDEX(神器!$M$4:$M$7,世界BOSS专属武器!C298)</f>
        <v>280</v>
      </c>
      <c r="E298" s="73">
        <f t="shared" si="92"/>
        <v>3.5714285714285713E-3</v>
      </c>
      <c r="F298" s="73">
        <f t="shared" si="93"/>
        <v>342</v>
      </c>
      <c r="G298" s="73">
        <v>1</v>
      </c>
      <c r="H298" s="73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8" t="s">
        <v>399</v>
      </c>
      <c r="Q298" s="15">
        <f t="shared" si="81"/>
        <v>14</v>
      </c>
      <c r="R298" s="48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33"/>
      <c r="B299" s="73" t="s">
        <v>622</v>
      </c>
      <c r="C299" s="73">
        <v>4</v>
      </c>
      <c r="D299" s="73">
        <f>INDEX(神器!$M$4:$M$7,世界BOSS专属武器!C299)</f>
        <v>600</v>
      </c>
      <c r="E299" s="73">
        <f t="shared" si="92"/>
        <v>1.6666666666666668E-3</v>
      </c>
      <c r="F299" s="73">
        <f t="shared" si="93"/>
        <v>159</v>
      </c>
      <c r="G299" s="73">
        <v>1</v>
      </c>
      <c r="H299" s="73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8" t="s">
        <v>399</v>
      </c>
      <c r="Q299" s="15">
        <f t="shared" si="81"/>
        <v>15</v>
      </c>
      <c r="R299" s="48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33"/>
      <c r="B300" s="73" t="s">
        <v>626</v>
      </c>
      <c r="C300" s="73">
        <v>3</v>
      </c>
      <c r="D300" s="73">
        <f>INDEX(神器!$M$4:$M$7,世界BOSS专属武器!C300)</f>
        <v>280</v>
      </c>
      <c r="E300" s="73">
        <f t="shared" si="92"/>
        <v>3.5714285714285713E-3</v>
      </c>
      <c r="F300" s="73">
        <f t="shared" si="93"/>
        <v>342</v>
      </c>
      <c r="G300" s="73">
        <v>1</v>
      </c>
      <c r="H300" s="73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8" t="s">
        <v>399</v>
      </c>
      <c r="Q300" s="15">
        <f t="shared" si="81"/>
        <v>16</v>
      </c>
      <c r="R300" s="48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33"/>
      <c r="B301" s="73" t="s">
        <v>627</v>
      </c>
      <c r="C301" s="73">
        <v>3</v>
      </c>
      <c r="D301" s="73">
        <f>INDEX(神器!$M$4:$M$7,世界BOSS专属武器!C301)</f>
        <v>280</v>
      </c>
      <c r="E301" s="73">
        <f t="shared" si="92"/>
        <v>3.5714285714285713E-3</v>
      </c>
      <c r="F301" s="73">
        <f t="shared" si="93"/>
        <v>342</v>
      </c>
      <c r="G301" s="73">
        <v>1</v>
      </c>
      <c r="H301" s="73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8" t="s">
        <v>399</v>
      </c>
      <c r="Q301" s="15">
        <f t="shared" si="81"/>
        <v>17</v>
      </c>
      <c r="R301" s="48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33"/>
      <c r="B302" s="73" t="s">
        <v>628</v>
      </c>
      <c r="C302" s="73">
        <v>4</v>
      </c>
      <c r="D302" s="73">
        <f>INDEX(神器!$M$4:$M$7,世界BOSS专属武器!C302)</f>
        <v>600</v>
      </c>
      <c r="E302" s="73">
        <f t="shared" si="92"/>
        <v>1.6666666666666668E-3</v>
      </c>
      <c r="F302" s="73">
        <f t="shared" si="93"/>
        <v>159</v>
      </c>
      <c r="G302" s="73">
        <v>1</v>
      </c>
      <c r="H302" s="73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8" t="s">
        <v>399</v>
      </c>
      <c r="Q302" s="15">
        <f t="shared" si="81"/>
        <v>18</v>
      </c>
      <c r="R302" s="48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33"/>
      <c r="B303" s="73" t="s">
        <v>632</v>
      </c>
      <c r="C303" s="73">
        <v>3</v>
      </c>
      <c r="D303" s="73">
        <f>INDEX(神器!$M$4:$M$7,世界BOSS专属武器!C303)</f>
        <v>280</v>
      </c>
      <c r="E303" s="73">
        <f t="shared" si="92"/>
        <v>3.5714285714285713E-3</v>
      </c>
      <c r="F303" s="73">
        <f t="shared" si="93"/>
        <v>342</v>
      </c>
      <c r="G303" s="73">
        <v>1</v>
      </c>
      <c r="H303" s="73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8" t="s">
        <v>399</v>
      </c>
      <c r="Q303" s="15">
        <f t="shared" si="81"/>
        <v>19</v>
      </c>
      <c r="R303" s="48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33"/>
      <c r="B304" s="73" t="s">
        <v>633</v>
      </c>
      <c r="C304" s="73">
        <v>3</v>
      </c>
      <c r="D304" s="73">
        <f>INDEX(神器!$M$4:$M$7,世界BOSS专属武器!C304)</f>
        <v>280</v>
      </c>
      <c r="E304" s="73">
        <f t="shared" si="92"/>
        <v>3.5714285714285713E-3</v>
      </c>
      <c r="F304" s="73">
        <f t="shared" si="93"/>
        <v>342</v>
      </c>
      <c r="G304" s="73">
        <v>1</v>
      </c>
      <c r="H304" s="73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8" t="s">
        <v>399</v>
      </c>
      <c r="Q304" s="15">
        <f t="shared" si="81"/>
        <v>20</v>
      </c>
      <c r="R304" s="48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33"/>
      <c r="B305" s="73" t="s">
        <v>634</v>
      </c>
      <c r="C305" s="73">
        <v>4</v>
      </c>
      <c r="D305" s="73">
        <f>INDEX(神器!$M$4:$M$7,世界BOSS专属武器!C305)</f>
        <v>600</v>
      </c>
      <c r="E305" s="73">
        <f t="shared" si="92"/>
        <v>1.6666666666666668E-3</v>
      </c>
      <c r="F305" s="73">
        <f t="shared" si="93"/>
        <v>159</v>
      </c>
      <c r="G305" s="73">
        <v>1</v>
      </c>
      <c r="H305" s="73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8" t="s">
        <v>399</v>
      </c>
      <c r="Q305" s="15">
        <f t="shared" si="81"/>
        <v>21</v>
      </c>
      <c r="R305" s="48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33"/>
      <c r="B306" s="73" t="s">
        <v>635</v>
      </c>
      <c r="C306" s="73">
        <v>2</v>
      </c>
      <c r="D306" s="73">
        <f>INDEX(神器!$M$4:$M$7,世界BOSS专属武器!C306)</f>
        <v>120</v>
      </c>
      <c r="E306" s="73">
        <f t="shared" si="92"/>
        <v>8.3333333333333332E-3</v>
      </c>
      <c r="F306" s="73">
        <f t="shared" si="93"/>
        <v>797</v>
      </c>
      <c r="G306" s="73">
        <v>1</v>
      </c>
      <c r="H306" s="73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8" t="s">
        <v>399</v>
      </c>
      <c r="Q306" s="15">
        <f t="shared" si="81"/>
        <v>22</v>
      </c>
      <c r="R306" s="48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33"/>
      <c r="B307" s="73" t="s">
        <v>636</v>
      </c>
      <c r="C307" s="73">
        <v>2</v>
      </c>
      <c r="D307" s="73">
        <f>INDEX(神器!$M$4:$M$7,世界BOSS专属武器!C307)</f>
        <v>120</v>
      </c>
      <c r="E307" s="73">
        <f t="shared" si="92"/>
        <v>8.3333333333333332E-3</v>
      </c>
      <c r="F307" s="73">
        <f t="shared" si="93"/>
        <v>797</v>
      </c>
      <c r="G307" s="73">
        <v>1</v>
      </c>
      <c r="H307" s="73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8" t="s">
        <v>399</v>
      </c>
      <c r="Q307" s="15">
        <f t="shared" si="81"/>
        <v>23</v>
      </c>
      <c r="R307" s="48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33"/>
      <c r="B308" s="73" t="s">
        <v>637</v>
      </c>
      <c r="C308" s="73">
        <v>2</v>
      </c>
      <c r="D308" s="73">
        <f>INDEX(神器!$M$4:$M$7,世界BOSS专属武器!C308)</f>
        <v>120</v>
      </c>
      <c r="E308" s="73">
        <f t="shared" si="92"/>
        <v>8.3333333333333332E-3</v>
      </c>
      <c r="F308" s="73">
        <f t="shared" si="93"/>
        <v>797</v>
      </c>
      <c r="G308" s="73">
        <v>1</v>
      </c>
      <c r="H308" s="73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8" t="s">
        <v>399</v>
      </c>
      <c r="Q308" s="15">
        <f t="shared" si="81"/>
        <v>24</v>
      </c>
      <c r="R308" s="48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33"/>
      <c r="B309" s="73" t="s">
        <v>638</v>
      </c>
      <c r="C309" s="73">
        <v>3</v>
      </c>
      <c r="D309" s="73">
        <f>INDEX(神器!$M$4:$M$7,世界BOSS专属武器!C309)</f>
        <v>280</v>
      </c>
      <c r="E309" s="73">
        <f t="shared" si="92"/>
        <v>3.5714285714285713E-3</v>
      </c>
      <c r="F309" s="73">
        <f t="shared" si="93"/>
        <v>342</v>
      </c>
      <c r="G309" s="73">
        <v>1</v>
      </c>
      <c r="H309" s="73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8" t="s">
        <v>399</v>
      </c>
      <c r="Q309" s="15">
        <f t="shared" si="81"/>
        <v>25</v>
      </c>
      <c r="R309" s="48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33"/>
      <c r="B310" s="73" t="s">
        <v>639</v>
      </c>
      <c r="C310" s="73">
        <v>3</v>
      </c>
      <c r="D310" s="73">
        <f>INDEX(神器!$M$4:$M$7,世界BOSS专属武器!C310)</f>
        <v>280</v>
      </c>
      <c r="E310" s="73">
        <f t="shared" si="92"/>
        <v>3.5714285714285713E-3</v>
      </c>
      <c r="F310" s="73">
        <f t="shared" si="93"/>
        <v>342</v>
      </c>
      <c r="G310" s="73">
        <v>1</v>
      </c>
      <c r="H310" s="73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8" t="s">
        <v>399</v>
      </c>
      <c r="Q310" s="15">
        <f t="shared" si="81"/>
        <v>26</v>
      </c>
      <c r="R310" s="48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33"/>
      <c r="B311" s="73" t="s">
        <v>640</v>
      </c>
      <c r="C311" s="73">
        <v>3</v>
      </c>
      <c r="D311" s="73">
        <f>INDEX(神器!$M$4:$M$7,世界BOSS专属武器!C311)</f>
        <v>280</v>
      </c>
      <c r="E311" s="73">
        <f t="shared" si="92"/>
        <v>3.5714285714285713E-3</v>
      </c>
      <c r="F311" s="73">
        <f t="shared" si="93"/>
        <v>342</v>
      </c>
      <c r="G311" s="73">
        <v>1</v>
      </c>
      <c r="H311" s="73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8" t="s">
        <v>399</v>
      </c>
      <c r="Q311" s="15">
        <f t="shared" si="81"/>
        <v>27</v>
      </c>
      <c r="R311" s="48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33"/>
      <c r="B312" s="73" t="s">
        <v>641</v>
      </c>
      <c r="C312" s="73">
        <v>4</v>
      </c>
      <c r="D312" s="73">
        <f>INDEX(神器!$M$4:$M$7,世界BOSS专属武器!C312)</f>
        <v>600</v>
      </c>
      <c r="E312" s="73">
        <f t="shared" si="92"/>
        <v>1.6666666666666668E-3</v>
      </c>
      <c r="F312" s="73">
        <f t="shared" si="93"/>
        <v>159</v>
      </c>
      <c r="G312" s="73">
        <v>1</v>
      </c>
      <c r="H312" s="73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8" t="s">
        <v>399</v>
      </c>
      <c r="Q312" s="15">
        <f t="shared" si="81"/>
        <v>28</v>
      </c>
      <c r="R312" s="48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33"/>
      <c r="B313" s="73" t="s">
        <v>642</v>
      </c>
      <c r="C313" s="73">
        <v>4</v>
      </c>
      <c r="D313" s="73">
        <f>INDEX(神器!$M$4:$M$7,世界BOSS专属武器!C313)</f>
        <v>600</v>
      </c>
      <c r="E313" s="73">
        <f t="shared" si="92"/>
        <v>1.6666666666666668E-3</v>
      </c>
      <c r="F313" s="73">
        <f t="shared" si="93"/>
        <v>159</v>
      </c>
      <c r="G313" s="73">
        <v>1</v>
      </c>
      <c r="H313" s="73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8" t="s">
        <v>399</v>
      </c>
      <c r="Q313" s="15">
        <f t="shared" si="81"/>
        <v>29</v>
      </c>
      <c r="R313" s="48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33"/>
      <c r="B314" s="73" t="s">
        <v>643</v>
      </c>
      <c r="C314" s="73">
        <v>2</v>
      </c>
      <c r="D314" s="73">
        <f>INDEX(神器!$M$4:$M$7,世界BOSS专属武器!C314)</f>
        <v>120</v>
      </c>
      <c r="E314" s="73">
        <f t="shared" si="92"/>
        <v>8.3333333333333332E-3</v>
      </c>
      <c r="F314" s="73">
        <f t="shared" si="93"/>
        <v>797</v>
      </c>
      <c r="G314" s="73">
        <v>1</v>
      </c>
      <c r="H314" s="73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8" t="s">
        <v>399</v>
      </c>
      <c r="Q314" s="15">
        <f t="shared" si="81"/>
        <v>30</v>
      </c>
      <c r="R314" s="48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33"/>
      <c r="B315" s="73" t="s">
        <v>644</v>
      </c>
      <c r="C315" s="73">
        <v>2</v>
      </c>
      <c r="D315" s="73">
        <f>INDEX(神器!$M$4:$M$7,世界BOSS专属武器!C315)</f>
        <v>120</v>
      </c>
      <c r="E315" s="73">
        <f t="shared" si="92"/>
        <v>8.3333333333333332E-3</v>
      </c>
      <c r="F315" s="73">
        <f t="shared" si="93"/>
        <v>797</v>
      </c>
      <c r="G315" s="73">
        <v>1</v>
      </c>
      <c r="H315" s="73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8" t="s">
        <v>399</v>
      </c>
      <c r="Q315" s="15">
        <f t="shared" si="81"/>
        <v>31</v>
      </c>
      <c r="R315" s="48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33"/>
      <c r="B316" s="73" t="s">
        <v>645</v>
      </c>
      <c r="C316" s="73">
        <v>2</v>
      </c>
      <c r="D316" s="73">
        <f>INDEX(神器!$M$4:$M$7,世界BOSS专属武器!C316)</f>
        <v>120</v>
      </c>
      <c r="E316" s="73">
        <f t="shared" si="92"/>
        <v>8.3333333333333332E-3</v>
      </c>
      <c r="F316" s="73">
        <f t="shared" si="93"/>
        <v>797</v>
      </c>
      <c r="G316" s="73">
        <v>1</v>
      </c>
      <c r="H316" s="73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8" t="s">
        <v>399</v>
      </c>
      <c r="Q316" s="15">
        <f t="shared" si="81"/>
        <v>32</v>
      </c>
      <c r="R316" s="48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33"/>
      <c r="B317" s="73" t="s">
        <v>646</v>
      </c>
      <c r="C317" s="73">
        <v>3</v>
      </c>
      <c r="D317" s="73">
        <f>INDEX(神器!$M$4:$M$7,世界BOSS专属武器!C317)</f>
        <v>280</v>
      </c>
      <c r="E317" s="73">
        <f t="shared" si="92"/>
        <v>3.5714285714285713E-3</v>
      </c>
      <c r="F317" s="73">
        <f t="shared" si="93"/>
        <v>342</v>
      </c>
      <c r="G317" s="73">
        <v>1</v>
      </c>
      <c r="H317" s="73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8" t="s">
        <v>399</v>
      </c>
      <c r="Q317" s="15">
        <f t="shared" si="81"/>
        <v>33</v>
      </c>
      <c r="R317" s="48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33"/>
      <c r="B318" s="73" t="s">
        <v>647</v>
      </c>
      <c r="C318" s="73">
        <v>3</v>
      </c>
      <c r="D318" s="73">
        <f>INDEX(神器!$M$4:$M$7,世界BOSS专属武器!C318)</f>
        <v>280</v>
      </c>
      <c r="E318" s="73">
        <f t="shared" si="92"/>
        <v>3.5714285714285713E-3</v>
      </c>
      <c r="F318" s="73">
        <f t="shared" si="93"/>
        <v>342</v>
      </c>
      <c r="G318" s="73">
        <v>1</v>
      </c>
      <c r="H318" s="73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8" t="s">
        <v>399</v>
      </c>
      <c r="Q318" s="15">
        <f t="shared" si="81"/>
        <v>34</v>
      </c>
      <c r="R318" s="48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33"/>
      <c r="B319" s="73" t="s">
        <v>648</v>
      </c>
      <c r="C319" s="73">
        <v>3</v>
      </c>
      <c r="D319" s="73">
        <f>INDEX(神器!$M$4:$M$7,世界BOSS专属武器!C319)</f>
        <v>280</v>
      </c>
      <c r="E319" s="73">
        <f t="shared" si="92"/>
        <v>3.5714285714285713E-3</v>
      </c>
      <c r="F319" s="73">
        <f t="shared" si="93"/>
        <v>342</v>
      </c>
      <c r="G319" s="73">
        <v>1</v>
      </c>
      <c r="H319" s="73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8" t="s">
        <v>399</v>
      </c>
      <c r="Q319" s="15">
        <f t="shared" si="81"/>
        <v>35</v>
      </c>
      <c r="R319" s="48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33"/>
      <c r="B320" s="73" t="s">
        <v>649</v>
      </c>
      <c r="C320" s="73">
        <v>4</v>
      </c>
      <c r="D320" s="73">
        <f>INDEX(神器!$M$4:$M$7,世界BOSS专属武器!C320)</f>
        <v>600</v>
      </c>
      <c r="E320" s="73">
        <f t="shared" si="92"/>
        <v>1.6666666666666668E-3</v>
      </c>
      <c r="F320" s="73">
        <f t="shared" si="93"/>
        <v>159</v>
      </c>
      <c r="G320" s="73">
        <v>1</v>
      </c>
      <c r="H320" s="73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8" t="s">
        <v>399</v>
      </c>
      <c r="Q320" s="15">
        <f t="shared" si="81"/>
        <v>36</v>
      </c>
      <c r="R320" s="48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33"/>
      <c r="B321" s="73" t="s">
        <v>650</v>
      </c>
      <c r="C321" s="73">
        <v>4</v>
      </c>
      <c r="D321" s="73">
        <f>INDEX(神器!$M$4:$M$7,世界BOSS专属武器!C321)</f>
        <v>600</v>
      </c>
      <c r="E321" s="73">
        <f t="shared" si="92"/>
        <v>1.6666666666666668E-3</v>
      </c>
      <c r="F321" s="73">
        <f>10000-SUM(F297:F320)</f>
        <v>160</v>
      </c>
      <c r="G321" s="73">
        <v>1</v>
      </c>
      <c r="H321" s="73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8" t="s">
        <v>399</v>
      </c>
      <c r="Q321" s="15">
        <f t="shared" si="81"/>
        <v>37</v>
      </c>
      <c r="R321" s="48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8" t="s">
        <v>399</v>
      </c>
      <c r="Q322" s="15">
        <f t="shared" si="81"/>
        <v>38</v>
      </c>
      <c r="R322" s="48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8" t="s">
        <v>399</v>
      </c>
      <c r="Q323" s="15">
        <f t="shared" si="81"/>
        <v>39</v>
      </c>
      <c r="R323" s="48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33" t="s">
        <v>729</v>
      </c>
      <c r="B324" s="73" t="s">
        <v>609</v>
      </c>
      <c r="C324" s="73">
        <v>1</v>
      </c>
      <c r="D324" s="73">
        <f>INDEX(神器!$M$4:$M$7,世界BOSS专属武器!C324)</f>
        <v>40</v>
      </c>
      <c r="E324" s="73">
        <f>(1/D324)^0.5</f>
        <v>0.15811388300841897</v>
      </c>
      <c r="F324" s="73">
        <f>ROUND(E324/E$323*10000,0)</f>
        <v>439</v>
      </c>
      <c r="G324" s="73">
        <v>1</v>
      </c>
      <c r="H324" s="73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8" t="s">
        <v>399</v>
      </c>
      <c r="Q324" s="15">
        <f t="shared" si="81"/>
        <v>40</v>
      </c>
      <c r="R324" s="48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33"/>
      <c r="B325" s="73" t="s">
        <v>610</v>
      </c>
      <c r="C325" s="73">
        <v>1</v>
      </c>
      <c r="D325" s="73">
        <f>INDEX(神器!$M$4:$M$7,世界BOSS专属武器!C325)</f>
        <v>40</v>
      </c>
      <c r="E325" s="73">
        <f t="shared" ref="E325:E365" si="94">(1/D325)^0.5</f>
        <v>0.15811388300841897</v>
      </c>
      <c r="F325" s="73">
        <f t="shared" ref="F325:F364" si="95">ROUND(E325/E$323*10000,0)</f>
        <v>439</v>
      </c>
      <c r="G325" s="73">
        <v>1</v>
      </c>
      <c r="H325" s="73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8" t="s">
        <v>399</v>
      </c>
      <c r="Q325" s="15">
        <f t="shared" si="81"/>
        <v>41</v>
      </c>
      <c r="R325" s="48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33"/>
      <c r="B326" s="73" t="s">
        <v>611</v>
      </c>
      <c r="C326" s="73">
        <v>2</v>
      </c>
      <c r="D326" s="73">
        <f>INDEX(神器!$M$4:$M$7,世界BOSS专属武器!C326)</f>
        <v>120</v>
      </c>
      <c r="E326" s="73">
        <f t="shared" si="94"/>
        <v>9.1287092917527679E-2</v>
      </c>
      <c r="F326" s="73">
        <f t="shared" si="95"/>
        <v>253</v>
      </c>
      <c r="G326" s="73">
        <v>1</v>
      </c>
      <c r="H326" s="73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8" t="s">
        <v>399</v>
      </c>
      <c r="Q326" s="15">
        <f t="shared" si="81"/>
        <v>42</v>
      </c>
      <c r="R326" s="48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33"/>
      <c r="B327" s="73" t="s">
        <v>612</v>
      </c>
      <c r="C327" s="73">
        <v>1</v>
      </c>
      <c r="D327" s="73">
        <f>INDEX(神器!$M$4:$M$7,世界BOSS专属武器!C327)</f>
        <v>40</v>
      </c>
      <c r="E327" s="73">
        <f t="shared" si="94"/>
        <v>0.15811388300841897</v>
      </c>
      <c r="F327" s="73">
        <f t="shared" si="95"/>
        <v>439</v>
      </c>
      <c r="G327" s="73">
        <v>1</v>
      </c>
      <c r="H327" s="73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8" t="s">
        <v>399</v>
      </c>
      <c r="Q327" s="15">
        <f t="shared" si="81"/>
        <v>43</v>
      </c>
      <c r="R327" s="48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33"/>
      <c r="B328" s="73" t="s">
        <v>613</v>
      </c>
      <c r="C328" s="73">
        <v>1</v>
      </c>
      <c r="D328" s="73">
        <f>INDEX(神器!$M$4:$M$7,世界BOSS专属武器!C328)</f>
        <v>40</v>
      </c>
      <c r="E328" s="73">
        <f t="shared" si="94"/>
        <v>0.15811388300841897</v>
      </c>
      <c r="F328" s="73">
        <f t="shared" si="95"/>
        <v>439</v>
      </c>
      <c r="G328" s="73">
        <v>1</v>
      </c>
      <c r="H328" s="73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8" t="s">
        <v>399</v>
      </c>
      <c r="Q328" s="15">
        <f t="shared" si="81"/>
        <v>44</v>
      </c>
      <c r="R328" s="48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33"/>
      <c r="B329" s="73" t="s">
        <v>614</v>
      </c>
      <c r="C329" s="73">
        <v>1</v>
      </c>
      <c r="D329" s="73">
        <f>INDEX(神器!$M$4:$M$7,世界BOSS专属武器!C329)</f>
        <v>40</v>
      </c>
      <c r="E329" s="73">
        <f t="shared" si="94"/>
        <v>0.15811388300841897</v>
      </c>
      <c r="F329" s="73">
        <f t="shared" si="95"/>
        <v>439</v>
      </c>
      <c r="G329" s="73">
        <v>1</v>
      </c>
      <c r="H329" s="73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8" t="s">
        <v>399</v>
      </c>
      <c r="Q329" s="15">
        <f t="shared" si="81"/>
        <v>45</v>
      </c>
      <c r="R329" s="48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33"/>
      <c r="B330" s="73" t="s">
        <v>615</v>
      </c>
      <c r="C330" s="73">
        <v>2</v>
      </c>
      <c r="D330" s="73">
        <f>INDEX(神器!$M$4:$M$7,世界BOSS专属武器!C330)</f>
        <v>120</v>
      </c>
      <c r="E330" s="73">
        <f t="shared" si="94"/>
        <v>9.1287092917527679E-2</v>
      </c>
      <c r="F330" s="73">
        <f t="shared" si="95"/>
        <v>253</v>
      </c>
      <c r="G330" s="73">
        <v>1</v>
      </c>
      <c r="H330" s="73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8" t="s">
        <v>399</v>
      </c>
      <c r="Q330" s="15">
        <f t="shared" si="81"/>
        <v>46</v>
      </c>
      <c r="R330" s="48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33"/>
      <c r="B331" s="73" t="s">
        <v>616</v>
      </c>
      <c r="C331" s="73">
        <v>3</v>
      </c>
      <c r="D331" s="73">
        <f>INDEX(神器!$M$4:$M$7,世界BOSS专属武器!C331)</f>
        <v>280</v>
      </c>
      <c r="E331" s="73">
        <f t="shared" si="94"/>
        <v>5.9761430466719681E-2</v>
      </c>
      <c r="F331" s="73">
        <f t="shared" si="95"/>
        <v>166</v>
      </c>
      <c r="G331" s="73">
        <v>1</v>
      </c>
      <c r="H331" s="73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8" t="s">
        <v>399</v>
      </c>
      <c r="Q331" s="15">
        <f t="shared" si="81"/>
        <v>47</v>
      </c>
      <c r="R331" s="48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33"/>
      <c r="B332" s="73" t="s">
        <v>617</v>
      </c>
      <c r="C332" s="73">
        <v>1</v>
      </c>
      <c r="D332" s="73">
        <f>INDEX(神器!$M$4:$M$7,世界BOSS专属武器!C332)</f>
        <v>40</v>
      </c>
      <c r="E332" s="73">
        <f t="shared" si="94"/>
        <v>0.15811388300841897</v>
      </c>
      <c r="F332" s="73">
        <f t="shared" si="95"/>
        <v>439</v>
      </c>
      <c r="G332" s="73">
        <v>1</v>
      </c>
      <c r="H332" s="73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8" t="s">
        <v>399</v>
      </c>
      <c r="Q332" s="15">
        <f t="shared" si="81"/>
        <v>48</v>
      </c>
      <c r="R332" s="48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33"/>
      <c r="B333" s="73" t="s">
        <v>618</v>
      </c>
      <c r="C333" s="73">
        <v>2</v>
      </c>
      <c r="D333" s="73">
        <f>INDEX(神器!$M$4:$M$7,世界BOSS专属武器!C333)</f>
        <v>120</v>
      </c>
      <c r="E333" s="73">
        <f t="shared" si="94"/>
        <v>9.1287092917527679E-2</v>
      </c>
      <c r="F333" s="73">
        <f t="shared" si="95"/>
        <v>253</v>
      </c>
      <c r="G333" s="73">
        <v>1</v>
      </c>
      <c r="H333" s="73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8" t="s">
        <v>399</v>
      </c>
      <c r="Q333" s="15">
        <f t="shared" si="81"/>
        <v>49</v>
      </c>
      <c r="R333" s="48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33"/>
      <c r="B334" s="73" t="s">
        <v>619</v>
      </c>
      <c r="C334" s="73">
        <v>2</v>
      </c>
      <c r="D334" s="73">
        <f>INDEX(神器!$M$4:$M$7,世界BOSS专属武器!C334)</f>
        <v>120</v>
      </c>
      <c r="E334" s="73">
        <f t="shared" si="94"/>
        <v>9.1287092917527679E-2</v>
      </c>
      <c r="F334" s="73">
        <f t="shared" si="95"/>
        <v>253</v>
      </c>
      <c r="G334" s="73">
        <v>1</v>
      </c>
      <c r="H334" s="73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8" t="s">
        <v>399</v>
      </c>
      <c r="Q334" s="15">
        <f t="shared" si="81"/>
        <v>50</v>
      </c>
      <c r="R334" s="48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33"/>
      <c r="B335" s="73" t="s">
        <v>620</v>
      </c>
      <c r="C335" s="73">
        <v>3</v>
      </c>
      <c r="D335" s="73">
        <f>INDEX(神器!$M$4:$M$7,世界BOSS专属武器!C335)</f>
        <v>280</v>
      </c>
      <c r="E335" s="73">
        <f t="shared" si="94"/>
        <v>5.9761430466719681E-2</v>
      </c>
      <c r="F335" s="73">
        <f t="shared" si="95"/>
        <v>166</v>
      </c>
      <c r="G335" s="73">
        <v>1</v>
      </c>
      <c r="H335" s="73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8" t="s">
        <v>399</v>
      </c>
      <c r="Q335" s="15">
        <f t="shared" si="81"/>
        <v>0</v>
      </c>
      <c r="R335" s="48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33"/>
      <c r="B336" s="73" t="s">
        <v>621</v>
      </c>
      <c r="C336" s="73">
        <v>3</v>
      </c>
      <c r="D336" s="73">
        <f>INDEX(神器!$M$4:$M$7,世界BOSS专属武器!C336)</f>
        <v>280</v>
      </c>
      <c r="E336" s="73">
        <f t="shared" si="94"/>
        <v>5.9761430466719681E-2</v>
      </c>
      <c r="F336" s="73">
        <f t="shared" si="95"/>
        <v>166</v>
      </c>
      <c r="G336" s="73">
        <v>1</v>
      </c>
      <c r="H336" s="73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8" t="s">
        <v>399</v>
      </c>
      <c r="Q336" s="15">
        <f t="shared" si="81"/>
        <v>1</v>
      </c>
      <c r="R336" s="48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33"/>
      <c r="B337" s="73" t="s">
        <v>622</v>
      </c>
      <c r="C337" s="73">
        <v>4</v>
      </c>
      <c r="D337" s="73">
        <f>INDEX(神器!$M$4:$M$7,世界BOSS专属武器!C337)</f>
        <v>600</v>
      </c>
      <c r="E337" s="73">
        <f t="shared" si="94"/>
        <v>4.0824829046386304E-2</v>
      </c>
      <c r="F337" s="73">
        <f t="shared" si="95"/>
        <v>113</v>
      </c>
      <c r="G337" s="73">
        <v>1</v>
      </c>
      <c r="H337" s="73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8" t="s">
        <v>399</v>
      </c>
      <c r="Q337" s="15">
        <f t="shared" ref="Q337:Q400" si="97">MOD(M337-1,51)</f>
        <v>2</v>
      </c>
      <c r="R337" s="48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33"/>
      <c r="B338" s="73" t="s">
        <v>623</v>
      </c>
      <c r="C338" s="73">
        <v>1</v>
      </c>
      <c r="D338" s="73">
        <f>INDEX(神器!$M$4:$M$7,世界BOSS专属武器!C338)</f>
        <v>40</v>
      </c>
      <c r="E338" s="73">
        <f t="shared" si="94"/>
        <v>0.15811388300841897</v>
      </c>
      <c r="F338" s="73">
        <f t="shared" si="95"/>
        <v>439</v>
      </c>
      <c r="G338" s="73">
        <v>1</v>
      </c>
      <c r="H338" s="73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8" t="s">
        <v>399</v>
      </c>
      <c r="Q338" s="15">
        <f t="shared" si="97"/>
        <v>3</v>
      </c>
      <c r="R338" s="48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33"/>
      <c r="B339" s="73" t="s">
        <v>624</v>
      </c>
      <c r="C339" s="73">
        <v>2</v>
      </c>
      <c r="D339" s="73">
        <f>INDEX(神器!$M$4:$M$7,世界BOSS专属武器!C339)</f>
        <v>120</v>
      </c>
      <c r="E339" s="73">
        <f t="shared" si="94"/>
        <v>9.1287092917527679E-2</v>
      </c>
      <c r="F339" s="73">
        <f t="shared" si="95"/>
        <v>253</v>
      </c>
      <c r="G339" s="73">
        <v>1</v>
      </c>
      <c r="H339" s="73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8" t="s">
        <v>399</v>
      </c>
      <c r="Q339" s="15">
        <f t="shared" si="97"/>
        <v>4</v>
      </c>
      <c r="R339" s="48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33"/>
      <c r="B340" s="73" t="s">
        <v>625</v>
      </c>
      <c r="C340" s="73">
        <v>2</v>
      </c>
      <c r="D340" s="73">
        <f>INDEX(神器!$M$4:$M$7,世界BOSS专属武器!C340)</f>
        <v>120</v>
      </c>
      <c r="E340" s="73">
        <f t="shared" si="94"/>
        <v>9.1287092917527679E-2</v>
      </c>
      <c r="F340" s="73">
        <f t="shared" si="95"/>
        <v>253</v>
      </c>
      <c r="G340" s="73">
        <v>1</v>
      </c>
      <c r="H340" s="73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8" t="s">
        <v>399</v>
      </c>
      <c r="Q340" s="15">
        <f t="shared" si="97"/>
        <v>5</v>
      </c>
      <c r="R340" s="48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33"/>
      <c r="B341" s="73" t="s">
        <v>626</v>
      </c>
      <c r="C341" s="73">
        <v>3</v>
      </c>
      <c r="D341" s="73">
        <f>INDEX(神器!$M$4:$M$7,世界BOSS专属武器!C341)</f>
        <v>280</v>
      </c>
      <c r="E341" s="73">
        <f t="shared" si="94"/>
        <v>5.9761430466719681E-2</v>
      </c>
      <c r="F341" s="73">
        <f t="shared" si="95"/>
        <v>166</v>
      </c>
      <c r="G341" s="73">
        <v>1</v>
      </c>
      <c r="H341" s="73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8" t="s">
        <v>399</v>
      </c>
      <c r="Q341" s="15">
        <f t="shared" si="97"/>
        <v>6</v>
      </c>
      <c r="R341" s="48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33"/>
      <c r="B342" s="73" t="s">
        <v>627</v>
      </c>
      <c r="C342" s="73">
        <v>3</v>
      </c>
      <c r="D342" s="73">
        <f>INDEX(神器!$M$4:$M$7,世界BOSS专属武器!C342)</f>
        <v>280</v>
      </c>
      <c r="E342" s="73">
        <f t="shared" si="94"/>
        <v>5.9761430466719681E-2</v>
      </c>
      <c r="F342" s="73">
        <f t="shared" si="95"/>
        <v>166</v>
      </c>
      <c r="G342" s="73">
        <v>1</v>
      </c>
      <c r="H342" s="73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8" t="s">
        <v>399</v>
      </c>
      <c r="Q342" s="15">
        <f t="shared" si="97"/>
        <v>7</v>
      </c>
      <c r="R342" s="48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33"/>
      <c r="B343" s="73" t="s">
        <v>628</v>
      </c>
      <c r="C343" s="73">
        <v>4</v>
      </c>
      <c r="D343" s="73">
        <f>INDEX(神器!$M$4:$M$7,世界BOSS专属武器!C343)</f>
        <v>600</v>
      </c>
      <c r="E343" s="73">
        <f t="shared" si="94"/>
        <v>4.0824829046386304E-2</v>
      </c>
      <c r="F343" s="73">
        <f t="shared" si="95"/>
        <v>113</v>
      </c>
      <c r="G343" s="73">
        <v>1</v>
      </c>
      <c r="H343" s="73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8" t="s">
        <v>399</v>
      </c>
      <c r="Q343" s="15">
        <f t="shared" si="97"/>
        <v>8</v>
      </c>
      <c r="R343" s="48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33"/>
      <c r="B344" s="73" t="s">
        <v>629</v>
      </c>
      <c r="C344" s="73">
        <v>1</v>
      </c>
      <c r="D344" s="73">
        <f>INDEX(神器!$M$4:$M$7,世界BOSS专属武器!C344)</f>
        <v>40</v>
      </c>
      <c r="E344" s="73">
        <f t="shared" si="94"/>
        <v>0.15811388300841897</v>
      </c>
      <c r="F344" s="73">
        <f t="shared" si="95"/>
        <v>439</v>
      </c>
      <c r="G344" s="73">
        <v>1</v>
      </c>
      <c r="H344" s="73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8" t="s">
        <v>399</v>
      </c>
      <c r="Q344" s="15">
        <f t="shared" si="97"/>
        <v>9</v>
      </c>
      <c r="R344" s="48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33"/>
      <c r="B345" s="73" t="s">
        <v>630</v>
      </c>
      <c r="C345" s="73">
        <v>2</v>
      </c>
      <c r="D345" s="73">
        <f>INDEX(神器!$M$4:$M$7,世界BOSS专属武器!C345)</f>
        <v>120</v>
      </c>
      <c r="E345" s="73">
        <f t="shared" si="94"/>
        <v>9.1287092917527679E-2</v>
      </c>
      <c r="F345" s="73">
        <f t="shared" si="95"/>
        <v>253</v>
      </c>
      <c r="G345" s="73">
        <v>1</v>
      </c>
      <c r="H345" s="73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8" t="s">
        <v>399</v>
      </c>
      <c r="Q345" s="15">
        <f t="shared" si="97"/>
        <v>10</v>
      </c>
      <c r="R345" s="48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33"/>
      <c r="B346" s="73" t="s">
        <v>631</v>
      </c>
      <c r="C346" s="73">
        <v>2</v>
      </c>
      <c r="D346" s="73">
        <f>INDEX(神器!$M$4:$M$7,世界BOSS专属武器!C346)</f>
        <v>120</v>
      </c>
      <c r="E346" s="73">
        <f t="shared" si="94"/>
        <v>9.1287092917527679E-2</v>
      </c>
      <c r="F346" s="73">
        <f t="shared" si="95"/>
        <v>253</v>
      </c>
      <c r="G346" s="73">
        <v>1</v>
      </c>
      <c r="H346" s="73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8" t="s">
        <v>399</v>
      </c>
      <c r="Q346" s="15">
        <f t="shared" si="97"/>
        <v>11</v>
      </c>
      <c r="R346" s="48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33"/>
      <c r="B347" s="73" t="s">
        <v>632</v>
      </c>
      <c r="C347" s="73">
        <v>3</v>
      </c>
      <c r="D347" s="73">
        <f>INDEX(神器!$M$4:$M$7,世界BOSS专属武器!C347)</f>
        <v>280</v>
      </c>
      <c r="E347" s="73">
        <f t="shared" si="94"/>
        <v>5.9761430466719681E-2</v>
      </c>
      <c r="F347" s="73">
        <f t="shared" si="95"/>
        <v>166</v>
      </c>
      <c r="G347" s="73">
        <v>1</v>
      </c>
      <c r="H347" s="73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8" t="s">
        <v>399</v>
      </c>
      <c r="Q347" s="15">
        <f t="shared" si="97"/>
        <v>12</v>
      </c>
      <c r="R347" s="48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33"/>
      <c r="B348" s="73" t="s">
        <v>633</v>
      </c>
      <c r="C348" s="73">
        <v>3</v>
      </c>
      <c r="D348" s="73">
        <f>INDEX(神器!$M$4:$M$7,世界BOSS专属武器!C348)</f>
        <v>280</v>
      </c>
      <c r="E348" s="73">
        <f t="shared" si="94"/>
        <v>5.9761430466719681E-2</v>
      </c>
      <c r="F348" s="73">
        <f t="shared" si="95"/>
        <v>166</v>
      </c>
      <c r="G348" s="73">
        <v>1</v>
      </c>
      <c r="H348" s="73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8" t="s">
        <v>399</v>
      </c>
      <c r="Q348" s="15">
        <f t="shared" si="97"/>
        <v>13</v>
      </c>
      <c r="R348" s="48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33"/>
      <c r="B349" s="73" t="s">
        <v>634</v>
      </c>
      <c r="C349" s="73">
        <v>4</v>
      </c>
      <c r="D349" s="73">
        <f>INDEX(神器!$M$4:$M$7,世界BOSS专属武器!C349)</f>
        <v>600</v>
      </c>
      <c r="E349" s="73">
        <f t="shared" si="94"/>
        <v>4.0824829046386304E-2</v>
      </c>
      <c r="F349" s="73">
        <f t="shared" si="95"/>
        <v>113</v>
      </c>
      <c r="G349" s="73">
        <v>1</v>
      </c>
      <c r="H349" s="73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8" t="s">
        <v>399</v>
      </c>
      <c r="Q349" s="15">
        <f t="shared" si="97"/>
        <v>14</v>
      </c>
      <c r="R349" s="48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33"/>
      <c r="B350" s="73" t="s">
        <v>635</v>
      </c>
      <c r="C350" s="73">
        <v>2</v>
      </c>
      <c r="D350" s="73">
        <f>INDEX(神器!$M$4:$M$7,世界BOSS专属武器!C350)</f>
        <v>120</v>
      </c>
      <c r="E350" s="73">
        <f t="shared" si="94"/>
        <v>9.1287092917527679E-2</v>
      </c>
      <c r="F350" s="73">
        <f t="shared" si="95"/>
        <v>253</v>
      </c>
      <c r="G350" s="73">
        <v>1</v>
      </c>
      <c r="H350" s="73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8" t="s">
        <v>399</v>
      </c>
      <c r="Q350" s="15">
        <f t="shared" si="97"/>
        <v>15</v>
      </c>
      <c r="R350" s="48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33"/>
      <c r="B351" s="73" t="s">
        <v>636</v>
      </c>
      <c r="C351" s="73">
        <v>2</v>
      </c>
      <c r="D351" s="73">
        <f>INDEX(神器!$M$4:$M$7,世界BOSS专属武器!C351)</f>
        <v>120</v>
      </c>
      <c r="E351" s="73">
        <f t="shared" si="94"/>
        <v>9.1287092917527679E-2</v>
      </c>
      <c r="F351" s="73">
        <f t="shared" si="95"/>
        <v>253</v>
      </c>
      <c r="G351" s="73">
        <v>1</v>
      </c>
      <c r="H351" s="73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8" t="s">
        <v>399</v>
      </c>
      <c r="Q351" s="15">
        <f t="shared" si="97"/>
        <v>16</v>
      </c>
      <c r="R351" s="48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33"/>
      <c r="B352" s="73" t="s">
        <v>637</v>
      </c>
      <c r="C352" s="73">
        <v>2</v>
      </c>
      <c r="D352" s="73">
        <f>INDEX(神器!$M$4:$M$7,世界BOSS专属武器!C352)</f>
        <v>120</v>
      </c>
      <c r="E352" s="73">
        <f t="shared" si="94"/>
        <v>9.1287092917527679E-2</v>
      </c>
      <c r="F352" s="73">
        <f t="shared" si="95"/>
        <v>253</v>
      </c>
      <c r="G352" s="73">
        <v>1</v>
      </c>
      <c r="H352" s="73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8" t="s">
        <v>399</v>
      </c>
      <c r="Q352" s="15">
        <f t="shared" si="97"/>
        <v>17</v>
      </c>
      <c r="R352" s="48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33"/>
      <c r="B353" s="73" t="s">
        <v>638</v>
      </c>
      <c r="C353" s="73">
        <v>3</v>
      </c>
      <c r="D353" s="73">
        <f>INDEX(神器!$M$4:$M$7,世界BOSS专属武器!C353)</f>
        <v>280</v>
      </c>
      <c r="E353" s="73">
        <f t="shared" si="94"/>
        <v>5.9761430466719681E-2</v>
      </c>
      <c r="F353" s="73">
        <f t="shared" si="95"/>
        <v>166</v>
      </c>
      <c r="G353" s="73">
        <v>1</v>
      </c>
      <c r="H353" s="73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8" t="s">
        <v>399</v>
      </c>
      <c r="Q353" s="15">
        <f t="shared" si="97"/>
        <v>18</v>
      </c>
      <c r="R353" s="48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33"/>
      <c r="B354" s="73" t="s">
        <v>639</v>
      </c>
      <c r="C354" s="73">
        <v>3</v>
      </c>
      <c r="D354" s="73">
        <f>INDEX(神器!$M$4:$M$7,世界BOSS专属武器!C354)</f>
        <v>280</v>
      </c>
      <c r="E354" s="73">
        <f t="shared" si="94"/>
        <v>5.9761430466719681E-2</v>
      </c>
      <c r="F354" s="73">
        <f t="shared" si="95"/>
        <v>166</v>
      </c>
      <c r="G354" s="73">
        <v>1</v>
      </c>
      <c r="H354" s="73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8" t="s">
        <v>399</v>
      </c>
      <c r="Q354" s="15">
        <f t="shared" si="97"/>
        <v>19</v>
      </c>
      <c r="R354" s="48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33"/>
      <c r="B355" s="73" t="s">
        <v>640</v>
      </c>
      <c r="C355" s="73">
        <v>3</v>
      </c>
      <c r="D355" s="73">
        <f>INDEX(神器!$M$4:$M$7,世界BOSS专属武器!C355)</f>
        <v>280</v>
      </c>
      <c r="E355" s="73">
        <f t="shared" si="94"/>
        <v>5.9761430466719681E-2</v>
      </c>
      <c r="F355" s="73">
        <f t="shared" si="95"/>
        <v>166</v>
      </c>
      <c r="G355" s="73">
        <v>1</v>
      </c>
      <c r="H355" s="73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8" t="s">
        <v>399</v>
      </c>
      <c r="Q355" s="15">
        <f t="shared" si="97"/>
        <v>20</v>
      </c>
      <c r="R355" s="48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33"/>
      <c r="B356" s="73" t="s">
        <v>641</v>
      </c>
      <c r="C356" s="73">
        <v>4</v>
      </c>
      <c r="D356" s="73">
        <f>INDEX(神器!$M$4:$M$7,世界BOSS专属武器!C356)</f>
        <v>600</v>
      </c>
      <c r="E356" s="73">
        <f t="shared" si="94"/>
        <v>4.0824829046386304E-2</v>
      </c>
      <c r="F356" s="73">
        <f t="shared" si="95"/>
        <v>113</v>
      </c>
      <c r="G356" s="73">
        <v>1</v>
      </c>
      <c r="H356" s="73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8" t="s">
        <v>399</v>
      </c>
      <c r="Q356" s="15">
        <f t="shared" si="97"/>
        <v>21</v>
      </c>
      <c r="R356" s="48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33"/>
      <c r="B357" s="73" t="s">
        <v>642</v>
      </c>
      <c r="C357" s="73">
        <v>4</v>
      </c>
      <c r="D357" s="73">
        <f>INDEX(神器!$M$4:$M$7,世界BOSS专属武器!C357)</f>
        <v>600</v>
      </c>
      <c r="E357" s="73">
        <f t="shared" si="94"/>
        <v>4.0824829046386304E-2</v>
      </c>
      <c r="F357" s="73">
        <f t="shared" si="95"/>
        <v>113</v>
      </c>
      <c r="G357" s="73">
        <v>1</v>
      </c>
      <c r="H357" s="73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8" t="s">
        <v>399</v>
      </c>
      <c r="Q357" s="15">
        <f t="shared" si="97"/>
        <v>22</v>
      </c>
      <c r="R357" s="48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33"/>
      <c r="B358" s="73" t="s">
        <v>643</v>
      </c>
      <c r="C358" s="73">
        <v>2</v>
      </c>
      <c r="D358" s="73">
        <f>INDEX(神器!$M$4:$M$7,世界BOSS专属武器!C358)</f>
        <v>120</v>
      </c>
      <c r="E358" s="73">
        <f t="shared" si="94"/>
        <v>9.1287092917527679E-2</v>
      </c>
      <c r="F358" s="73">
        <f t="shared" si="95"/>
        <v>253</v>
      </c>
      <c r="G358" s="73">
        <v>1</v>
      </c>
      <c r="H358" s="73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8" t="s">
        <v>399</v>
      </c>
      <c r="Q358" s="15">
        <f t="shared" si="97"/>
        <v>23</v>
      </c>
      <c r="R358" s="48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33"/>
      <c r="B359" s="73" t="s">
        <v>644</v>
      </c>
      <c r="C359" s="73">
        <v>2</v>
      </c>
      <c r="D359" s="73">
        <f>INDEX(神器!$M$4:$M$7,世界BOSS专属武器!C359)</f>
        <v>120</v>
      </c>
      <c r="E359" s="73">
        <f t="shared" si="94"/>
        <v>9.1287092917527679E-2</v>
      </c>
      <c r="F359" s="73">
        <f t="shared" si="95"/>
        <v>253</v>
      </c>
      <c r="G359" s="73">
        <v>1</v>
      </c>
      <c r="H359" s="73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8" t="s">
        <v>399</v>
      </c>
      <c r="Q359" s="15">
        <f t="shared" si="97"/>
        <v>24</v>
      </c>
      <c r="R359" s="48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33"/>
      <c r="B360" s="73" t="s">
        <v>645</v>
      </c>
      <c r="C360" s="73">
        <v>2</v>
      </c>
      <c r="D360" s="73">
        <f>INDEX(神器!$M$4:$M$7,世界BOSS专属武器!C360)</f>
        <v>120</v>
      </c>
      <c r="E360" s="73">
        <f t="shared" si="94"/>
        <v>9.1287092917527679E-2</v>
      </c>
      <c r="F360" s="73">
        <f t="shared" si="95"/>
        <v>253</v>
      </c>
      <c r="G360" s="73">
        <v>1</v>
      </c>
      <c r="H360" s="73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8" t="s">
        <v>399</v>
      </c>
      <c r="Q360" s="15">
        <f t="shared" si="97"/>
        <v>25</v>
      </c>
      <c r="R360" s="48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33"/>
      <c r="B361" s="73" t="s">
        <v>646</v>
      </c>
      <c r="C361" s="73">
        <v>3</v>
      </c>
      <c r="D361" s="73">
        <f>INDEX(神器!$M$4:$M$7,世界BOSS专属武器!C361)</f>
        <v>280</v>
      </c>
      <c r="E361" s="73">
        <f t="shared" si="94"/>
        <v>5.9761430466719681E-2</v>
      </c>
      <c r="F361" s="73">
        <f t="shared" si="95"/>
        <v>166</v>
      </c>
      <c r="G361" s="73">
        <v>1</v>
      </c>
      <c r="H361" s="73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8" t="s">
        <v>399</v>
      </c>
      <c r="Q361" s="15">
        <f t="shared" si="97"/>
        <v>26</v>
      </c>
      <c r="R361" s="48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33"/>
      <c r="B362" s="73" t="s">
        <v>647</v>
      </c>
      <c r="C362" s="73">
        <v>3</v>
      </c>
      <c r="D362" s="73">
        <f>INDEX(神器!$M$4:$M$7,世界BOSS专属武器!C362)</f>
        <v>280</v>
      </c>
      <c r="E362" s="73">
        <f t="shared" si="94"/>
        <v>5.9761430466719681E-2</v>
      </c>
      <c r="F362" s="73">
        <f t="shared" si="95"/>
        <v>166</v>
      </c>
      <c r="G362" s="73">
        <v>1</v>
      </c>
      <c r="H362" s="73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8" t="s">
        <v>399</v>
      </c>
      <c r="Q362" s="15">
        <f t="shared" si="97"/>
        <v>27</v>
      </c>
      <c r="R362" s="48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33"/>
      <c r="B363" s="73" t="s">
        <v>648</v>
      </c>
      <c r="C363" s="73">
        <v>3</v>
      </c>
      <c r="D363" s="73">
        <f>INDEX(神器!$M$4:$M$7,世界BOSS专属武器!C363)</f>
        <v>280</v>
      </c>
      <c r="E363" s="73">
        <f t="shared" si="94"/>
        <v>5.9761430466719681E-2</v>
      </c>
      <c r="F363" s="73">
        <f t="shared" si="95"/>
        <v>166</v>
      </c>
      <c r="G363" s="73">
        <v>1</v>
      </c>
      <c r="H363" s="73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8" t="s">
        <v>399</v>
      </c>
      <c r="Q363" s="15">
        <f t="shared" si="97"/>
        <v>28</v>
      </c>
      <c r="R363" s="48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33"/>
      <c r="B364" s="73" t="s">
        <v>649</v>
      </c>
      <c r="C364" s="73">
        <v>4</v>
      </c>
      <c r="D364" s="73">
        <f>INDEX(神器!$M$4:$M$7,世界BOSS专属武器!C364)</f>
        <v>600</v>
      </c>
      <c r="E364" s="73">
        <f t="shared" si="94"/>
        <v>4.0824829046386304E-2</v>
      </c>
      <c r="F364" s="73">
        <f t="shared" si="95"/>
        <v>113</v>
      </c>
      <c r="G364" s="73">
        <v>1</v>
      </c>
      <c r="H364" s="73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8" t="s">
        <v>399</v>
      </c>
      <c r="Q364" s="15">
        <f t="shared" si="97"/>
        <v>29</v>
      </c>
      <c r="R364" s="48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33"/>
      <c r="B365" s="73" t="s">
        <v>650</v>
      </c>
      <c r="C365" s="73">
        <v>4</v>
      </c>
      <c r="D365" s="73">
        <f>INDEX(神器!$M$4:$M$7,世界BOSS专属武器!C365)</f>
        <v>600</v>
      </c>
      <c r="E365" s="73">
        <f t="shared" si="94"/>
        <v>4.0824829046386304E-2</v>
      </c>
      <c r="F365" s="73">
        <f>10000-SUM(F324:F364)</f>
        <v>110</v>
      </c>
      <c r="G365" s="73">
        <v>1</v>
      </c>
      <c r="H365" s="73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8" t="s">
        <v>399</v>
      </c>
      <c r="Q365" s="15">
        <f t="shared" si="97"/>
        <v>30</v>
      </c>
      <c r="R365" s="48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8" t="s">
        <v>399</v>
      </c>
      <c r="Q366" s="15">
        <f t="shared" si="97"/>
        <v>31</v>
      </c>
      <c r="R366" s="48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8" t="s">
        <v>399</v>
      </c>
      <c r="Q367" s="15">
        <f t="shared" si="97"/>
        <v>32</v>
      </c>
      <c r="R367" s="48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8" t="s">
        <v>399</v>
      </c>
      <c r="Q368" s="15">
        <f t="shared" si="97"/>
        <v>33</v>
      </c>
      <c r="R368" s="48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8" t="s">
        <v>399</v>
      </c>
      <c r="Q369" s="15">
        <f t="shared" si="97"/>
        <v>34</v>
      </c>
      <c r="R369" s="48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8" t="s">
        <v>399</v>
      </c>
      <c r="Q370" s="15">
        <f t="shared" si="97"/>
        <v>35</v>
      </c>
      <c r="R370" s="48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8" t="s">
        <v>399</v>
      </c>
      <c r="Q371" s="15">
        <f t="shared" si="97"/>
        <v>36</v>
      </c>
      <c r="R371" s="48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8" t="s">
        <v>399</v>
      </c>
      <c r="Q372" s="15">
        <f t="shared" si="97"/>
        <v>37</v>
      </c>
      <c r="R372" s="48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8" t="s">
        <v>399</v>
      </c>
      <c r="Q373" s="15">
        <f t="shared" si="97"/>
        <v>38</v>
      </c>
      <c r="R373" s="48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8" t="s">
        <v>399</v>
      </c>
      <c r="Q374" s="15">
        <f t="shared" si="97"/>
        <v>39</v>
      </c>
      <c r="R374" s="48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8" t="s">
        <v>399</v>
      </c>
      <c r="Q375" s="15">
        <f t="shared" si="97"/>
        <v>40</v>
      </c>
      <c r="R375" s="48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8" t="s">
        <v>399</v>
      </c>
      <c r="Q376" s="15">
        <f t="shared" si="97"/>
        <v>41</v>
      </c>
      <c r="R376" s="48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8" t="s">
        <v>399</v>
      </c>
      <c r="Q377" s="15">
        <f t="shared" si="97"/>
        <v>42</v>
      </c>
      <c r="R377" s="48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8" t="s">
        <v>399</v>
      </c>
      <c r="Q378" s="15">
        <f t="shared" si="97"/>
        <v>43</v>
      </c>
      <c r="R378" s="48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8" t="s">
        <v>399</v>
      </c>
      <c r="Q379" s="15">
        <f t="shared" si="97"/>
        <v>44</v>
      </c>
      <c r="R379" s="48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8" t="s">
        <v>399</v>
      </c>
      <c r="Q380" s="15">
        <f t="shared" si="97"/>
        <v>45</v>
      </c>
      <c r="R380" s="48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8" t="s">
        <v>399</v>
      </c>
      <c r="Q381" s="15">
        <f t="shared" si="97"/>
        <v>46</v>
      </c>
      <c r="R381" s="48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8" t="s">
        <v>399</v>
      </c>
      <c r="Q382" s="15">
        <f t="shared" si="97"/>
        <v>47</v>
      </c>
      <c r="R382" s="48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8" t="s">
        <v>399</v>
      </c>
      <c r="Q383" s="15">
        <f t="shared" si="97"/>
        <v>48</v>
      </c>
      <c r="R383" s="48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8" t="s">
        <v>399</v>
      </c>
      <c r="Q384" s="15">
        <f t="shared" si="97"/>
        <v>49</v>
      </c>
      <c r="R384" s="48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8" t="s">
        <v>399</v>
      </c>
      <c r="Q385" s="15">
        <f t="shared" si="97"/>
        <v>50</v>
      </c>
      <c r="R385" s="48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8" t="s">
        <v>399</v>
      </c>
      <c r="Q386" s="15">
        <f t="shared" si="97"/>
        <v>0</v>
      </c>
      <c r="R386" s="48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8" t="s">
        <v>399</v>
      </c>
      <c r="Q387" s="15">
        <f t="shared" si="97"/>
        <v>1</v>
      </c>
      <c r="R387" s="48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8" t="s">
        <v>399</v>
      </c>
      <c r="Q388" s="15">
        <f t="shared" si="97"/>
        <v>2</v>
      </c>
      <c r="R388" s="48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8" t="s">
        <v>399</v>
      </c>
      <c r="Q389" s="15">
        <f t="shared" si="97"/>
        <v>3</v>
      </c>
      <c r="R389" s="48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8" t="s">
        <v>399</v>
      </c>
      <c r="Q390" s="15">
        <f t="shared" si="97"/>
        <v>4</v>
      </c>
      <c r="R390" s="48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8" t="s">
        <v>399</v>
      </c>
      <c r="Q391" s="15">
        <f t="shared" si="97"/>
        <v>5</v>
      </c>
      <c r="R391" s="48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8" t="s">
        <v>399</v>
      </c>
      <c r="Q392" s="15">
        <f t="shared" si="97"/>
        <v>6</v>
      </c>
      <c r="R392" s="48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8" t="s">
        <v>399</v>
      </c>
      <c r="Q393" s="15">
        <f t="shared" si="97"/>
        <v>7</v>
      </c>
      <c r="R393" s="48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8" t="s">
        <v>399</v>
      </c>
      <c r="Q394" s="15">
        <f t="shared" si="97"/>
        <v>8</v>
      </c>
      <c r="R394" s="48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8" t="s">
        <v>399</v>
      </c>
      <c r="Q395" s="15">
        <f t="shared" si="97"/>
        <v>9</v>
      </c>
      <c r="R395" s="48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8" t="s">
        <v>399</v>
      </c>
      <c r="Q396" s="15">
        <f t="shared" si="97"/>
        <v>10</v>
      </c>
      <c r="R396" s="48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8" t="s">
        <v>399</v>
      </c>
      <c r="Q397" s="15">
        <f t="shared" si="97"/>
        <v>11</v>
      </c>
      <c r="R397" s="48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8" t="s">
        <v>399</v>
      </c>
      <c r="Q398" s="15">
        <f t="shared" si="97"/>
        <v>12</v>
      </c>
      <c r="R398" s="48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8" t="s">
        <v>399</v>
      </c>
      <c r="Q399" s="15">
        <f t="shared" si="97"/>
        <v>13</v>
      </c>
      <c r="R399" s="48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8" t="s">
        <v>399</v>
      </c>
      <c r="Q400" s="15">
        <f t="shared" si="97"/>
        <v>14</v>
      </c>
      <c r="R400" s="48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8" t="s">
        <v>399</v>
      </c>
      <c r="Q401" s="15">
        <f t="shared" ref="Q401:Q464" si="109">MOD(M401-1,51)</f>
        <v>15</v>
      </c>
      <c r="R401" s="48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8" t="s">
        <v>399</v>
      </c>
      <c r="Q402" s="15">
        <f t="shared" si="109"/>
        <v>16</v>
      </c>
      <c r="R402" s="48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8" t="s">
        <v>399</v>
      </c>
      <c r="Q403" s="15">
        <f t="shared" si="109"/>
        <v>17</v>
      </c>
      <c r="R403" s="48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8" t="s">
        <v>399</v>
      </c>
      <c r="Q404" s="15">
        <f t="shared" si="109"/>
        <v>18</v>
      </c>
      <c r="R404" s="48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8" t="s">
        <v>399</v>
      </c>
      <c r="Q405" s="15">
        <f t="shared" si="109"/>
        <v>19</v>
      </c>
      <c r="R405" s="48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8" t="s">
        <v>399</v>
      </c>
      <c r="Q406" s="15">
        <f t="shared" si="109"/>
        <v>20</v>
      </c>
      <c r="R406" s="48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8" t="s">
        <v>399</v>
      </c>
      <c r="Q407" s="15">
        <f t="shared" si="109"/>
        <v>21</v>
      </c>
      <c r="R407" s="48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8" t="s">
        <v>399</v>
      </c>
      <c r="Q408" s="15">
        <f t="shared" si="109"/>
        <v>22</v>
      </c>
      <c r="R408" s="48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8" t="s">
        <v>399</v>
      </c>
      <c r="Q409" s="15">
        <f t="shared" si="109"/>
        <v>23</v>
      </c>
      <c r="R409" s="48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8" t="s">
        <v>399</v>
      </c>
      <c r="Q410" s="15">
        <f t="shared" si="109"/>
        <v>24</v>
      </c>
      <c r="R410" s="48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8" t="s">
        <v>399</v>
      </c>
      <c r="Q411" s="15">
        <f t="shared" si="109"/>
        <v>25</v>
      </c>
      <c r="R411" s="48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8" t="s">
        <v>399</v>
      </c>
      <c r="Q412" s="15">
        <f t="shared" si="109"/>
        <v>26</v>
      </c>
      <c r="R412" s="48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8" t="s">
        <v>399</v>
      </c>
      <c r="Q413" s="15">
        <f t="shared" si="109"/>
        <v>27</v>
      </c>
      <c r="R413" s="48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8" t="s">
        <v>399</v>
      </c>
      <c r="Q414" s="15">
        <f t="shared" si="109"/>
        <v>28</v>
      </c>
      <c r="R414" s="48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8" t="s">
        <v>399</v>
      </c>
      <c r="Q415" s="15">
        <f t="shared" si="109"/>
        <v>29</v>
      </c>
      <c r="R415" s="48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8" t="s">
        <v>399</v>
      </c>
      <c r="Q416" s="15">
        <f t="shared" si="109"/>
        <v>30</v>
      </c>
      <c r="R416" s="48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8" t="s">
        <v>399</v>
      </c>
      <c r="Q417" s="15">
        <f t="shared" si="109"/>
        <v>31</v>
      </c>
      <c r="R417" s="48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8" t="s">
        <v>399</v>
      </c>
      <c r="Q418" s="15">
        <f t="shared" si="109"/>
        <v>32</v>
      </c>
      <c r="R418" s="48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8" t="s">
        <v>399</v>
      </c>
      <c r="Q419" s="15">
        <f t="shared" si="109"/>
        <v>33</v>
      </c>
      <c r="R419" s="48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8" t="s">
        <v>399</v>
      </c>
      <c r="Q420" s="15">
        <f t="shared" si="109"/>
        <v>34</v>
      </c>
      <c r="R420" s="48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8" t="s">
        <v>399</v>
      </c>
      <c r="Q421" s="15">
        <f t="shared" si="109"/>
        <v>35</v>
      </c>
      <c r="R421" s="48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8" t="s">
        <v>399</v>
      </c>
      <c r="Q422" s="15">
        <f t="shared" si="109"/>
        <v>36</v>
      </c>
      <c r="R422" s="48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8" t="s">
        <v>399</v>
      </c>
      <c r="Q423" s="15">
        <f t="shared" si="109"/>
        <v>37</v>
      </c>
      <c r="R423" s="48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8" t="s">
        <v>399</v>
      </c>
      <c r="Q424" s="15">
        <f t="shared" si="109"/>
        <v>38</v>
      </c>
      <c r="R424" s="48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8" t="s">
        <v>399</v>
      </c>
      <c r="Q425" s="15">
        <f t="shared" si="109"/>
        <v>39</v>
      </c>
      <c r="R425" s="48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8" t="s">
        <v>399</v>
      </c>
      <c r="Q426" s="15">
        <f t="shared" si="109"/>
        <v>40</v>
      </c>
      <c r="R426" s="48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8" t="s">
        <v>399</v>
      </c>
      <c r="Q427" s="15">
        <f t="shared" si="109"/>
        <v>41</v>
      </c>
      <c r="R427" s="48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8" t="s">
        <v>399</v>
      </c>
      <c r="Q428" s="15">
        <f t="shared" si="109"/>
        <v>42</v>
      </c>
      <c r="R428" s="48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8" t="s">
        <v>399</v>
      </c>
      <c r="Q429" s="15">
        <f t="shared" si="109"/>
        <v>43</v>
      </c>
      <c r="R429" s="48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8" t="s">
        <v>399</v>
      </c>
      <c r="Q430" s="15">
        <f t="shared" si="109"/>
        <v>44</v>
      </c>
      <c r="R430" s="48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8" t="s">
        <v>399</v>
      </c>
      <c r="Q431" s="15">
        <f t="shared" si="109"/>
        <v>45</v>
      </c>
      <c r="R431" s="48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8" t="s">
        <v>399</v>
      </c>
      <c r="Q432" s="15">
        <f t="shared" si="109"/>
        <v>46</v>
      </c>
      <c r="R432" s="48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8" t="s">
        <v>399</v>
      </c>
      <c r="Q433" s="15">
        <f t="shared" si="109"/>
        <v>47</v>
      </c>
      <c r="R433" s="48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8" t="s">
        <v>399</v>
      </c>
      <c r="Q434" s="15">
        <f t="shared" si="109"/>
        <v>48</v>
      </c>
      <c r="R434" s="48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8" t="s">
        <v>399</v>
      </c>
      <c r="Q435" s="15">
        <f t="shared" si="109"/>
        <v>49</v>
      </c>
      <c r="R435" s="48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8" t="s">
        <v>399</v>
      </c>
      <c r="Q436" s="15">
        <f t="shared" si="109"/>
        <v>50</v>
      </c>
      <c r="R436" s="48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8" t="s">
        <v>399</v>
      </c>
      <c r="Q437" s="15">
        <f t="shared" si="109"/>
        <v>0</v>
      </c>
      <c r="R437" s="48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8" t="s">
        <v>399</v>
      </c>
      <c r="Q438" s="15">
        <f t="shared" si="109"/>
        <v>1</v>
      </c>
      <c r="R438" s="48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8" t="s">
        <v>399</v>
      </c>
      <c r="Q439" s="15">
        <f t="shared" si="109"/>
        <v>2</v>
      </c>
      <c r="R439" s="48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8" t="s">
        <v>399</v>
      </c>
      <c r="Q440" s="15">
        <f t="shared" si="109"/>
        <v>3</v>
      </c>
      <c r="R440" s="48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8" t="s">
        <v>399</v>
      </c>
      <c r="Q441" s="15">
        <f t="shared" si="109"/>
        <v>4</v>
      </c>
      <c r="R441" s="48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8" t="s">
        <v>399</v>
      </c>
      <c r="Q442" s="15">
        <f t="shared" si="109"/>
        <v>5</v>
      </c>
      <c r="R442" s="48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8" t="s">
        <v>399</v>
      </c>
      <c r="Q443" s="15">
        <f t="shared" si="109"/>
        <v>6</v>
      </c>
      <c r="R443" s="48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8" t="s">
        <v>399</v>
      </c>
      <c r="Q444" s="15">
        <f t="shared" si="109"/>
        <v>7</v>
      </c>
      <c r="R444" s="48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8" t="s">
        <v>399</v>
      </c>
      <c r="Q445" s="15">
        <f t="shared" si="109"/>
        <v>8</v>
      </c>
      <c r="R445" s="48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8" t="s">
        <v>399</v>
      </c>
      <c r="Q446" s="15">
        <f t="shared" si="109"/>
        <v>9</v>
      </c>
      <c r="R446" s="48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8" t="s">
        <v>399</v>
      </c>
      <c r="Q447" s="15">
        <f t="shared" si="109"/>
        <v>10</v>
      </c>
      <c r="R447" s="48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8" t="s">
        <v>399</v>
      </c>
      <c r="Q448" s="15">
        <f t="shared" si="109"/>
        <v>11</v>
      </c>
      <c r="R448" s="48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8" t="s">
        <v>399</v>
      </c>
      <c r="Q449" s="15">
        <f t="shared" si="109"/>
        <v>12</v>
      </c>
      <c r="R449" s="48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8" t="s">
        <v>399</v>
      </c>
      <c r="Q450" s="15">
        <f t="shared" si="109"/>
        <v>13</v>
      </c>
      <c r="R450" s="48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8" t="s">
        <v>399</v>
      </c>
      <c r="Q451" s="15">
        <f t="shared" si="109"/>
        <v>14</v>
      </c>
      <c r="R451" s="48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8" t="s">
        <v>399</v>
      </c>
      <c r="Q452" s="15">
        <f t="shared" si="109"/>
        <v>15</v>
      </c>
      <c r="R452" s="48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8" t="s">
        <v>399</v>
      </c>
      <c r="Q453" s="15">
        <f t="shared" si="109"/>
        <v>16</v>
      </c>
      <c r="R453" s="48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8" t="s">
        <v>399</v>
      </c>
      <c r="Q454" s="15">
        <f t="shared" si="109"/>
        <v>17</v>
      </c>
      <c r="R454" s="48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8" t="s">
        <v>399</v>
      </c>
      <c r="Q455" s="15">
        <f t="shared" si="109"/>
        <v>18</v>
      </c>
      <c r="R455" s="48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8" t="s">
        <v>399</v>
      </c>
      <c r="Q456" s="15">
        <f t="shared" si="109"/>
        <v>19</v>
      </c>
      <c r="R456" s="48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8" t="s">
        <v>399</v>
      </c>
      <c r="Q457" s="15">
        <f t="shared" si="109"/>
        <v>20</v>
      </c>
      <c r="R457" s="48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8" t="s">
        <v>399</v>
      </c>
      <c r="Q458" s="15">
        <f t="shared" si="109"/>
        <v>21</v>
      </c>
      <c r="R458" s="48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8" t="s">
        <v>399</v>
      </c>
      <c r="Q459" s="15">
        <f t="shared" si="109"/>
        <v>22</v>
      </c>
      <c r="R459" s="48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8" t="s">
        <v>399</v>
      </c>
      <c r="Q460" s="15">
        <f t="shared" si="109"/>
        <v>23</v>
      </c>
      <c r="R460" s="48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8" t="s">
        <v>399</v>
      </c>
      <c r="Q461" s="15">
        <f t="shared" si="109"/>
        <v>24</v>
      </c>
      <c r="R461" s="48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8" t="s">
        <v>399</v>
      </c>
      <c r="Q462" s="15">
        <f t="shared" si="109"/>
        <v>25</v>
      </c>
      <c r="R462" s="48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8" t="s">
        <v>399</v>
      </c>
      <c r="Q463" s="15">
        <f t="shared" si="109"/>
        <v>26</v>
      </c>
      <c r="R463" s="48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8" t="s">
        <v>399</v>
      </c>
      <c r="Q464" s="15">
        <f t="shared" si="109"/>
        <v>27</v>
      </c>
      <c r="R464" s="48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8" t="s">
        <v>399</v>
      </c>
      <c r="Q465" s="15">
        <f t="shared" ref="Q465:Q528" si="121">MOD(M465-1,51)</f>
        <v>28</v>
      </c>
      <c r="R465" s="48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8" t="s">
        <v>399</v>
      </c>
      <c r="Q466" s="15">
        <f t="shared" si="121"/>
        <v>29</v>
      </c>
      <c r="R466" s="48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8" t="s">
        <v>399</v>
      </c>
      <c r="Q467" s="15">
        <f t="shared" si="121"/>
        <v>30</v>
      </c>
      <c r="R467" s="48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8" t="s">
        <v>399</v>
      </c>
      <c r="Q468" s="15">
        <f t="shared" si="121"/>
        <v>31</v>
      </c>
      <c r="R468" s="48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8" t="s">
        <v>399</v>
      </c>
      <c r="Q469" s="15">
        <f t="shared" si="121"/>
        <v>32</v>
      </c>
      <c r="R469" s="48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8" t="s">
        <v>399</v>
      </c>
      <c r="Q470" s="15">
        <f t="shared" si="121"/>
        <v>33</v>
      </c>
      <c r="R470" s="48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8" t="s">
        <v>399</v>
      </c>
      <c r="Q471" s="15">
        <f t="shared" si="121"/>
        <v>34</v>
      </c>
      <c r="R471" s="48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8" t="s">
        <v>399</v>
      </c>
      <c r="Q472" s="15">
        <f t="shared" si="121"/>
        <v>35</v>
      </c>
      <c r="R472" s="48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8" t="s">
        <v>399</v>
      </c>
      <c r="Q473" s="15">
        <f t="shared" si="121"/>
        <v>36</v>
      </c>
      <c r="R473" s="48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8" t="s">
        <v>399</v>
      </c>
      <c r="Q474" s="15">
        <f t="shared" si="121"/>
        <v>37</v>
      </c>
      <c r="R474" s="48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8" t="s">
        <v>399</v>
      </c>
      <c r="Q475" s="15">
        <f t="shared" si="121"/>
        <v>38</v>
      </c>
      <c r="R475" s="48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8" t="s">
        <v>399</v>
      </c>
      <c r="Q476" s="15">
        <f t="shared" si="121"/>
        <v>39</v>
      </c>
      <c r="R476" s="48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8" t="s">
        <v>399</v>
      </c>
      <c r="Q477" s="15">
        <f t="shared" si="121"/>
        <v>40</v>
      </c>
      <c r="R477" s="48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8" t="s">
        <v>399</v>
      </c>
      <c r="Q478" s="15">
        <f t="shared" si="121"/>
        <v>41</v>
      </c>
      <c r="R478" s="48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8" t="s">
        <v>399</v>
      </c>
      <c r="Q479" s="15">
        <f t="shared" si="121"/>
        <v>42</v>
      </c>
      <c r="R479" s="48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8" t="s">
        <v>399</v>
      </c>
      <c r="Q480" s="15">
        <f t="shared" si="121"/>
        <v>43</v>
      </c>
      <c r="R480" s="48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8" t="s">
        <v>399</v>
      </c>
      <c r="Q481" s="15">
        <f t="shared" si="121"/>
        <v>44</v>
      </c>
      <c r="R481" s="48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8" t="s">
        <v>399</v>
      </c>
      <c r="Q482" s="15">
        <f t="shared" si="121"/>
        <v>45</v>
      </c>
      <c r="R482" s="48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8" t="s">
        <v>399</v>
      </c>
      <c r="Q483" s="15">
        <f t="shared" si="121"/>
        <v>46</v>
      </c>
      <c r="R483" s="48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8" t="s">
        <v>399</v>
      </c>
      <c r="Q484" s="15">
        <f t="shared" si="121"/>
        <v>47</v>
      </c>
      <c r="R484" s="48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8" t="s">
        <v>399</v>
      </c>
      <c r="Q485" s="15">
        <f t="shared" si="121"/>
        <v>48</v>
      </c>
      <c r="R485" s="48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8" t="s">
        <v>399</v>
      </c>
      <c r="Q486" s="15">
        <f t="shared" si="121"/>
        <v>49</v>
      </c>
      <c r="R486" s="48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8" t="s">
        <v>399</v>
      </c>
      <c r="Q487" s="15">
        <f t="shared" si="121"/>
        <v>50</v>
      </c>
      <c r="R487" s="48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8" t="s">
        <v>399</v>
      </c>
      <c r="Q488" s="15">
        <f t="shared" si="121"/>
        <v>0</v>
      </c>
      <c r="R488" s="48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8" t="s">
        <v>399</v>
      </c>
      <c r="Q489" s="15">
        <f t="shared" si="121"/>
        <v>1</v>
      </c>
      <c r="R489" s="48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8" t="s">
        <v>399</v>
      </c>
      <c r="Q490" s="15">
        <f t="shared" si="121"/>
        <v>2</v>
      </c>
      <c r="R490" s="48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8" t="s">
        <v>399</v>
      </c>
      <c r="Q491" s="15">
        <f t="shared" si="121"/>
        <v>3</v>
      </c>
      <c r="R491" s="48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8" t="s">
        <v>399</v>
      </c>
      <c r="Q492" s="15">
        <f t="shared" si="121"/>
        <v>4</v>
      </c>
      <c r="R492" s="48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8" t="s">
        <v>399</v>
      </c>
      <c r="Q493" s="15">
        <f t="shared" si="121"/>
        <v>5</v>
      </c>
      <c r="R493" s="48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8" t="s">
        <v>399</v>
      </c>
      <c r="Q494" s="15">
        <f t="shared" si="121"/>
        <v>6</v>
      </c>
      <c r="R494" s="48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8" t="s">
        <v>399</v>
      </c>
      <c r="Q495" s="15">
        <f t="shared" si="121"/>
        <v>7</v>
      </c>
      <c r="R495" s="48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8" t="s">
        <v>399</v>
      </c>
      <c r="Q496" s="15">
        <f t="shared" si="121"/>
        <v>8</v>
      </c>
      <c r="R496" s="48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8" t="s">
        <v>399</v>
      </c>
      <c r="Q497" s="15">
        <f t="shared" si="121"/>
        <v>9</v>
      </c>
      <c r="R497" s="48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8" t="s">
        <v>399</v>
      </c>
      <c r="Q498" s="15">
        <f t="shared" si="121"/>
        <v>10</v>
      </c>
      <c r="R498" s="48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8" t="s">
        <v>399</v>
      </c>
      <c r="Q499" s="15">
        <f t="shared" si="121"/>
        <v>11</v>
      </c>
      <c r="R499" s="48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8" t="s">
        <v>399</v>
      </c>
      <c r="Q500" s="15">
        <f t="shared" si="121"/>
        <v>12</v>
      </c>
      <c r="R500" s="48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8" t="s">
        <v>399</v>
      </c>
      <c r="Q501" s="15">
        <f t="shared" si="121"/>
        <v>13</v>
      </c>
      <c r="R501" s="48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8" t="s">
        <v>399</v>
      </c>
      <c r="Q502" s="15">
        <f t="shared" si="121"/>
        <v>14</v>
      </c>
      <c r="R502" s="48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8" t="s">
        <v>399</v>
      </c>
      <c r="Q503" s="15">
        <f t="shared" si="121"/>
        <v>15</v>
      </c>
      <c r="R503" s="48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8" t="s">
        <v>399</v>
      </c>
      <c r="Q504" s="15">
        <f t="shared" si="121"/>
        <v>16</v>
      </c>
      <c r="R504" s="48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8" t="s">
        <v>399</v>
      </c>
      <c r="Q505" s="15">
        <f t="shared" si="121"/>
        <v>17</v>
      </c>
      <c r="R505" s="48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8" t="s">
        <v>399</v>
      </c>
      <c r="Q506" s="15">
        <f t="shared" si="121"/>
        <v>18</v>
      </c>
      <c r="R506" s="48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8" t="s">
        <v>399</v>
      </c>
      <c r="Q507" s="15">
        <f t="shared" si="121"/>
        <v>19</v>
      </c>
      <c r="R507" s="48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8" t="s">
        <v>399</v>
      </c>
      <c r="Q508" s="15">
        <f t="shared" si="121"/>
        <v>20</v>
      </c>
      <c r="R508" s="48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8" t="s">
        <v>399</v>
      </c>
      <c r="Q509" s="15">
        <f t="shared" si="121"/>
        <v>21</v>
      </c>
      <c r="R509" s="48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8" t="s">
        <v>399</v>
      </c>
      <c r="Q510" s="15">
        <f t="shared" si="121"/>
        <v>22</v>
      </c>
      <c r="R510" s="48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8" t="s">
        <v>399</v>
      </c>
      <c r="Q511" s="15">
        <f t="shared" si="121"/>
        <v>23</v>
      </c>
      <c r="R511" s="48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8" t="s">
        <v>399</v>
      </c>
      <c r="Q512" s="15">
        <f t="shared" si="121"/>
        <v>24</v>
      </c>
      <c r="R512" s="48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8" t="s">
        <v>399</v>
      </c>
      <c r="Q513" s="15">
        <f t="shared" si="121"/>
        <v>25</v>
      </c>
      <c r="R513" s="48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8" t="s">
        <v>399</v>
      </c>
      <c r="Q514" s="15">
        <f t="shared" si="121"/>
        <v>26</v>
      </c>
      <c r="R514" s="48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8" t="s">
        <v>399</v>
      </c>
      <c r="Q515" s="15">
        <f t="shared" si="121"/>
        <v>27</v>
      </c>
      <c r="R515" s="48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8" t="s">
        <v>399</v>
      </c>
      <c r="Q516" s="15">
        <f t="shared" si="121"/>
        <v>28</v>
      </c>
      <c r="R516" s="48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8" t="s">
        <v>399</v>
      </c>
      <c r="Q517" s="15">
        <f t="shared" si="121"/>
        <v>29</v>
      </c>
      <c r="R517" s="48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8" t="s">
        <v>399</v>
      </c>
      <c r="Q518" s="15">
        <f t="shared" si="121"/>
        <v>30</v>
      </c>
      <c r="R518" s="48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8" t="s">
        <v>399</v>
      </c>
      <c r="Q519" s="15">
        <f t="shared" si="121"/>
        <v>31</v>
      </c>
      <c r="R519" s="48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8" t="s">
        <v>399</v>
      </c>
      <c r="Q520" s="15">
        <f t="shared" si="121"/>
        <v>32</v>
      </c>
      <c r="R520" s="48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8" t="s">
        <v>399</v>
      </c>
      <c r="Q521" s="15">
        <f t="shared" si="121"/>
        <v>33</v>
      </c>
      <c r="R521" s="48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8" t="s">
        <v>399</v>
      </c>
      <c r="Q522" s="15">
        <f t="shared" si="121"/>
        <v>34</v>
      </c>
      <c r="R522" s="48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8" t="s">
        <v>399</v>
      </c>
      <c r="Q523" s="15">
        <f t="shared" si="121"/>
        <v>35</v>
      </c>
      <c r="R523" s="48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8" t="s">
        <v>399</v>
      </c>
      <c r="Q524" s="15">
        <f t="shared" si="121"/>
        <v>36</v>
      </c>
      <c r="R524" s="48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8" t="s">
        <v>399</v>
      </c>
      <c r="Q525" s="15">
        <f t="shared" si="121"/>
        <v>37</v>
      </c>
      <c r="R525" s="48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8" t="s">
        <v>399</v>
      </c>
      <c r="Q526" s="15">
        <f t="shared" si="121"/>
        <v>38</v>
      </c>
      <c r="R526" s="48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8" t="s">
        <v>399</v>
      </c>
      <c r="Q527" s="15">
        <f t="shared" si="121"/>
        <v>39</v>
      </c>
      <c r="R527" s="48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8" t="s">
        <v>399</v>
      </c>
      <c r="Q528" s="15">
        <f t="shared" si="121"/>
        <v>40</v>
      </c>
      <c r="R528" s="48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8" t="s">
        <v>399</v>
      </c>
      <c r="Q529" s="15">
        <f t="shared" ref="Q529:Q592" si="133">MOD(M529-1,51)</f>
        <v>41</v>
      </c>
      <c r="R529" s="48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8" t="s">
        <v>399</v>
      </c>
      <c r="Q530" s="15">
        <f t="shared" si="133"/>
        <v>42</v>
      </c>
      <c r="R530" s="48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8" t="s">
        <v>399</v>
      </c>
      <c r="Q531" s="15">
        <f t="shared" si="133"/>
        <v>43</v>
      </c>
      <c r="R531" s="48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8" t="s">
        <v>399</v>
      </c>
      <c r="Q532" s="15">
        <f t="shared" si="133"/>
        <v>44</v>
      </c>
      <c r="R532" s="48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8" t="s">
        <v>399</v>
      </c>
      <c r="Q533" s="15">
        <f t="shared" si="133"/>
        <v>45</v>
      </c>
      <c r="R533" s="48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8" t="s">
        <v>399</v>
      </c>
      <c r="Q534" s="15">
        <f t="shared" si="133"/>
        <v>46</v>
      </c>
      <c r="R534" s="48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8" t="s">
        <v>399</v>
      </c>
      <c r="Q535" s="15">
        <f t="shared" si="133"/>
        <v>47</v>
      </c>
      <c r="R535" s="48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8" t="s">
        <v>399</v>
      </c>
      <c r="Q536" s="15">
        <f t="shared" si="133"/>
        <v>48</v>
      </c>
      <c r="R536" s="48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8" t="s">
        <v>399</v>
      </c>
      <c r="Q537" s="15">
        <f t="shared" si="133"/>
        <v>49</v>
      </c>
      <c r="R537" s="48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8" t="s">
        <v>399</v>
      </c>
      <c r="Q538" s="15">
        <f t="shared" si="133"/>
        <v>50</v>
      </c>
      <c r="R538" s="48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8" t="s">
        <v>399</v>
      </c>
      <c r="Q539" s="15">
        <f t="shared" si="133"/>
        <v>0</v>
      </c>
      <c r="R539" s="48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8" t="s">
        <v>399</v>
      </c>
      <c r="Q540" s="15">
        <f t="shared" si="133"/>
        <v>1</v>
      </c>
      <c r="R540" s="48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8" t="s">
        <v>399</v>
      </c>
      <c r="Q541" s="15">
        <f t="shared" si="133"/>
        <v>2</v>
      </c>
      <c r="R541" s="48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8" t="s">
        <v>399</v>
      </c>
      <c r="Q542" s="15">
        <f t="shared" si="133"/>
        <v>3</v>
      </c>
      <c r="R542" s="48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8" t="s">
        <v>399</v>
      </c>
      <c r="Q543" s="15">
        <f t="shared" si="133"/>
        <v>4</v>
      </c>
      <c r="R543" s="48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8" t="s">
        <v>399</v>
      </c>
      <c r="Q544" s="15">
        <f t="shared" si="133"/>
        <v>5</v>
      </c>
      <c r="R544" s="48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8" t="s">
        <v>399</v>
      </c>
      <c r="Q545" s="15">
        <f t="shared" si="133"/>
        <v>6</v>
      </c>
      <c r="R545" s="48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8" t="s">
        <v>399</v>
      </c>
      <c r="Q546" s="15">
        <f t="shared" si="133"/>
        <v>7</v>
      </c>
      <c r="R546" s="48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8" t="s">
        <v>399</v>
      </c>
      <c r="Q547" s="15">
        <f t="shared" si="133"/>
        <v>8</v>
      </c>
      <c r="R547" s="48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8" t="s">
        <v>399</v>
      </c>
      <c r="Q548" s="15">
        <f t="shared" si="133"/>
        <v>9</v>
      </c>
      <c r="R548" s="48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8" t="s">
        <v>399</v>
      </c>
      <c r="Q549" s="15">
        <f t="shared" si="133"/>
        <v>10</v>
      </c>
      <c r="R549" s="48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8" t="s">
        <v>399</v>
      </c>
      <c r="Q550" s="15">
        <f t="shared" si="133"/>
        <v>11</v>
      </c>
      <c r="R550" s="48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8" t="s">
        <v>399</v>
      </c>
      <c r="Q551" s="15">
        <f t="shared" si="133"/>
        <v>12</v>
      </c>
      <c r="R551" s="48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8" t="s">
        <v>399</v>
      </c>
      <c r="Q552" s="15">
        <f t="shared" si="133"/>
        <v>13</v>
      </c>
      <c r="R552" s="48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8" t="s">
        <v>399</v>
      </c>
      <c r="Q553" s="15">
        <f t="shared" si="133"/>
        <v>14</v>
      </c>
      <c r="R553" s="48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8" t="s">
        <v>399</v>
      </c>
      <c r="Q554" s="15">
        <f t="shared" si="133"/>
        <v>15</v>
      </c>
      <c r="R554" s="48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8" t="s">
        <v>399</v>
      </c>
      <c r="Q555" s="15">
        <f t="shared" si="133"/>
        <v>16</v>
      </c>
      <c r="R555" s="48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8" t="s">
        <v>399</v>
      </c>
      <c r="Q556" s="15">
        <f t="shared" si="133"/>
        <v>17</v>
      </c>
      <c r="R556" s="48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8" t="s">
        <v>399</v>
      </c>
      <c r="Q557" s="15">
        <f t="shared" si="133"/>
        <v>18</v>
      </c>
      <c r="R557" s="48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8" t="s">
        <v>399</v>
      </c>
      <c r="Q558" s="15">
        <f t="shared" si="133"/>
        <v>19</v>
      </c>
      <c r="R558" s="48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8" t="s">
        <v>399</v>
      </c>
      <c r="Q559" s="15">
        <f t="shared" si="133"/>
        <v>20</v>
      </c>
      <c r="R559" s="48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8" t="s">
        <v>399</v>
      </c>
      <c r="Q560" s="15">
        <f t="shared" si="133"/>
        <v>21</v>
      </c>
      <c r="R560" s="48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8" t="s">
        <v>399</v>
      </c>
      <c r="Q561" s="15">
        <f t="shared" si="133"/>
        <v>22</v>
      </c>
      <c r="R561" s="48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8" t="s">
        <v>399</v>
      </c>
      <c r="Q562" s="15">
        <f t="shared" si="133"/>
        <v>23</v>
      </c>
      <c r="R562" s="48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8" t="s">
        <v>399</v>
      </c>
      <c r="Q563" s="15">
        <f t="shared" si="133"/>
        <v>24</v>
      </c>
      <c r="R563" s="48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8" t="s">
        <v>399</v>
      </c>
      <c r="Q564" s="15">
        <f t="shared" si="133"/>
        <v>25</v>
      </c>
      <c r="R564" s="48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8" t="s">
        <v>399</v>
      </c>
      <c r="Q565" s="15">
        <f t="shared" si="133"/>
        <v>26</v>
      </c>
      <c r="R565" s="48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8" t="s">
        <v>399</v>
      </c>
      <c r="Q566" s="15">
        <f t="shared" si="133"/>
        <v>27</v>
      </c>
      <c r="R566" s="48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8" t="s">
        <v>399</v>
      </c>
      <c r="Q567" s="15">
        <f t="shared" si="133"/>
        <v>28</v>
      </c>
      <c r="R567" s="48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8" t="s">
        <v>399</v>
      </c>
      <c r="Q568" s="15">
        <f t="shared" si="133"/>
        <v>29</v>
      </c>
      <c r="R568" s="48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8" t="s">
        <v>399</v>
      </c>
      <c r="Q569" s="15">
        <f t="shared" si="133"/>
        <v>30</v>
      </c>
      <c r="R569" s="48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8" t="s">
        <v>399</v>
      </c>
      <c r="Q570" s="15">
        <f t="shared" si="133"/>
        <v>31</v>
      </c>
      <c r="R570" s="48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8" t="s">
        <v>399</v>
      </c>
      <c r="Q571" s="15">
        <f t="shared" si="133"/>
        <v>32</v>
      </c>
      <c r="R571" s="48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8" t="s">
        <v>399</v>
      </c>
      <c r="Q572" s="15">
        <f t="shared" si="133"/>
        <v>33</v>
      </c>
      <c r="R572" s="48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8" t="s">
        <v>399</v>
      </c>
      <c r="Q573" s="15">
        <f t="shared" si="133"/>
        <v>34</v>
      </c>
      <c r="R573" s="48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8" t="s">
        <v>399</v>
      </c>
      <c r="Q574" s="15">
        <f t="shared" si="133"/>
        <v>35</v>
      </c>
      <c r="R574" s="48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8" t="s">
        <v>399</v>
      </c>
      <c r="Q575" s="15">
        <f t="shared" si="133"/>
        <v>36</v>
      </c>
      <c r="R575" s="48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8" t="s">
        <v>399</v>
      </c>
      <c r="Q576" s="15">
        <f t="shared" si="133"/>
        <v>37</v>
      </c>
      <c r="R576" s="48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8" t="s">
        <v>399</v>
      </c>
      <c r="Q577" s="15">
        <f t="shared" si="133"/>
        <v>38</v>
      </c>
      <c r="R577" s="48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8" t="s">
        <v>399</v>
      </c>
      <c r="Q578" s="15">
        <f t="shared" si="133"/>
        <v>39</v>
      </c>
      <c r="R578" s="48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8" t="s">
        <v>399</v>
      </c>
      <c r="Q579" s="15">
        <f t="shared" si="133"/>
        <v>40</v>
      </c>
      <c r="R579" s="48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8" t="s">
        <v>399</v>
      </c>
      <c r="Q580" s="15">
        <f t="shared" si="133"/>
        <v>41</v>
      </c>
      <c r="R580" s="48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8" t="s">
        <v>399</v>
      </c>
      <c r="Q581" s="15">
        <f t="shared" si="133"/>
        <v>42</v>
      </c>
      <c r="R581" s="48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8" t="s">
        <v>399</v>
      </c>
      <c r="Q582" s="15">
        <f t="shared" si="133"/>
        <v>43</v>
      </c>
      <c r="R582" s="48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8" t="s">
        <v>399</v>
      </c>
      <c r="Q583" s="15">
        <f t="shared" si="133"/>
        <v>44</v>
      </c>
      <c r="R583" s="48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8" t="s">
        <v>399</v>
      </c>
      <c r="Q584" s="15">
        <f t="shared" si="133"/>
        <v>45</v>
      </c>
      <c r="R584" s="48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8" t="s">
        <v>399</v>
      </c>
      <c r="Q585" s="15">
        <f t="shared" si="133"/>
        <v>46</v>
      </c>
      <c r="R585" s="48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8" t="s">
        <v>399</v>
      </c>
      <c r="Q586" s="15">
        <f t="shared" si="133"/>
        <v>47</v>
      </c>
      <c r="R586" s="48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8" t="s">
        <v>399</v>
      </c>
      <c r="Q587" s="15">
        <f t="shared" si="133"/>
        <v>48</v>
      </c>
      <c r="R587" s="48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8" t="s">
        <v>399</v>
      </c>
      <c r="Q588" s="15">
        <f t="shared" si="133"/>
        <v>49</v>
      </c>
      <c r="R588" s="48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8" t="s">
        <v>399</v>
      </c>
      <c r="Q589" s="15">
        <f t="shared" si="133"/>
        <v>50</v>
      </c>
      <c r="R589" s="48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8" t="s">
        <v>399</v>
      </c>
      <c r="Q590" s="15">
        <f t="shared" si="133"/>
        <v>0</v>
      </c>
      <c r="R590" s="48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8" t="s">
        <v>399</v>
      </c>
      <c r="Q591" s="15">
        <f t="shared" si="133"/>
        <v>1</v>
      </c>
      <c r="R591" s="48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8" t="s">
        <v>399</v>
      </c>
      <c r="Q592" s="15">
        <f t="shared" si="133"/>
        <v>2</v>
      </c>
      <c r="R592" s="48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8" t="s">
        <v>399</v>
      </c>
      <c r="Q593" s="15">
        <f t="shared" ref="Q593:Q656" si="145">MOD(M593-1,51)</f>
        <v>3</v>
      </c>
      <c r="R593" s="48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8" t="s">
        <v>399</v>
      </c>
      <c r="Q594" s="15">
        <f t="shared" si="145"/>
        <v>4</v>
      </c>
      <c r="R594" s="48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8" t="s">
        <v>399</v>
      </c>
      <c r="Q595" s="15">
        <f t="shared" si="145"/>
        <v>5</v>
      </c>
      <c r="R595" s="48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8" t="s">
        <v>399</v>
      </c>
      <c r="Q596" s="15">
        <f t="shared" si="145"/>
        <v>6</v>
      </c>
      <c r="R596" s="48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8" t="s">
        <v>399</v>
      </c>
      <c r="Q597" s="15">
        <f t="shared" si="145"/>
        <v>7</v>
      </c>
      <c r="R597" s="48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8" t="s">
        <v>399</v>
      </c>
      <c r="Q598" s="15">
        <f t="shared" si="145"/>
        <v>8</v>
      </c>
      <c r="R598" s="48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8" t="s">
        <v>399</v>
      </c>
      <c r="Q599" s="15">
        <f t="shared" si="145"/>
        <v>9</v>
      </c>
      <c r="R599" s="48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8" t="s">
        <v>399</v>
      </c>
      <c r="Q600" s="15">
        <f t="shared" si="145"/>
        <v>10</v>
      </c>
      <c r="R600" s="48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8" t="s">
        <v>399</v>
      </c>
      <c r="Q601" s="15">
        <f t="shared" si="145"/>
        <v>11</v>
      </c>
      <c r="R601" s="48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8" t="s">
        <v>399</v>
      </c>
      <c r="Q602" s="15">
        <f t="shared" si="145"/>
        <v>12</v>
      </c>
      <c r="R602" s="48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8" t="s">
        <v>399</v>
      </c>
      <c r="Q603" s="15">
        <f t="shared" si="145"/>
        <v>13</v>
      </c>
      <c r="R603" s="48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8" t="s">
        <v>399</v>
      </c>
      <c r="Q604" s="15">
        <f t="shared" si="145"/>
        <v>14</v>
      </c>
      <c r="R604" s="48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8" t="s">
        <v>399</v>
      </c>
      <c r="Q605" s="15">
        <f t="shared" si="145"/>
        <v>15</v>
      </c>
      <c r="R605" s="48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8" t="s">
        <v>399</v>
      </c>
      <c r="Q606" s="15">
        <f t="shared" si="145"/>
        <v>16</v>
      </c>
      <c r="R606" s="48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8" t="s">
        <v>399</v>
      </c>
      <c r="Q607" s="15">
        <f t="shared" si="145"/>
        <v>17</v>
      </c>
      <c r="R607" s="48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8" t="s">
        <v>399</v>
      </c>
      <c r="Q608" s="15">
        <f t="shared" si="145"/>
        <v>18</v>
      </c>
      <c r="R608" s="48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8" t="s">
        <v>399</v>
      </c>
      <c r="Q609" s="15">
        <f t="shared" si="145"/>
        <v>19</v>
      </c>
      <c r="R609" s="48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8" t="s">
        <v>399</v>
      </c>
      <c r="Q610" s="15">
        <f t="shared" si="145"/>
        <v>20</v>
      </c>
      <c r="R610" s="48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8" t="s">
        <v>399</v>
      </c>
      <c r="Q611" s="15">
        <f t="shared" si="145"/>
        <v>21</v>
      </c>
      <c r="R611" s="48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8" t="s">
        <v>399</v>
      </c>
      <c r="Q612" s="15">
        <f t="shared" si="145"/>
        <v>22</v>
      </c>
      <c r="R612" s="48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8" t="s">
        <v>399</v>
      </c>
      <c r="Q613" s="15">
        <f t="shared" si="145"/>
        <v>23</v>
      </c>
      <c r="R613" s="48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8" t="s">
        <v>399</v>
      </c>
      <c r="Q614" s="15">
        <f t="shared" si="145"/>
        <v>24</v>
      </c>
      <c r="R614" s="48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8" t="s">
        <v>399</v>
      </c>
      <c r="Q615" s="15">
        <f t="shared" si="145"/>
        <v>25</v>
      </c>
      <c r="R615" s="48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8" t="s">
        <v>399</v>
      </c>
      <c r="Q616" s="15">
        <f t="shared" si="145"/>
        <v>26</v>
      </c>
      <c r="R616" s="48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8" t="s">
        <v>399</v>
      </c>
      <c r="Q617" s="15">
        <f t="shared" si="145"/>
        <v>27</v>
      </c>
      <c r="R617" s="48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8" t="s">
        <v>399</v>
      </c>
      <c r="Q618" s="15">
        <f t="shared" si="145"/>
        <v>28</v>
      </c>
      <c r="R618" s="48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8" t="s">
        <v>399</v>
      </c>
      <c r="Q619" s="15">
        <f t="shared" si="145"/>
        <v>29</v>
      </c>
      <c r="R619" s="48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8" t="s">
        <v>399</v>
      </c>
      <c r="Q620" s="15">
        <f t="shared" si="145"/>
        <v>30</v>
      </c>
      <c r="R620" s="48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8" t="s">
        <v>399</v>
      </c>
      <c r="Q621" s="15">
        <f t="shared" si="145"/>
        <v>31</v>
      </c>
      <c r="R621" s="48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8" t="s">
        <v>399</v>
      </c>
      <c r="Q622" s="15">
        <f t="shared" si="145"/>
        <v>32</v>
      </c>
      <c r="R622" s="48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8" t="s">
        <v>399</v>
      </c>
      <c r="Q623" s="15">
        <f t="shared" si="145"/>
        <v>33</v>
      </c>
      <c r="R623" s="48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8" t="s">
        <v>399</v>
      </c>
      <c r="Q624" s="15">
        <f t="shared" si="145"/>
        <v>34</v>
      </c>
      <c r="R624" s="48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8" t="s">
        <v>399</v>
      </c>
      <c r="Q625" s="15">
        <f t="shared" si="145"/>
        <v>35</v>
      </c>
      <c r="R625" s="48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8" t="s">
        <v>399</v>
      </c>
      <c r="Q626" s="15">
        <f t="shared" si="145"/>
        <v>36</v>
      </c>
      <c r="R626" s="48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8" t="s">
        <v>399</v>
      </c>
      <c r="Q627" s="15">
        <f t="shared" si="145"/>
        <v>37</v>
      </c>
      <c r="R627" s="48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8" t="s">
        <v>399</v>
      </c>
      <c r="Q628" s="15">
        <f t="shared" si="145"/>
        <v>38</v>
      </c>
      <c r="R628" s="48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8" t="s">
        <v>399</v>
      </c>
      <c r="Q629" s="15">
        <f t="shared" si="145"/>
        <v>39</v>
      </c>
      <c r="R629" s="48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8" t="s">
        <v>399</v>
      </c>
      <c r="Q630" s="15">
        <f t="shared" si="145"/>
        <v>40</v>
      </c>
      <c r="R630" s="48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8" t="s">
        <v>399</v>
      </c>
      <c r="Q631" s="15">
        <f t="shared" si="145"/>
        <v>41</v>
      </c>
      <c r="R631" s="48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8" t="s">
        <v>399</v>
      </c>
      <c r="Q632" s="15">
        <f t="shared" si="145"/>
        <v>42</v>
      </c>
      <c r="R632" s="48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8" t="s">
        <v>399</v>
      </c>
      <c r="Q633" s="15">
        <f t="shared" si="145"/>
        <v>43</v>
      </c>
      <c r="R633" s="48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8" t="s">
        <v>399</v>
      </c>
      <c r="Q634" s="15">
        <f t="shared" si="145"/>
        <v>44</v>
      </c>
      <c r="R634" s="48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8" t="s">
        <v>399</v>
      </c>
      <c r="Q635" s="15">
        <f t="shared" si="145"/>
        <v>45</v>
      </c>
      <c r="R635" s="48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8" t="s">
        <v>399</v>
      </c>
      <c r="Q636" s="15">
        <f t="shared" si="145"/>
        <v>46</v>
      </c>
      <c r="R636" s="48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8" t="s">
        <v>399</v>
      </c>
      <c r="Q637" s="15">
        <f t="shared" si="145"/>
        <v>47</v>
      </c>
      <c r="R637" s="48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8" t="s">
        <v>399</v>
      </c>
      <c r="Q638" s="15">
        <f t="shared" si="145"/>
        <v>48</v>
      </c>
      <c r="R638" s="48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8" t="s">
        <v>399</v>
      </c>
      <c r="Q639" s="15">
        <f t="shared" si="145"/>
        <v>49</v>
      </c>
      <c r="R639" s="48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8" t="s">
        <v>399</v>
      </c>
      <c r="Q640" s="15">
        <f t="shared" si="145"/>
        <v>50</v>
      </c>
      <c r="R640" s="48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8" t="s">
        <v>399</v>
      </c>
      <c r="Q641" s="15">
        <f t="shared" si="145"/>
        <v>0</v>
      </c>
      <c r="R641" s="48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8" t="s">
        <v>399</v>
      </c>
      <c r="Q642" s="15">
        <f t="shared" si="145"/>
        <v>1</v>
      </c>
      <c r="R642" s="48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8" t="s">
        <v>399</v>
      </c>
      <c r="Q643" s="15">
        <f t="shared" si="145"/>
        <v>2</v>
      </c>
      <c r="R643" s="48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8" t="s">
        <v>399</v>
      </c>
      <c r="Q644" s="15">
        <f t="shared" si="145"/>
        <v>3</v>
      </c>
      <c r="R644" s="48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8" t="s">
        <v>399</v>
      </c>
      <c r="Q645" s="15">
        <f t="shared" si="145"/>
        <v>4</v>
      </c>
      <c r="R645" s="48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8" t="s">
        <v>399</v>
      </c>
      <c r="Q646" s="15">
        <f t="shared" si="145"/>
        <v>5</v>
      </c>
      <c r="R646" s="48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8" t="s">
        <v>399</v>
      </c>
      <c r="Q647" s="15">
        <f t="shared" si="145"/>
        <v>6</v>
      </c>
      <c r="R647" s="48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8" t="s">
        <v>399</v>
      </c>
      <c r="Q648" s="15">
        <f t="shared" si="145"/>
        <v>7</v>
      </c>
      <c r="R648" s="48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8" t="s">
        <v>399</v>
      </c>
      <c r="Q649" s="15">
        <f t="shared" si="145"/>
        <v>8</v>
      </c>
      <c r="R649" s="48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8" t="s">
        <v>399</v>
      </c>
      <c r="Q650" s="15">
        <f t="shared" si="145"/>
        <v>9</v>
      </c>
      <c r="R650" s="48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8" t="s">
        <v>399</v>
      </c>
      <c r="Q651" s="15">
        <f t="shared" si="145"/>
        <v>10</v>
      </c>
      <c r="R651" s="48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8" t="s">
        <v>399</v>
      </c>
      <c r="Q652" s="15">
        <f t="shared" si="145"/>
        <v>11</v>
      </c>
      <c r="R652" s="48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8" t="s">
        <v>399</v>
      </c>
      <c r="Q653" s="15">
        <f t="shared" si="145"/>
        <v>12</v>
      </c>
      <c r="R653" s="48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8" t="s">
        <v>399</v>
      </c>
      <c r="Q654" s="15">
        <f t="shared" si="145"/>
        <v>13</v>
      </c>
      <c r="R654" s="48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8" t="s">
        <v>399</v>
      </c>
      <c r="Q655" s="15">
        <f t="shared" si="145"/>
        <v>14</v>
      </c>
      <c r="R655" s="48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8" t="s">
        <v>399</v>
      </c>
      <c r="Q656" s="15">
        <f t="shared" si="145"/>
        <v>15</v>
      </c>
      <c r="R656" s="48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8" t="s">
        <v>399</v>
      </c>
      <c r="Q657" s="15">
        <f t="shared" ref="Q657:Q720" si="157">MOD(M657-1,51)</f>
        <v>16</v>
      </c>
      <c r="R657" s="48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8" t="s">
        <v>399</v>
      </c>
      <c r="Q658" s="15">
        <f t="shared" si="157"/>
        <v>17</v>
      </c>
      <c r="R658" s="48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8" t="s">
        <v>399</v>
      </c>
      <c r="Q659" s="15">
        <f t="shared" si="157"/>
        <v>18</v>
      </c>
      <c r="R659" s="48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8" t="s">
        <v>399</v>
      </c>
      <c r="Q660" s="15">
        <f t="shared" si="157"/>
        <v>19</v>
      </c>
      <c r="R660" s="48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8" t="s">
        <v>399</v>
      </c>
      <c r="Q661" s="15">
        <f t="shared" si="157"/>
        <v>20</v>
      </c>
      <c r="R661" s="48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8" t="s">
        <v>399</v>
      </c>
      <c r="Q662" s="15">
        <f t="shared" si="157"/>
        <v>21</v>
      </c>
      <c r="R662" s="48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8" t="s">
        <v>399</v>
      </c>
      <c r="Q663" s="15">
        <f t="shared" si="157"/>
        <v>22</v>
      </c>
      <c r="R663" s="48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8" t="s">
        <v>399</v>
      </c>
      <c r="Q664" s="15">
        <f t="shared" si="157"/>
        <v>23</v>
      </c>
      <c r="R664" s="48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8" t="s">
        <v>399</v>
      </c>
      <c r="Q665" s="15">
        <f t="shared" si="157"/>
        <v>24</v>
      </c>
      <c r="R665" s="48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8" t="s">
        <v>399</v>
      </c>
      <c r="Q666" s="15">
        <f t="shared" si="157"/>
        <v>25</v>
      </c>
      <c r="R666" s="48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8" t="s">
        <v>399</v>
      </c>
      <c r="Q667" s="15">
        <f t="shared" si="157"/>
        <v>26</v>
      </c>
      <c r="R667" s="48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8" t="s">
        <v>399</v>
      </c>
      <c r="Q668" s="15">
        <f t="shared" si="157"/>
        <v>27</v>
      </c>
      <c r="R668" s="48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8" t="s">
        <v>399</v>
      </c>
      <c r="Q669" s="15">
        <f t="shared" si="157"/>
        <v>28</v>
      </c>
      <c r="R669" s="48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8" t="s">
        <v>399</v>
      </c>
      <c r="Q670" s="15">
        <f t="shared" si="157"/>
        <v>29</v>
      </c>
      <c r="R670" s="48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8" t="s">
        <v>399</v>
      </c>
      <c r="Q671" s="15">
        <f t="shared" si="157"/>
        <v>30</v>
      </c>
      <c r="R671" s="48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8" t="s">
        <v>399</v>
      </c>
      <c r="Q672" s="15">
        <f t="shared" si="157"/>
        <v>31</v>
      </c>
      <c r="R672" s="48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8" t="s">
        <v>399</v>
      </c>
      <c r="Q673" s="15">
        <f t="shared" si="157"/>
        <v>32</v>
      </c>
      <c r="R673" s="48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8" t="s">
        <v>399</v>
      </c>
      <c r="Q674" s="15">
        <f t="shared" si="157"/>
        <v>33</v>
      </c>
      <c r="R674" s="48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8" t="s">
        <v>399</v>
      </c>
      <c r="Q675" s="15">
        <f t="shared" si="157"/>
        <v>34</v>
      </c>
      <c r="R675" s="48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8" t="s">
        <v>399</v>
      </c>
      <c r="Q676" s="15">
        <f t="shared" si="157"/>
        <v>35</v>
      </c>
      <c r="R676" s="48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8" t="s">
        <v>399</v>
      </c>
      <c r="Q677" s="15">
        <f t="shared" si="157"/>
        <v>36</v>
      </c>
      <c r="R677" s="48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8" t="s">
        <v>399</v>
      </c>
      <c r="Q678" s="15">
        <f t="shared" si="157"/>
        <v>37</v>
      </c>
      <c r="R678" s="48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8" t="s">
        <v>399</v>
      </c>
      <c r="Q679" s="15">
        <f t="shared" si="157"/>
        <v>38</v>
      </c>
      <c r="R679" s="48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8" t="s">
        <v>399</v>
      </c>
      <c r="Q680" s="15">
        <f t="shared" si="157"/>
        <v>39</v>
      </c>
      <c r="R680" s="48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8" t="s">
        <v>399</v>
      </c>
      <c r="Q681" s="15">
        <f t="shared" si="157"/>
        <v>40</v>
      </c>
      <c r="R681" s="48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8" t="s">
        <v>399</v>
      </c>
      <c r="Q682" s="15">
        <f t="shared" si="157"/>
        <v>41</v>
      </c>
      <c r="R682" s="48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8" t="s">
        <v>399</v>
      </c>
      <c r="Q683" s="15">
        <f t="shared" si="157"/>
        <v>42</v>
      </c>
      <c r="R683" s="48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8" t="s">
        <v>399</v>
      </c>
      <c r="Q684" s="15">
        <f t="shared" si="157"/>
        <v>43</v>
      </c>
      <c r="R684" s="48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8" t="s">
        <v>399</v>
      </c>
      <c r="Q685" s="15">
        <f t="shared" si="157"/>
        <v>44</v>
      </c>
      <c r="R685" s="48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8" t="s">
        <v>399</v>
      </c>
      <c r="Q686" s="15">
        <f t="shared" si="157"/>
        <v>45</v>
      </c>
      <c r="R686" s="48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8" t="s">
        <v>399</v>
      </c>
      <c r="Q687" s="15">
        <f t="shared" si="157"/>
        <v>46</v>
      </c>
      <c r="R687" s="48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8" t="s">
        <v>399</v>
      </c>
      <c r="Q688" s="15">
        <f t="shared" si="157"/>
        <v>47</v>
      </c>
      <c r="R688" s="48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8" t="s">
        <v>399</v>
      </c>
      <c r="Q689" s="15">
        <f t="shared" si="157"/>
        <v>48</v>
      </c>
      <c r="R689" s="48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8" t="s">
        <v>399</v>
      </c>
      <c r="Q690" s="15">
        <f t="shared" si="157"/>
        <v>49</v>
      </c>
      <c r="R690" s="48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8" t="s">
        <v>399</v>
      </c>
      <c r="Q691" s="15">
        <f t="shared" si="157"/>
        <v>50</v>
      </c>
      <c r="R691" s="48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8" t="s">
        <v>399</v>
      </c>
      <c r="Q692" s="15">
        <f t="shared" si="157"/>
        <v>0</v>
      </c>
      <c r="R692" s="48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8" t="s">
        <v>399</v>
      </c>
      <c r="Q693" s="15">
        <f t="shared" si="157"/>
        <v>1</v>
      </c>
      <c r="R693" s="48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8" t="s">
        <v>399</v>
      </c>
      <c r="Q694" s="15">
        <f t="shared" si="157"/>
        <v>2</v>
      </c>
      <c r="R694" s="48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8" t="s">
        <v>399</v>
      </c>
      <c r="Q695" s="15">
        <f t="shared" si="157"/>
        <v>3</v>
      </c>
      <c r="R695" s="48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8" t="s">
        <v>399</v>
      </c>
      <c r="Q696" s="15">
        <f t="shared" si="157"/>
        <v>4</v>
      </c>
      <c r="R696" s="48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8" t="s">
        <v>399</v>
      </c>
      <c r="Q697" s="15">
        <f t="shared" si="157"/>
        <v>5</v>
      </c>
      <c r="R697" s="48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8" t="s">
        <v>399</v>
      </c>
      <c r="Q698" s="15">
        <f t="shared" si="157"/>
        <v>6</v>
      </c>
      <c r="R698" s="48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8" t="s">
        <v>399</v>
      </c>
      <c r="Q699" s="15">
        <f t="shared" si="157"/>
        <v>7</v>
      </c>
      <c r="R699" s="48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8" t="s">
        <v>399</v>
      </c>
      <c r="Q700" s="15">
        <f t="shared" si="157"/>
        <v>8</v>
      </c>
      <c r="R700" s="48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8" t="s">
        <v>399</v>
      </c>
      <c r="Q701" s="15">
        <f t="shared" si="157"/>
        <v>9</v>
      </c>
      <c r="R701" s="48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8" t="s">
        <v>399</v>
      </c>
      <c r="Q702" s="15">
        <f t="shared" si="157"/>
        <v>10</v>
      </c>
      <c r="R702" s="48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8" t="s">
        <v>399</v>
      </c>
      <c r="Q703" s="15">
        <f t="shared" si="157"/>
        <v>11</v>
      </c>
      <c r="R703" s="48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8" t="s">
        <v>399</v>
      </c>
      <c r="Q704" s="15">
        <f t="shared" si="157"/>
        <v>12</v>
      </c>
      <c r="R704" s="48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8" t="s">
        <v>399</v>
      </c>
      <c r="Q705" s="15">
        <f t="shared" si="157"/>
        <v>13</v>
      </c>
      <c r="R705" s="48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8" t="s">
        <v>399</v>
      </c>
      <c r="Q706" s="15">
        <f t="shared" si="157"/>
        <v>14</v>
      </c>
      <c r="R706" s="48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8" t="s">
        <v>399</v>
      </c>
      <c r="Q707" s="15">
        <f t="shared" si="157"/>
        <v>15</v>
      </c>
      <c r="R707" s="48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8" t="s">
        <v>399</v>
      </c>
      <c r="Q708" s="15">
        <f t="shared" si="157"/>
        <v>16</v>
      </c>
      <c r="R708" s="48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8" t="s">
        <v>399</v>
      </c>
      <c r="Q709" s="15">
        <f t="shared" si="157"/>
        <v>17</v>
      </c>
      <c r="R709" s="48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8" t="s">
        <v>399</v>
      </c>
      <c r="Q710" s="15">
        <f t="shared" si="157"/>
        <v>18</v>
      </c>
      <c r="R710" s="48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8" t="s">
        <v>399</v>
      </c>
      <c r="Q711" s="15">
        <f t="shared" si="157"/>
        <v>19</v>
      </c>
      <c r="R711" s="48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8" t="s">
        <v>399</v>
      </c>
      <c r="Q712" s="15">
        <f t="shared" si="157"/>
        <v>20</v>
      </c>
      <c r="R712" s="48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8" t="s">
        <v>399</v>
      </c>
      <c r="Q713" s="15">
        <f t="shared" si="157"/>
        <v>21</v>
      </c>
      <c r="R713" s="48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8" t="s">
        <v>399</v>
      </c>
      <c r="Q714" s="15">
        <f t="shared" si="157"/>
        <v>22</v>
      </c>
      <c r="R714" s="48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8" t="s">
        <v>399</v>
      </c>
      <c r="Q715" s="15">
        <f t="shared" si="157"/>
        <v>23</v>
      </c>
      <c r="R715" s="48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8" t="s">
        <v>399</v>
      </c>
      <c r="Q716" s="15">
        <f t="shared" si="157"/>
        <v>24</v>
      </c>
      <c r="R716" s="48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8" t="s">
        <v>399</v>
      </c>
      <c r="Q717" s="15">
        <f t="shared" si="157"/>
        <v>25</v>
      </c>
      <c r="R717" s="48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8" t="s">
        <v>399</v>
      </c>
      <c r="Q718" s="15">
        <f t="shared" si="157"/>
        <v>26</v>
      </c>
      <c r="R718" s="48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8" t="s">
        <v>399</v>
      </c>
      <c r="Q719" s="15">
        <f t="shared" si="157"/>
        <v>27</v>
      </c>
      <c r="R719" s="48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8" t="s">
        <v>399</v>
      </c>
      <c r="Q720" s="15">
        <f t="shared" si="157"/>
        <v>28</v>
      </c>
      <c r="R720" s="48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8" t="s">
        <v>399</v>
      </c>
      <c r="Q721" s="15">
        <f t="shared" ref="Q721:Q784" si="169">MOD(M721-1,51)</f>
        <v>29</v>
      </c>
      <c r="R721" s="48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8" t="s">
        <v>399</v>
      </c>
      <c r="Q722" s="15">
        <f t="shared" si="169"/>
        <v>30</v>
      </c>
      <c r="R722" s="48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8" t="s">
        <v>399</v>
      </c>
      <c r="Q723" s="15">
        <f t="shared" si="169"/>
        <v>31</v>
      </c>
      <c r="R723" s="48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8" t="s">
        <v>399</v>
      </c>
      <c r="Q724" s="15">
        <f t="shared" si="169"/>
        <v>32</v>
      </c>
      <c r="R724" s="48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8" t="s">
        <v>399</v>
      </c>
      <c r="Q725" s="15">
        <f t="shared" si="169"/>
        <v>33</v>
      </c>
      <c r="R725" s="48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8" t="s">
        <v>399</v>
      </c>
      <c r="Q726" s="15">
        <f t="shared" si="169"/>
        <v>34</v>
      </c>
      <c r="R726" s="48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8" t="s">
        <v>399</v>
      </c>
      <c r="Q727" s="15">
        <f t="shared" si="169"/>
        <v>35</v>
      </c>
      <c r="R727" s="48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8" t="s">
        <v>399</v>
      </c>
      <c r="Q728" s="15">
        <f t="shared" si="169"/>
        <v>36</v>
      </c>
      <c r="R728" s="48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8" t="s">
        <v>399</v>
      </c>
      <c r="Q729" s="15">
        <f t="shared" si="169"/>
        <v>37</v>
      </c>
      <c r="R729" s="48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8" t="s">
        <v>399</v>
      </c>
      <c r="Q730" s="15">
        <f t="shared" si="169"/>
        <v>38</v>
      </c>
      <c r="R730" s="48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8" t="s">
        <v>399</v>
      </c>
      <c r="Q731" s="15">
        <f t="shared" si="169"/>
        <v>39</v>
      </c>
      <c r="R731" s="48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8" t="s">
        <v>399</v>
      </c>
      <c r="Q732" s="15">
        <f t="shared" si="169"/>
        <v>40</v>
      </c>
      <c r="R732" s="48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8" t="s">
        <v>399</v>
      </c>
      <c r="Q733" s="15">
        <f t="shared" si="169"/>
        <v>41</v>
      </c>
      <c r="R733" s="48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8" t="s">
        <v>399</v>
      </c>
      <c r="Q734" s="15">
        <f t="shared" si="169"/>
        <v>42</v>
      </c>
      <c r="R734" s="48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8" t="s">
        <v>399</v>
      </c>
      <c r="Q735" s="15">
        <f t="shared" si="169"/>
        <v>43</v>
      </c>
      <c r="R735" s="48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8" t="s">
        <v>399</v>
      </c>
      <c r="Q736" s="15">
        <f t="shared" si="169"/>
        <v>44</v>
      </c>
      <c r="R736" s="48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8" t="s">
        <v>399</v>
      </c>
      <c r="Q737" s="15">
        <f t="shared" si="169"/>
        <v>45</v>
      </c>
      <c r="R737" s="48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8" t="s">
        <v>399</v>
      </c>
      <c r="Q738" s="15">
        <f t="shared" si="169"/>
        <v>46</v>
      </c>
      <c r="R738" s="48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8" t="s">
        <v>399</v>
      </c>
      <c r="Q739" s="15">
        <f t="shared" si="169"/>
        <v>47</v>
      </c>
      <c r="R739" s="48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8" t="s">
        <v>399</v>
      </c>
      <c r="Q740" s="15">
        <f t="shared" si="169"/>
        <v>48</v>
      </c>
      <c r="R740" s="48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8" t="s">
        <v>399</v>
      </c>
      <c r="Q741" s="15">
        <f t="shared" si="169"/>
        <v>49</v>
      </c>
      <c r="R741" s="48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8" t="s">
        <v>399</v>
      </c>
      <c r="Q742" s="15">
        <f t="shared" si="169"/>
        <v>50</v>
      </c>
      <c r="R742" s="48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8" t="s">
        <v>399</v>
      </c>
      <c r="Q743" s="15">
        <f t="shared" si="169"/>
        <v>0</v>
      </c>
      <c r="R743" s="48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8" t="s">
        <v>399</v>
      </c>
      <c r="Q744" s="15">
        <f t="shared" si="169"/>
        <v>1</v>
      </c>
      <c r="R744" s="48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8" t="s">
        <v>399</v>
      </c>
      <c r="Q745" s="15">
        <f t="shared" si="169"/>
        <v>2</v>
      </c>
      <c r="R745" s="48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8" t="s">
        <v>399</v>
      </c>
      <c r="Q746" s="15">
        <f t="shared" si="169"/>
        <v>3</v>
      </c>
      <c r="R746" s="48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8" t="s">
        <v>399</v>
      </c>
      <c r="Q747" s="15">
        <f t="shared" si="169"/>
        <v>4</v>
      </c>
      <c r="R747" s="48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8" t="s">
        <v>399</v>
      </c>
      <c r="Q748" s="15">
        <f t="shared" si="169"/>
        <v>5</v>
      </c>
      <c r="R748" s="48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8" t="s">
        <v>399</v>
      </c>
      <c r="Q749" s="15">
        <f t="shared" si="169"/>
        <v>6</v>
      </c>
      <c r="R749" s="48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8" t="s">
        <v>399</v>
      </c>
      <c r="Q750" s="15">
        <f t="shared" si="169"/>
        <v>7</v>
      </c>
      <c r="R750" s="48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8" t="s">
        <v>399</v>
      </c>
      <c r="Q751" s="15">
        <f t="shared" si="169"/>
        <v>8</v>
      </c>
      <c r="R751" s="48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8" t="s">
        <v>399</v>
      </c>
      <c r="Q752" s="15">
        <f t="shared" si="169"/>
        <v>9</v>
      </c>
      <c r="R752" s="48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8" t="s">
        <v>399</v>
      </c>
      <c r="Q753" s="15">
        <f t="shared" si="169"/>
        <v>10</v>
      </c>
      <c r="R753" s="48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8" t="s">
        <v>399</v>
      </c>
      <c r="Q754" s="15">
        <f t="shared" si="169"/>
        <v>11</v>
      </c>
      <c r="R754" s="48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8" t="s">
        <v>399</v>
      </c>
      <c r="Q755" s="15">
        <f t="shared" si="169"/>
        <v>12</v>
      </c>
      <c r="R755" s="48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8" t="s">
        <v>399</v>
      </c>
      <c r="Q756" s="15">
        <f t="shared" si="169"/>
        <v>13</v>
      </c>
      <c r="R756" s="48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8" t="s">
        <v>399</v>
      </c>
      <c r="Q757" s="15">
        <f t="shared" si="169"/>
        <v>14</v>
      </c>
      <c r="R757" s="48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8" t="s">
        <v>399</v>
      </c>
      <c r="Q758" s="15">
        <f t="shared" si="169"/>
        <v>15</v>
      </c>
      <c r="R758" s="48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8" t="s">
        <v>399</v>
      </c>
      <c r="Q759" s="15">
        <f t="shared" si="169"/>
        <v>16</v>
      </c>
      <c r="R759" s="48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8" t="s">
        <v>399</v>
      </c>
      <c r="Q760" s="15">
        <f t="shared" si="169"/>
        <v>17</v>
      </c>
      <c r="R760" s="48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8" t="s">
        <v>399</v>
      </c>
      <c r="Q761" s="15">
        <f t="shared" si="169"/>
        <v>18</v>
      </c>
      <c r="R761" s="48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8" t="s">
        <v>399</v>
      </c>
      <c r="Q762" s="15">
        <f t="shared" si="169"/>
        <v>19</v>
      </c>
      <c r="R762" s="48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8" t="s">
        <v>399</v>
      </c>
      <c r="Q763" s="15">
        <f t="shared" si="169"/>
        <v>20</v>
      </c>
      <c r="R763" s="48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8" t="s">
        <v>399</v>
      </c>
      <c r="Q764" s="15">
        <f t="shared" si="169"/>
        <v>21</v>
      </c>
      <c r="R764" s="48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8" t="s">
        <v>399</v>
      </c>
      <c r="Q765" s="15">
        <f t="shared" si="169"/>
        <v>22</v>
      </c>
      <c r="R765" s="48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8" t="s">
        <v>399</v>
      </c>
      <c r="Q766" s="15">
        <f t="shared" si="169"/>
        <v>23</v>
      </c>
      <c r="R766" s="48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8" t="s">
        <v>399</v>
      </c>
      <c r="Q767" s="15">
        <f t="shared" si="169"/>
        <v>24</v>
      </c>
      <c r="R767" s="48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8" t="s">
        <v>399</v>
      </c>
      <c r="Q768" s="15">
        <f t="shared" si="169"/>
        <v>25</v>
      </c>
      <c r="R768" s="48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8" t="s">
        <v>399</v>
      </c>
      <c r="Q769" s="15">
        <f t="shared" si="169"/>
        <v>26</v>
      </c>
      <c r="R769" s="48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8" t="s">
        <v>399</v>
      </c>
      <c r="Q770" s="15">
        <f t="shared" si="169"/>
        <v>27</v>
      </c>
      <c r="R770" s="48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8" t="s">
        <v>399</v>
      </c>
      <c r="Q771" s="15">
        <f t="shared" si="169"/>
        <v>28</v>
      </c>
      <c r="R771" s="48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8" t="s">
        <v>399</v>
      </c>
      <c r="Q772" s="15">
        <f t="shared" si="169"/>
        <v>29</v>
      </c>
      <c r="R772" s="48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8" t="s">
        <v>399</v>
      </c>
      <c r="Q773" s="15">
        <f t="shared" si="169"/>
        <v>30</v>
      </c>
      <c r="R773" s="48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8" t="s">
        <v>399</v>
      </c>
      <c r="Q774" s="15">
        <f t="shared" si="169"/>
        <v>31</v>
      </c>
      <c r="R774" s="48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8" t="s">
        <v>399</v>
      </c>
      <c r="Q775" s="15">
        <f t="shared" si="169"/>
        <v>32</v>
      </c>
      <c r="R775" s="48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8" t="s">
        <v>399</v>
      </c>
      <c r="Q776" s="15">
        <f t="shared" si="169"/>
        <v>33</v>
      </c>
      <c r="R776" s="48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8" t="s">
        <v>399</v>
      </c>
      <c r="Q777" s="15">
        <f t="shared" si="169"/>
        <v>34</v>
      </c>
      <c r="R777" s="48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8" t="s">
        <v>399</v>
      </c>
      <c r="Q778" s="15">
        <f t="shared" si="169"/>
        <v>35</v>
      </c>
      <c r="R778" s="48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8" t="s">
        <v>399</v>
      </c>
      <c r="Q779" s="15">
        <f t="shared" si="169"/>
        <v>36</v>
      </c>
      <c r="R779" s="48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8" t="s">
        <v>399</v>
      </c>
      <c r="Q780" s="15">
        <f t="shared" si="169"/>
        <v>37</v>
      </c>
      <c r="R780" s="48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8" t="s">
        <v>399</v>
      </c>
      <c r="Q781" s="15">
        <f t="shared" si="169"/>
        <v>38</v>
      </c>
      <c r="R781" s="48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8" t="s">
        <v>399</v>
      </c>
      <c r="Q782" s="15">
        <f t="shared" si="169"/>
        <v>39</v>
      </c>
      <c r="R782" s="48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8" t="s">
        <v>399</v>
      </c>
      <c r="Q783" s="15">
        <f t="shared" si="169"/>
        <v>40</v>
      </c>
      <c r="R783" s="48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8" t="s">
        <v>399</v>
      </c>
      <c r="Q784" s="15">
        <f t="shared" si="169"/>
        <v>41</v>
      </c>
      <c r="R784" s="48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8" t="s">
        <v>399</v>
      </c>
      <c r="Q785" s="15">
        <f t="shared" ref="Q785:Q848" si="181">MOD(M785-1,51)</f>
        <v>42</v>
      </c>
      <c r="R785" s="48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8" t="s">
        <v>399</v>
      </c>
      <c r="Q786" s="15">
        <f t="shared" si="181"/>
        <v>43</v>
      </c>
      <c r="R786" s="48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8" t="s">
        <v>399</v>
      </c>
      <c r="Q787" s="15">
        <f t="shared" si="181"/>
        <v>44</v>
      </c>
      <c r="R787" s="48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8" t="s">
        <v>399</v>
      </c>
      <c r="Q788" s="15">
        <f t="shared" si="181"/>
        <v>45</v>
      </c>
      <c r="R788" s="48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8" t="s">
        <v>399</v>
      </c>
      <c r="Q789" s="15">
        <f t="shared" si="181"/>
        <v>46</v>
      </c>
      <c r="R789" s="48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8" t="s">
        <v>399</v>
      </c>
      <c r="Q790" s="15">
        <f t="shared" si="181"/>
        <v>47</v>
      </c>
      <c r="R790" s="48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8" t="s">
        <v>399</v>
      </c>
      <c r="Q791" s="15">
        <f t="shared" si="181"/>
        <v>48</v>
      </c>
      <c r="R791" s="48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8" t="s">
        <v>399</v>
      </c>
      <c r="Q792" s="15">
        <f t="shared" si="181"/>
        <v>49</v>
      </c>
      <c r="R792" s="48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8" t="s">
        <v>399</v>
      </c>
      <c r="Q793" s="15">
        <f t="shared" si="181"/>
        <v>50</v>
      </c>
      <c r="R793" s="48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8" t="s">
        <v>399</v>
      </c>
      <c r="Q794" s="15">
        <f t="shared" si="181"/>
        <v>0</v>
      </c>
      <c r="R794" s="48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8" t="s">
        <v>399</v>
      </c>
      <c r="Q795" s="15">
        <f t="shared" si="181"/>
        <v>1</v>
      </c>
      <c r="R795" s="48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8" t="s">
        <v>399</v>
      </c>
      <c r="Q796" s="15">
        <f t="shared" si="181"/>
        <v>2</v>
      </c>
      <c r="R796" s="48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8" t="s">
        <v>399</v>
      </c>
      <c r="Q797" s="15">
        <f t="shared" si="181"/>
        <v>3</v>
      </c>
      <c r="R797" s="48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8" t="s">
        <v>399</v>
      </c>
      <c r="Q798" s="15">
        <f t="shared" si="181"/>
        <v>4</v>
      </c>
      <c r="R798" s="48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8" t="s">
        <v>399</v>
      </c>
      <c r="Q799" s="15">
        <f t="shared" si="181"/>
        <v>5</v>
      </c>
      <c r="R799" s="48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8" t="s">
        <v>399</v>
      </c>
      <c r="Q800" s="15">
        <f t="shared" si="181"/>
        <v>6</v>
      </c>
      <c r="R800" s="48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8" t="s">
        <v>399</v>
      </c>
      <c r="Q801" s="15">
        <f t="shared" si="181"/>
        <v>7</v>
      </c>
      <c r="R801" s="48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8" t="s">
        <v>399</v>
      </c>
      <c r="Q802" s="15">
        <f t="shared" si="181"/>
        <v>8</v>
      </c>
      <c r="R802" s="48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8" t="s">
        <v>399</v>
      </c>
      <c r="Q803" s="15">
        <f t="shared" si="181"/>
        <v>9</v>
      </c>
      <c r="R803" s="48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8" t="s">
        <v>399</v>
      </c>
      <c r="Q804" s="15">
        <f t="shared" si="181"/>
        <v>10</v>
      </c>
      <c r="R804" s="48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8" t="s">
        <v>399</v>
      </c>
      <c r="Q805" s="15">
        <f t="shared" si="181"/>
        <v>11</v>
      </c>
      <c r="R805" s="48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8" t="s">
        <v>399</v>
      </c>
      <c r="Q806" s="15">
        <f t="shared" si="181"/>
        <v>12</v>
      </c>
      <c r="R806" s="48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8" t="s">
        <v>399</v>
      </c>
      <c r="Q807" s="15">
        <f t="shared" si="181"/>
        <v>13</v>
      </c>
      <c r="R807" s="48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8" t="s">
        <v>399</v>
      </c>
      <c r="Q808" s="15">
        <f t="shared" si="181"/>
        <v>14</v>
      </c>
      <c r="R808" s="48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8" t="s">
        <v>399</v>
      </c>
      <c r="Q809" s="15">
        <f t="shared" si="181"/>
        <v>15</v>
      </c>
      <c r="R809" s="48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8" t="s">
        <v>399</v>
      </c>
      <c r="Q810" s="15">
        <f t="shared" si="181"/>
        <v>16</v>
      </c>
      <c r="R810" s="48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8" t="s">
        <v>399</v>
      </c>
      <c r="Q811" s="15">
        <f t="shared" si="181"/>
        <v>17</v>
      </c>
      <c r="R811" s="48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8" t="s">
        <v>399</v>
      </c>
      <c r="Q812" s="15">
        <f t="shared" si="181"/>
        <v>18</v>
      </c>
      <c r="R812" s="48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8" t="s">
        <v>399</v>
      </c>
      <c r="Q813" s="15">
        <f t="shared" si="181"/>
        <v>19</v>
      </c>
      <c r="R813" s="48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8" t="s">
        <v>399</v>
      </c>
      <c r="Q814" s="15">
        <f t="shared" si="181"/>
        <v>20</v>
      </c>
      <c r="R814" s="48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8" t="s">
        <v>399</v>
      </c>
      <c r="Q815" s="15">
        <f t="shared" si="181"/>
        <v>21</v>
      </c>
      <c r="R815" s="48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8" t="s">
        <v>399</v>
      </c>
      <c r="Q816" s="15">
        <f t="shared" si="181"/>
        <v>22</v>
      </c>
      <c r="R816" s="48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8" t="s">
        <v>399</v>
      </c>
      <c r="Q817" s="15">
        <f t="shared" si="181"/>
        <v>23</v>
      </c>
      <c r="R817" s="48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8" t="s">
        <v>399</v>
      </c>
      <c r="Q818" s="15">
        <f t="shared" si="181"/>
        <v>24</v>
      </c>
      <c r="R818" s="48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8" t="s">
        <v>399</v>
      </c>
      <c r="Q819" s="15">
        <f t="shared" si="181"/>
        <v>25</v>
      </c>
      <c r="R819" s="48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8" t="s">
        <v>399</v>
      </c>
      <c r="Q820" s="15">
        <f t="shared" si="181"/>
        <v>26</v>
      </c>
      <c r="R820" s="48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8" t="s">
        <v>399</v>
      </c>
      <c r="Q821" s="15">
        <f t="shared" si="181"/>
        <v>27</v>
      </c>
      <c r="R821" s="48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8" t="s">
        <v>399</v>
      </c>
      <c r="Q822" s="15">
        <f t="shared" si="181"/>
        <v>28</v>
      </c>
      <c r="R822" s="48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8" t="s">
        <v>399</v>
      </c>
      <c r="Q823" s="15">
        <f t="shared" si="181"/>
        <v>29</v>
      </c>
      <c r="R823" s="48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8" t="s">
        <v>399</v>
      </c>
      <c r="Q824" s="15">
        <f t="shared" si="181"/>
        <v>30</v>
      </c>
      <c r="R824" s="48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8" t="s">
        <v>399</v>
      </c>
      <c r="Q825" s="15">
        <f t="shared" si="181"/>
        <v>31</v>
      </c>
      <c r="R825" s="48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8" t="s">
        <v>399</v>
      </c>
      <c r="Q826" s="15">
        <f t="shared" si="181"/>
        <v>32</v>
      </c>
      <c r="R826" s="48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8" t="s">
        <v>399</v>
      </c>
      <c r="Q827" s="15">
        <f t="shared" si="181"/>
        <v>33</v>
      </c>
      <c r="R827" s="48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8" t="s">
        <v>399</v>
      </c>
      <c r="Q828" s="15">
        <f t="shared" si="181"/>
        <v>34</v>
      </c>
      <c r="R828" s="48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8" t="s">
        <v>399</v>
      </c>
      <c r="Q829" s="15">
        <f t="shared" si="181"/>
        <v>35</v>
      </c>
      <c r="R829" s="48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8" t="s">
        <v>399</v>
      </c>
      <c r="Q830" s="15">
        <f t="shared" si="181"/>
        <v>36</v>
      </c>
      <c r="R830" s="48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8" t="s">
        <v>399</v>
      </c>
      <c r="Q831" s="15">
        <f t="shared" si="181"/>
        <v>37</v>
      </c>
      <c r="R831" s="48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8" t="s">
        <v>399</v>
      </c>
      <c r="Q832" s="15">
        <f t="shared" si="181"/>
        <v>38</v>
      </c>
      <c r="R832" s="48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8" t="s">
        <v>399</v>
      </c>
      <c r="Q833" s="15">
        <f t="shared" si="181"/>
        <v>39</v>
      </c>
      <c r="R833" s="48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8" t="s">
        <v>399</v>
      </c>
      <c r="Q834" s="15">
        <f t="shared" si="181"/>
        <v>40</v>
      </c>
      <c r="R834" s="48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8" t="s">
        <v>399</v>
      </c>
      <c r="Q835" s="15">
        <f t="shared" si="181"/>
        <v>41</v>
      </c>
      <c r="R835" s="48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8" t="s">
        <v>399</v>
      </c>
      <c r="Q836" s="15">
        <f t="shared" si="181"/>
        <v>42</v>
      </c>
      <c r="R836" s="48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8" t="s">
        <v>399</v>
      </c>
      <c r="Q837" s="15">
        <f t="shared" si="181"/>
        <v>43</v>
      </c>
      <c r="R837" s="48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8" t="s">
        <v>399</v>
      </c>
      <c r="Q838" s="15">
        <f t="shared" si="181"/>
        <v>44</v>
      </c>
      <c r="R838" s="48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8" t="s">
        <v>399</v>
      </c>
      <c r="Q839" s="15">
        <f t="shared" si="181"/>
        <v>45</v>
      </c>
      <c r="R839" s="48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8" t="s">
        <v>399</v>
      </c>
      <c r="Q840" s="15">
        <f t="shared" si="181"/>
        <v>46</v>
      </c>
      <c r="R840" s="48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8" t="s">
        <v>399</v>
      </c>
      <c r="Q841" s="15">
        <f t="shared" si="181"/>
        <v>47</v>
      </c>
      <c r="R841" s="48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8" t="s">
        <v>399</v>
      </c>
      <c r="Q842" s="15">
        <f t="shared" si="181"/>
        <v>48</v>
      </c>
      <c r="R842" s="48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8" t="s">
        <v>399</v>
      </c>
      <c r="Q843" s="15">
        <f t="shared" si="181"/>
        <v>49</v>
      </c>
      <c r="R843" s="48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8" t="s">
        <v>399</v>
      </c>
      <c r="Q844" s="15">
        <f t="shared" si="181"/>
        <v>50</v>
      </c>
      <c r="R844" s="48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8" t="s">
        <v>399</v>
      </c>
      <c r="Q845" s="15">
        <f t="shared" si="181"/>
        <v>0</v>
      </c>
      <c r="R845" s="48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8" t="s">
        <v>399</v>
      </c>
      <c r="Q846" s="15">
        <f t="shared" si="181"/>
        <v>1</v>
      </c>
      <c r="R846" s="48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8" t="s">
        <v>399</v>
      </c>
      <c r="Q847" s="15">
        <f t="shared" si="181"/>
        <v>2</v>
      </c>
      <c r="R847" s="48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8" t="s">
        <v>399</v>
      </c>
      <c r="Q848" s="15">
        <f t="shared" si="181"/>
        <v>3</v>
      </c>
      <c r="R848" s="48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8" t="s">
        <v>399</v>
      </c>
      <c r="Q849" s="15">
        <f t="shared" ref="Q849:Q912" si="193">MOD(M849-1,51)</f>
        <v>4</v>
      </c>
      <c r="R849" s="48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8" t="s">
        <v>399</v>
      </c>
      <c r="Q850" s="15">
        <f t="shared" si="193"/>
        <v>5</v>
      </c>
      <c r="R850" s="48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8" t="s">
        <v>399</v>
      </c>
      <c r="Q851" s="15">
        <f t="shared" si="193"/>
        <v>6</v>
      </c>
      <c r="R851" s="48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8" t="s">
        <v>399</v>
      </c>
      <c r="Q852" s="15">
        <f t="shared" si="193"/>
        <v>7</v>
      </c>
      <c r="R852" s="48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8" t="s">
        <v>399</v>
      </c>
      <c r="Q853" s="15">
        <f t="shared" si="193"/>
        <v>8</v>
      </c>
      <c r="R853" s="48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8" t="s">
        <v>399</v>
      </c>
      <c r="Q854" s="15">
        <f t="shared" si="193"/>
        <v>9</v>
      </c>
      <c r="R854" s="48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8" t="s">
        <v>399</v>
      </c>
      <c r="Q855" s="15">
        <f t="shared" si="193"/>
        <v>10</v>
      </c>
      <c r="R855" s="48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8" t="s">
        <v>399</v>
      </c>
      <c r="Q856" s="15">
        <f t="shared" si="193"/>
        <v>11</v>
      </c>
      <c r="R856" s="48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8" t="s">
        <v>399</v>
      </c>
      <c r="Q857" s="15">
        <f t="shared" si="193"/>
        <v>12</v>
      </c>
      <c r="R857" s="48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8" t="s">
        <v>399</v>
      </c>
      <c r="Q858" s="15">
        <f t="shared" si="193"/>
        <v>13</v>
      </c>
      <c r="R858" s="48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8" t="s">
        <v>399</v>
      </c>
      <c r="Q859" s="15">
        <f t="shared" si="193"/>
        <v>14</v>
      </c>
      <c r="R859" s="48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8" t="s">
        <v>399</v>
      </c>
      <c r="Q860" s="15">
        <f t="shared" si="193"/>
        <v>15</v>
      </c>
      <c r="R860" s="48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8" t="s">
        <v>399</v>
      </c>
      <c r="Q861" s="15">
        <f t="shared" si="193"/>
        <v>16</v>
      </c>
      <c r="R861" s="48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8" t="s">
        <v>399</v>
      </c>
      <c r="Q862" s="15">
        <f t="shared" si="193"/>
        <v>17</v>
      </c>
      <c r="R862" s="48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8" t="s">
        <v>399</v>
      </c>
      <c r="Q863" s="15">
        <f t="shared" si="193"/>
        <v>18</v>
      </c>
      <c r="R863" s="48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8" t="s">
        <v>399</v>
      </c>
      <c r="Q864" s="15">
        <f t="shared" si="193"/>
        <v>19</v>
      </c>
      <c r="R864" s="48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8" t="s">
        <v>399</v>
      </c>
      <c r="Q865" s="15">
        <f t="shared" si="193"/>
        <v>20</v>
      </c>
      <c r="R865" s="48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8" t="s">
        <v>399</v>
      </c>
      <c r="Q866" s="15">
        <f t="shared" si="193"/>
        <v>21</v>
      </c>
      <c r="R866" s="48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8" t="s">
        <v>399</v>
      </c>
      <c r="Q867" s="15">
        <f t="shared" si="193"/>
        <v>22</v>
      </c>
      <c r="R867" s="48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8" t="s">
        <v>399</v>
      </c>
      <c r="Q868" s="15">
        <f t="shared" si="193"/>
        <v>23</v>
      </c>
      <c r="R868" s="48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8" t="s">
        <v>399</v>
      </c>
      <c r="Q869" s="15">
        <f t="shared" si="193"/>
        <v>24</v>
      </c>
      <c r="R869" s="48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8" t="s">
        <v>399</v>
      </c>
      <c r="Q870" s="15">
        <f t="shared" si="193"/>
        <v>25</v>
      </c>
      <c r="R870" s="48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8" t="s">
        <v>399</v>
      </c>
      <c r="Q871" s="15">
        <f t="shared" si="193"/>
        <v>26</v>
      </c>
      <c r="R871" s="48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8" t="s">
        <v>399</v>
      </c>
      <c r="Q872" s="15">
        <f t="shared" si="193"/>
        <v>27</v>
      </c>
      <c r="R872" s="48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8" t="s">
        <v>399</v>
      </c>
      <c r="Q873" s="15">
        <f t="shared" si="193"/>
        <v>28</v>
      </c>
      <c r="R873" s="48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8" t="s">
        <v>399</v>
      </c>
      <c r="Q874" s="15">
        <f t="shared" si="193"/>
        <v>29</v>
      </c>
      <c r="R874" s="48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8" t="s">
        <v>399</v>
      </c>
      <c r="Q875" s="15">
        <f t="shared" si="193"/>
        <v>30</v>
      </c>
      <c r="R875" s="48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8" t="s">
        <v>399</v>
      </c>
      <c r="Q876" s="15">
        <f t="shared" si="193"/>
        <v>31</v>
      </c>
      <c r="R876" s="48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8" t="s">
        <v>399</v>
      </c>
      <c r="Q877" s="15">
        <f t="shared" si="193"/>
        <v>32</v>
      </c>
      <c r="R877" s="48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8" t="s">
        <v>399</v>
      </c>
      <c r="Q878" s="15">
        <f t="shared" si="193"/>
        <v>33</v>
      </c>
      <c r="R878" s="48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8" t="s">
        <v>399</v>
      </c>
      <c r="Q879" s="15">
        <f t="shared" si="193"/>
        <v>34</v>
      </c>
      <c r="R879" s="48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8" t="s">
        <v>399</v>
      </c>
      <c r="Q880" s="15">
        <f t="shared" si="193"/>
        <v>35</v>
      </c>
      <c r="R880" s="48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8" t="s">
        <v>399</v>
      </c>
      <c r="Q881" s="15">
        <f t="shared" si="193"/>
        <v>36</v>
      </c>
      <c r="R881" s="48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8" t="s">
        <v>399</v>
      </c>
      <c r="Q882" s="15">
        <f t="shared" si="193"/>
        <v>37</v>
      </c>
      <c r="R882" s="48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8" t="s">
        <v>399</v>
      </c>
      <c r="Q883" s="15">
        <f t="shared" si="193"/>
        <v>38</v>
      </c>
      <c r="R883" s="48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8" t="s">
        <v>399</v>
      </c>
      <c r="Q884" s="15">
        <f t="shared" si="193"/>
        <v>39</v>
      </c>
      <c r="R884" s="48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8" t="s">
        <v>399</v>
      </c>
      <c r="Q885" s="15">
        <f t="shared" si="193"/>
        <v>40</v>
      </c>
      <c r="R885" s="48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8" t="s">
        <v>399</v>
      </c>
      <c r="Q886" s="15">
        <f t="shared" si="193"/>
        <v>41</v>
      </c>
      <c r="R886" s="48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8" t="s">
        <v>399</v>
      </c>
      <c r="Q887" s="15">
        <f t="shared" si="193"/>
        <v>42</v>
      </c>
      <c r="R887" s="48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8" t="s">
        <v>399</v>
      </c>
      <c r="Q888" s="15">
        <f t="shared" si="193"/>
        <v>43</v>
      </c>
      <c r="R888" s="48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8" t="s">
        <v>399</v>
      </c>
      <c r="Q889" s="15">
        <f t="shared" si="193"/>
        <v>44</v>
      </c>
      <c r="R889" s="48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8" t="s">
        <v>399</v>
      </c>
      <c r="Q890" s="15">
        <f t="shared" si="193"/>
        <v>45</v>
      </c>
      <c r="R890" s="48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8" t="s">
        <v>399</v>
      </c>
      <c r="Q891" s="15">
        <f t="shared" si="193"/>
        <v>46</v>
      </c>
      <c r="R891" s="48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8" t="s">
        <v>399</v>
      </c>
      <c r="Q892" s="15">
        <f t="shared" si="193"/>
        <v>47</v>
      </c>
      <c r="R892" s="48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8" t="s">
        <v>399</v>
      </c>
      <c r="Q893" s="15">
        <f t="shared" si="193"/>
        <v>48</v>
      </c>
      <c r="R893" s="48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8" t="s">
        <v>399</v>
      </c>
      <c r="Q894" s="15">
        <f t="shared" si="193"/>
        <v>49</v>
      </c>
      <c r="R894" s="48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8" t="s">
        <v>399</v>
      </c>
      <c r="Q895" s="15">
        <f t="shared" si="193"/>
        <v>50</v>
      </c>
      <c r="R895" s="48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8" t="s">
        <v>399</v>
      </c>
      <c r="Q896" s="15">
        <f t="shared" si="193"/>
        <v>0</v>
      </c>
      <c r="R896" s="48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8" t="s">
        <v>399</v>
      </c>
      <c r="Q897" s="15">
        <f t="shared" si="193"/>
        <v>1</v>
      </c>
      <c r="R897" s="48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8" t="s">
        <v>399</v>
      </c>
      <c r="Q898" s="15">
        <f t="shared" si="193"/>
        <v>2</v>
      </c>
      <c r="R898" s="48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8" t="s">
        <v>399</v>
      </c>
      <c r="Q899" s="15">
        <f t="shared" si="193"/>
        <v>3</v>
      </c>
      <c r="R899" s="48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8" t="s">
        <v>399</v>
      </c>
      <c r="Q900" s="15">
        <f t="shared" si="193"/>
        <v>4</v>
      </c>
      <c r="R900" s="48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8" t="s">
        <v>399</v>
      </c>
      <c r="Q901" s="15">
        <f t="shared" si="193"/>
        <v>5</v>
      </c>
      <c r="R901" s="48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8" t="s">
        <v>399</v>
      </c>
      <c r="Q902" s="15">
        <f t="shared" si="193"/>
        <v>6</v>
      </c>
      <c r="R902" s="48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8" t="s">
        <v>399</v>
      </c>
      <c r="Q903" s="15">
        <f t="shared" si="193"/>
        <v>7</v>
      </c>
      <c r="R903" s="48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8" t="s">
        <v>399</v>
      </c>
      <c r="Q904" s="15">
        <f t="shared" si="193"/>
        <v>8</v>
      </c>
      <c r="R904" s="48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8" t="s">
        <v>399</v>
      </c>
      <c r="Q905" s="15">
        <f t="shared" si="193"/>
        <v>9</v>
      </c>
      <c r="R905" s="48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8" t="s">
        <v>399</v>
      </c>
      <c r="Q906" s="15">
        <f t="shared" si="193"/>
        <v>10</v>
      </c>
      <c r="R906" s="48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8" t="s">
        <v>399</v>
      </c>
      <c r="Q907" s="15">
        <f t="shared" si="193"/>
        <v>11</v>
      </c>
      <c r="R907" s="48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8" t="s">
        <v>399</v>
      </c>
      <c r="Q908" s="15">
        <f t="shared" si="193"/>
        <v>12</v>
      </c>
      <c r="R908" s="48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8" t="s">
        <v>399</v>
      </c>
      <c r="Q909" s="15">
        <f t="shared" si="193"/>
        <v>13</v>
      </c>
      <c r="R909" s="48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8" t="s">
        <v>399</v>
      </c>
      <c r="Q910" s="15">
        <f t="shared" si="193"/>
        <v>14</v>
      </c>
      <c r="R910" s="48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8" t="s">
        <v>399</v>
      </c>
      <c r="Q911" s="15">
        <f t="shared" si="193"/>
        <v>15</v>
      </c>
      <c r="R911" s="48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8" t="s">
        <v>399</v>
      </c>
      <c r="Q912" s="15">
        <f t="shared" si="193"/>
        <v>16</v>
      </c>
      <c r="R912" s="48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8" t="s">
        <v>399</v>
      </c>
      <c r="Q913" s="15">
        <f t="shared" ref="Q913:Q976" si="205">MOD(M913-1,51)</f>
        <v>17</v>
      </c>
      <c r="R913" s="48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8" t="s">
        <v>399</v>
      </c>
      <c r="Q914" s="15">
        <f t="shared" si="205"/>
        <v>18</v>
      </c>
      <c r="R914" s="48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8" t="s">
        <v>399</v>
      </c>
      <c r="Q915" s="15">
        <f t="shared" si="205"/>
        <v>19</v>
      </c>
      <c r="R915" s="48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8" t="s">
        <v>399</v>
      </c>
      <c r="Q916" s="15">
        <f t="shared" si="205"/>
        <v>20</v>
      </c>
      <c r="R916" s="48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8" t="s">
        <v>399</v>
      </c>
      <c r="Q917" s="15">
        <f t="shared" si="205"/>
        <v>21</v>
      </c>
      <c r="R917" s="48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8" t="s">
        <v>399</v>
      </c>
      <c r="Q918" s="15">
        <f t="shared" si="205"/>
        <v>22</v>
      </c>
      <c r="R918" s="48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8" t="s">
        <v>399</v>
      </c>
      <c r="Q919" s="15">
        <f t="shared" si="205"/>
        <v>23</v>
      </c>
      <c r="R919" s="48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8" t="s">
        <v>399</v>
      </c>
      <c r="Q920" s="15">
        <f t="shared" si="205"/>
        <v>24</v>
      </c>
      <c r="R920" s="48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8" t="s">
        <v>399</v>
      </c>
      <c r="Q921" s="15">
        <f t="shared" si="205"/>
        <v>25</v>
      </c>
      <c r="R921" s="48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8" t="s">
        <v>399</v>
      </c>
      <c r="Q922" s="15">
        <f t="shared" si="205"/>
        <v>26</v>
      </c>
      <c r="R922" s="48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8" t="s">
        <v>399</v>
      </c>
      <c r="Q923" s="15">
        <f t="shared" si="205"/>
        <v>27</v>
      </c>
      <c r="R923" s="48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8" t="s">
        <v>399</v>
      </c>
      <c r="Q924" s="15">
        <f t="shared" si="205"/>
        <v>28</v>
      </c>
      <c r="R924" s="48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8" t="s">
        <v>399</v>
      </c>
      <c r="Q925" s="15">
        <f t="shared" si="205"/>
        <v>29</v>
      </c>
      <c r="R925" s="48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8" t="s">
        <v>399</v>
      </c>
      <c r="Q926" s="15">
        <f t="shared" si="205"/>
        <v>30</v>
      </c>
      <c r="R926" s="48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8" t="s">
        <v>399</v>
      </c>
      <c r="Q927" s="15">
        <f t="shared" si="205"/>
        <v>31</v>
      </c>
      <c r="R927" s="48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8" t="s">
        <v>399</v>
      </c>
      <c r="Q928" s="15">
        <f t="shared" si="205"/>
        <v>32</v>
      </c>
      <c r="R928" s="48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8" t="s">
        <v>399</v>
      </c>
      <c r="Q929" s="15">
        <f t="shared" si="205"/>
        <v>33</v>
      </c>
      <c r="R929" s="48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8" t="s">
        <v>399</v>
      </c>
      <c r="Q930" s="15">
        <f t="shared" si="205"/>
        <v>34</v>
      </c>
      <c r="R930" s="48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8" t="s">
        <v>399</v>
      </c>
      <c r="Q931" s="15">
        <f t="shared" si="205"/>
        <v>35</v>
      </c>
      <c r="R931" s="48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8" t="s">
        <v>399</v>
      </c>
      <c r="Q932" s="15">
        <f t="shared" si="205"/>
        <v>36</v>
      </c>
      <c r="R932" s="48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8" t="s">
        <v>399</v>
      </c>
      <c r="Q933" s="15">
        <f t="shared" si="205"/>
        <v>37</v>
      </c>
      <c r="R933" s="48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8" t="s">
        <v>399</v>
      </c>
      <c r="Q934" s="15">
        <f t="shared" si="205"/>
        <v>38</v>
      </c>
      <c r="R934" s="48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8" t="s">
        <v>399</v>
      </c>
      <c r="Q935" s="15">
        <f t="shared" si="205"/>
        <v>39</v>
      </c>
      <c r="R935" s="48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8" t="s">
        <v>399</v>
      </c>
      <c r="Q936" s="15">
        <f t="shared" si="205"/>
        <v>40</v>
      </c>
      <c r="R936" s="48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8" t="s">
        <v>399</v>
      </c>
      <c r="Q937" s="15">
        <f t="shared" si="205"/>
        <v>41</v>
      </c>
      <c r="R937" s="48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8" t="s">
        <v>399</v>
      </c>
      <c r="Q938" s="15">
        <f t="shared" si="205"/>
        <v>42</v>
      </c>
      <c r="R938" s="48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8" t="s">
        <v>399</v>
      </c>
      <c r="Q939" s="15">
        <f t="shared" si="205"/>
        <v>43</v>
      </c>
      <c r="R939" s="48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8" t="s">
        <v>399</v>
      </c>
      <c r="Q940" s="15">
        <f t="shared" si="205"/>
        <v>44</v>
      </c>
      <c r="R940" s="48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8" t="s">
        <v>399</v>
      </c>
      <c r="Q941" s="15">
        <f t="shared" si="205"/>
        <v>45</v>
      </c>
      <c r="R941" s="48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8" t="s">
        <v>399</v>
      </c>
      <c r="Q942" s="15">
        <f t="shared" si="205"/>
        <v>46</v>
      </c>
      <c r="R942" s="48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8" t="s">
        <v>399</v>
      </c>
      <c r="Q943" s="15">
        <f t="shared" si="205"/>
        <v>47</v>
      </c>
      <c r="R943" s="48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8" t="s">
        <v>399</v>
      </c>
      <c r="Q944" s="15">
        <f t="shared" si="205"/>
        <v>48</v>
      </c>
      <c r="R944" s="48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8" t="s">
        <v>399</v>
      </c>
      <c r="Q945" s="15">
        <f t="shared" si="205"/>
        <v>49</v>
      </c>
      <c r="R945" s="48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8" t="s">
        <v>399</v>
      </c>
      <c r="Q946" s="15">
        <f t="shared" si="205"/>
        <v>50</v>
      </c>
      <c r="R946" s="48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8" t="s">
        <v>399</v>
      </c>
      <c r="Q947" s="15">
        <f t="shared" si="205"/>
        <v>0</v>
      </c>
      <c r="R947" s="48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8" t="s">
        <v>399</v>
      </c>
      <c r="Q948" s="15">
        <f t="shared" si="205"/>
        <v>1</v>
      </c>
      <c r="R948" s="48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8" t="s">
        <v>399</v>
      </c>
      <c r="Q949" s="15">
        <f t="shared" si="205"/>
        <v>2</v>
      </c>
      <c r="R949" s="48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8" t="s">
        <v>399</v>
      </c>
      <c r="Q950" s="15">
        <f t="shared" si="205"/>
        <v>3</v>
      </c>
      <c r="R950" s="48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8" t="s">
        <v>399</v>
      </c>
      <c r="Q951" s="15">
        <f t="shared" si="205"/>
        <v>4</v>
      </c>
      <c r="R951" s="48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8" t="s">
        <v>399</v>
      </c>
      <c r="Q952" s="15">
        <f t="shared" si="205"/>
        <v>5</v>
      </c>
      <c r="R952" s="48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8" t="s">
        <v>399</v>
      </c>
      <c r="Q953" s="15">
        <f t="shared" si="205"/>
        <v>6</v>
      </c>
      <c r="R953" s="48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8" t="s">
        <v>399</v>
      </c>
      <c r="Q954" s="15">
        <f t="shared" si="205"/>
        <v>7</v>
      </c>
      <c r="R954" s="48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8" t="s">
        <v>399</v>
      </c>
      <c r="Q955" s="15">
        <f t="shared" si="205"/>
        <v>8</v>
      </c>
      <c r="R955" s="48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8" t="s">
        <v>399</v>
      </c>
      <c r="Q956" s="15">
        <f t="shared" si="205"/>
        <v>9</v>
      </c>
      <c r="R956" s="48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8" t="s">
        <v>399</v>
      </c>
      <c r="Q957" s="15">
        <f t="shared" si="205"/>
        <v>10</v>
      </c>
      <c r="R957" s="48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8" t="s">
        <v>399</v>
      </c>
      <c r="Q958" s="15">
        <f t="shared" si="205"/>
        <v>11</v>
      </c>
      <c r="R958" s="48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8" t="s">
        <v>399</v>
      </c>
      <c r="Q959" s="15">
        <f t="shared" si="205"/>
        <v>12</v>
      </c>
      <c r="R959" s="48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8" t="s">
        <v>399</v>
      </c>
      <c r="Q960" s="15">
        <f t="shared" si="205"/>
        <v>13</v>
      </c>
      <c r="R960" s="48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8" t="s">
        <v>399</v>
      </c>
      <c r="Q961" s="15">
        <f t="shared" si="205"/>
        <v>14</v>
      </c>
      <c r="R961" s="48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8" t="s">
        <v>399</v>
      </c>
      <c r="Q962" s="15">
        <f t="shared" si="205"/>
        <v>15</v>
      </c>
      <c r="R962" s="48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8" t="s">
        <v>399</v>
      </c>
      <c r="Q963" s="15">
        <f t="shared" si="205"/>
        <v>16</v>
      </c>
      <c r="R963" s="48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8" t="s">
        <v>399</v>
      </c>
      <c r="Q964" s="15">
        <f t="shared" si="205"/>
        <v>17</v>
      </c>
      <c r="R964" s="48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8" t="s">
        <v>399</v>
      </c>
      <c r="Q965" s="15">
        <f t="shared" si="205"/>
        <v>18</v>
      </c>
      <c r="R965" s="48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8" t="s">
        <v>399</v>
      </c>
      <c r="Q966" s="15">
        <f t="shared" si="205"/>
        <v>19</v>
      </c>
      <c r="R966" s="48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8" t="s">
        <v>399</v>
      </c>
      <c r="Q967" s="15">
        <f t="shared" si="205"/>
        <v>20</v>
      </c>
      <c r="R967" s="48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8" t="s">
        <v>399</v>
      </c>
      <c r="Q968" s="15">
        <f t="shared" si="205"/>
        <v>21</v>
      </c>
      <c r="R968" s="48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8" t="s">
        <v>399</v>
      </c>
      <c r="Q969" s="15">
        <f t="shared" si="205"/>
        <v>22</v>
      </c>
      <c r="R969" s="48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8" t="s">
        <v>399</v>
      </c>
      <c r="Q970" s="15">
        <f t="shared" si="205"/>
        <v>23</v>
      </c>
      <c r="R970" s="48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8" t="s">
        <v>399</v>
      </c>
      <c r="Q971" s="15">
        <f t="shared" si="205"/>
        <v>24</v>
      </c>
      <c r="R971" s="48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8" t="s">
        <v>399</v>
      </c>
      <c r="Q972" s="15">
        <f t="shared" si="205"/>
        <v>25</v>
      </c>
      <c r="R972" s="48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8" t="s">
        <v>399</v>
      </c>
      <c r="Q973" s="15">
        <f t="shared" si="205"/>
        <v>26</v>
      </c>
      <c r="R973" s="48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8" t="s">
        <v>399</v>
      </c>
      <c r="Q974" s="15">
        <f t="shared" si="205"/>
        <v>27</v>
      </c>
      <c r="R974" s="48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8" t="s">
        <v>399</v>
      </c>
      <c r="Q975" s="15">
        <f t="shared" si="205"/>
        <v>28</v>
      </c>
      <c r="R975" s="48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8" t="s">
        <v>399</v>
      </c>
      <c r="Q976" s="15">
        <f t="shared" si="205"/>
        <v>29</v>
      </c>
      <c r="R976" s="48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8" t="s">
        <v>399</v>
      </c>
      <c r="Q977" s="15">
        <f t="shared" ref="Q977:Q1040" si="217">MOD(M977-1,51)</f>
        <v>30</v>
      </c>
      <c r="R977" s="48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8" t="s">
        <v>399</v>
      </c>
      <c r="Q978" s="15">
        <f t="shared" si="217"/>
        <v>31</v>
      </c>
      <c r="R978" s="48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8" t="s">
        <v>399</v>
      </c>
      <c r="Q979" s="15">
        <f t="shared" si="217"/>
        <v>32</v>
      </c>
      <c r="R979" s="48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8" t="s">
        <v>399</v>
      </c>
      <c r="Q980" s="15">
        <f t="shared" si="217"/>
        <v>33</v>
      </c>
      <c r="R980" s="48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8" t="s">
        <v>399</v>
      </c>
      <c r="Q981" s="15">
        <f t="shared" si="217"/>
        <v>34</v>
      </c>
      <c r="R981" s="48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8" t="s">
        <v>399</v>
      </c>
      <c r="Q982" s="15">
        <f t="shared" si="217"/>
        <v>35</v>
      </c>
      <c r="R982" s="48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8" t="s">
        <v>399</v>
      </c>
      <c r="Q983" s="15">
        <f t="shared" si="217"/>
        <v>36</v>
      </c>
      <c r="R983" s="48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8" t="s">
        <v>399</v>
      </c>
      <c r="Q984" s="15">
        <f t="shared" si="217"/>
        <v>37</v>
      </c>
      <c r="R984" s="48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8" t="s">
        <v>399</v>
      </c>
      <c r="Q985" s="15">
        <f t="shared" si="217"/>
        <v>38</v>
      </c>
      <c r="R985" s="48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8" t="s">
        <v>399</v>
      </c>
      <c r="Q986" s="15">
        <f t="shared" si="217"/>
        <v>39</v>
      </c>
      <c r="R986" s="48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8" t="s">
        <v>399</v>
      </c>
      <c r="Q987" s="15">
        <f t="shared" si="217"/>
        <v>40</v>
      </c>
      <c r="R987" s="48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8" t="s">
        <v>399</v>
      </c>
      <c r="Q988" s="15">
        <f t="shared" si="217"/>
        <v>41</v>
      </c>
      <c r="R988" s="48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8" t="s">
        <v>399</v>
      </c>
      <c r="Q989" s="15">
        <f t="shared" si="217"/>
        <v>42</v>
      </c>
      <c r="R989" s="48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8" t="s">
        <v>399</v>
      </c>
      <c r="Q990" s="15">
        <f t="shared" si="217"/>
        <v>43</v>
      </c>
      <c r="R990" s="48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8" t="s">
        <v>399</v>
      </c>
      <c r="Q991" s="15">
        <f t="shared" si="217"/>
        <v>44</v>
      </c>
      <c r="R991" s="48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8" t="s">
        <v>399</v>
      </c>
      <c r="Q992" s="15">
        <f t="shared" si="217"/>
        <v>45</v>
      </c>
      <c r="R992" s="48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8" t="s">
        <v>399</v>
      </c>
      <c r="Q993" s="15">
        <f t="shared" si="217"/>
        <v>46</v>
      </c>
      <c r="R993" s="48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8" t="s">
        <v>399</v>
      </c>
      <c r="Q994" s="15">
        <f t="shared" si="217"/>
        <v>47</v>
      </c>
      <c r="R994" s="48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8" t="s">
        <v>399</v>
      </c>
      <c r="Q995" s="15">
        <f t="shared" si="217"/>
        <v>48</v>
      </c>
      <c r="R995" s="48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8" t="s">
        <v>399</v>
      </c>
      <c r="Q996" s="15">
        <f t="shared" si="217"/>
        <v>49</v>
      </c>
      <c r="R996" s="48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8" t="s">
        <v>399</v>
      </c>
      <c r="Q997" s="15">
        <f t="shared" si="217"/>
        <v>50</v>
      </c>
      <c r="R997" s="48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8" t="s">
        <v>399</v>
      </c>
      <c r="Q998" s="15">
        <f t="shared" si="217"/>
        <v>0</v>
      </c>
      <c r="R998" s="48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8" t="s">
        <v>399</v>
      </c>
      <c r="Q999" s="15">
        <f t="shared" si="217"/>
        <v>1</v>
      </c>
      <c r="R999" s="48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8" t="s">
        <v>399</v>
      </c>
      <c r="Q1000" s="15">
        <f t="shared" si="217"/>
        <v>2</v>
      </c>
      <c r="R1000" s="48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8" t="s">
        <v>399</v>
      </c>
      <c r="Q1001" s="15">
        <f t="shared" si="217"/>
        <v>3</v>
      </c>
      <c r="R1001" s="48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8" t="s">
        <v>399</v>
      </c>
      <c r="Q1002" s="15">
        <f t="shared" si="217"/>
        <v>4</v>
      </c>
      <c r="R1002" s="48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8" t="s">
        <v>399</v>
      </c>
      <c r="Q1003" s="15">
        <f t="shared" si="217"/>
        <v>5</v>
      </c>
      <c r="R1003" s="48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8" t="s">
        <v>399</v>
      </c>
      <c r="Q1004" s="15">
        <f t="shared" si="217"/>
        <v>6</v>
      </c>
      <c r="R1004" s="48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8" t="s">
        <v>399</v>
      </c>
      <c r="Q1005" s="15">
        <f t="shared" si="217"/>
        <v>7</v>
      </c>
      <c r="R1005" s="48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8" t="s">
        <v>399</v>
      </c>
      <c r="Q1006" s="15">
        <f t="shared" si="217"/>
        <v>8</v>
      </c>
      <c r="R1006" s="48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8" t="s">
        <v>399</v>
      </c>
      <c r="Q1007" s="15">
        <f t="shared" si="217"/>
        <v>9</v>
      </c>
      <c r="R1007" s="48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8" t="s">
        <v>399</v>
      </c>
      <c r="Q1008" s="15">
        <f t="shared" si="217"/>
        <v>10</v>
      </c>
      <c r="R1008" s="48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8" t="s">
        <v>399</v>
      </c>
      <c r="Q1009" s="15">
        <f t="shared" si="217"/>
        <v>11</v>
      </c>
      <c r="R1009" s="48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8" t="s">
        <v>399</v>
      </c>
      <c r="Q1010" s="15">
        <f t="shared" si="217"/>
        <v>12</v>
      </c>
      <c r="R1010" s="48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8" t="s">
        <v>399</v>
      </c>
      <c r="Q1011" s="15">
        <f t="shared" si="217"/>
        <v>13</v>
      </c>
      <c r="R1011" s="48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8" t="s">
        <v>399</v>
      </c>
      <c r="Q1012" s="15">
        <f t="shared" si="217"/>
        <v>14</v>
      </c>
      <c r="R1012" s="48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8" t="s">
        <v>399</v>
      </c>
      <c r="Q1013" s="15">
        <f t="shared" si="217"/>
        <v>15</v>
      </c>
      <c r="R1013" s="48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8" t="s">
        <v>399</v>
      </c>
      <c r="Q1014" s="15">
        <f t="shared" si="217"/>
        <v>16</v>
      </c>
      <c r="R1014" s="48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8" t="s">
        <v>399</v>
      </c>
      <c r="Q1015" s="15">
        <f t="shared" si="217"/>
        <v>17</v>
      </c>
      <c r="R1015" s="48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8" t="s">
        <v>399</v>
      </c>
      <c r="Q1016" s="15">
        <f t="shared" si="217"/>
        <v>18</v>
      </c>
      <c r="R1016" s="48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8" t="s">
        <v>399</v>
      </c>
      <c r="Q1017" s="15">
        <f t="shared" si="217"/>
        <v>19</v>
      </c>
      <c r="R1017" s="48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8" t="s">
        <v>399</v>
      </c>
      <c r="Q1018" s="15">
        <f t="shared" si="217"/>
        <v>20</v>
      </c>
      <c r="R1018" s="48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8" t="s">
        <v>399</v>
      </c>
      <c r="Q1019" s="15">
        <f t="shared" si="217"/>
        <v>21</v>
      </c>
      <c r="R1019" s="48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8" t="s">
        <v>399</v>
      </c>
      <c r="Q1020" s="15">
        <f t="shared" si="217"/>
        <v>22</v>
      </c>
      <c r="R1020" s="48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8" t="s">
        <v>399</v>
      </c>
      <c r="Q1021" s="15">
        <f t="shared" si="217"/>
        <v>23</v>
      </c>
      <c r="R1021" s="48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8" t="s">
        <v>399</v>
      </c>
      <c r="Q1022" s="15">
        <f t="shared" si="217"/>
        <v>24</v>
      </c>
      <c r="R1022" s="48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8" t="s">
        <v>399</v>
      </c>
      <c r="Q1023" s="15">
        <f t="shared" si="217"/>
        <v>25</v>
      </c>
      <c r="R1023" s="48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8" t="s">
        <v>399</v>
      </c>
      <c r="Q1024" s="15">
        <f t="shared" si="217"/>
        <v>26</v>
      </c>
      <c r="R1024" s="48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8" t="s">
        <v>399</v>
      </c>
      <c r="Q1025" s="15">
        <f t="shared" si="217"/>
        <v>27</v>
      </c>
      <c r="R1025" s="48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8" t="s">
        <v>399</v>
      </c>
      <c r="Q1026" s="15">
        <f t="shared" si="217"/>
        <v>28</v>
      </c>
      <c r="R1026" s="48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8" t="s">
        <v>399</v>
      </c>
      <c r="Q1027" s="15">
        <f t="shared" si="217"/>
        <v>29</v>
      </c>
      <c r="R1027" s="48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8" t="s">
        <v>399</v>
      </c>
      <c r="Q1028" s="15">
        <f t="shared" si="217"/>
        <v>30</v>
      </c>
      <c r="R1028" s="48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8" t="s">
        <v>399</v>
      </c>
      <c r="Q1029" s="15">
        <f t="shared" si="217"/>
        <v>31</v>
      </c>
      <c r="R1029" s="48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8" t="s">
        <v>399</v>
      </c>
      <c r="Q1030" s="15">
        <f t="shared" si="217"/>
        <v>32</v>
      </c>
      <c r="R1030" s="48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8" t="s">
        <v>399</v>
      </c>
      <c r="Q1031" s="15">
        <f t="shared" si="217"/>
        <v>33</v>
      </c>
      <c r="R1031" s="48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8" t="s">
        <v>399</v>
      </c>
      <c r="Q1032" s="15">
        <f t="shared" si="217"/>
        <v>34</v>
      </c>
      <c r="R1032" s="48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8" t="s">
        <v>399</v>
      </c>
      <c r="Q1033" s="15">
        <f t="shared" si="217"/>
        <v>35</v>
      </c>
      <c r="R1033" s="48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8" t="s">
        <v>399</v>
      </c>
      <c r="Q1034" s="15">
        <f t="shared" si="217"/>
        <v>36</v>
      </c>
      <c r="R1034" s="48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8" t="s">
        <v>399</v>
      </c>
      <c r="Q1035" s="15">
        <f t="shared" si="217"/>
        <v>37</v>
      </c>
      <c r="R1035" s="48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8" t="s">
        <v>399</v>
      </c>
      <c r="Q1036" s="15">
        <f t="shared" si="217"/>
        <v>38</v>
      </c>
      <c r="R1036" s="48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8" t="s">
        <v>399</v>
      </c>
      <c r="Q1037" s="15">
        <f t="shared" si="217"/>
        <v>39</v>
      </c>
      <c r="R1037" s="48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8" t="s">
        <v>399</v>
      </c>
      <c r="Q1038" s="15">
        <f t="shared" si="217"/>
        <v>40</v>
      </c>
      <c r="R1038" s="48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8" t="s">
        <v>399</v>
      </c>
      <c r="Q1039" s="15">
        <f t="shared" si="217"/>
        <v>41</v>
      </c>
      <c r="R1039" s="48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8" t="s">
        <v>399</v>
      </c>
      <c r="Q1040" s="15">
        <f t="shared" si="217"/>
        <v>42</v>
      </c>
      <c r="R1040" s="48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8" t="s">
        <v>399</v>
      </c>
      <c r="Q1041" s="15">
        <f t="shared" ref="Q1041:Q1079" si="229">MOD(M1041-1,51)</f>
        <v>43</v>
      </c>
      <c r="R1041" s="48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8" t="s">
        <v>399</v>
      </c>
      <c r="Q1042" s="15">
        <f t="shared" si="229"/>
        <v>44</v>
      </c>
      <c r="R1042" s="48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8" t="s">
        <v>399</v>
      </c>
      <c r="Q1043" s="15">
        <f t="shared" si="229"/>
        <v>45</v>
      </c>
      <c r="R1043" s="48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8" t="s">
        <v>399</v>
      </c>
      <c r="Q1044" s="15">
        <f t="shared" si="229"/>
        <v>46</v>
      </c>
      <c r="R1044" s="48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8" t="s">
        <v>399</v>
      </c>
      <c r="Q1045" s="15">
        <f t="shared" si="229"/>
        <v>47</v>
      </c>
      <c r="R1045" s="48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8" t="s">
        <v>399</v>
      </c>
      <c r="Q1046" s="15">
        <f t="shared" si="229"/>
        <v>48</v>
      </c>
      <c r="R1046" s="48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8" t="s">
        <v>399</v>
      </c>
      <c r="Q1047" s="15">
        <f t="shared" si="229"/>
        <v>49</v>
      </c>
      <c r="R1047" s="48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8" t="s">
        <v>399</v>
      </c>
      <c r="Q1048" s="15">
        <f t="shared" si="229"/>
        <v>50</v>
      </c>
      <c r="R1048" s="48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8" t="s">
        <v>399</v>
      </c>
      <c r="Q1049" s="15">
        <f t="shared" si="229"/>
        <v>0</v>
      </c>
      <c r="R1049" s="48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8" t="s">
        <v>399</v>
      </c>
      <c r="Q1050" s="15">
        <f t="shared" si="229"/>
        <v>1</v>
      </c>
      <c r="R1050" s="48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8" t="s">
        <v>399</v>
      </c>
      <c r="Q1051" s="15">
        <f t="shared" si="229"/>
        <v>2</v>
      </c>
      <c r="R1051" s="48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8" t="s">
        <v>399</v>
      </c>
      <c r="Q1052" s="15">
        <f t="shared" si="229"/>
        <v>3</v>
      </c>
      <c r="R1052" s="48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8" t="s">
        <v>399</v>
      </c>
      <c r="Q1053" s="15">
        <f t="shared" si="229"/>
        <v>4</v>
      </c>
      <c r="R1053" s="48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8" t="s">
        <v>399</v>
      </c>
      <c r="Q1054" s="15">
        <f t="shared" si="229"/>
        <v>5</v>
      </c>
      <c r="R1054" s="48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8" t="s">
        <v>399</v>
      </c>
      <c r="Q1055" s="15">
        <f t="shared" si="229"/>
        <v>6</v>
      </c>
      <c r="R1055" s="48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8" t="s">
        <v>399</v>
      </c>
      <c r="Q1056" s="15">
        <f t="shared" si="229"/>
        <v>7</v>
      </c>
      <c r="R1056" s="48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8" t="s">
        <v>399</v>
      </c>
      <c r="Q1057" s="15">
        <f t="shared" si="229"/>
        <v>8</v>
      </c>
      <c r="R1057" s="48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8" t="s">
        <v>399</v>
      </c>
      <c r="Q1058" s="15">
        <f t="shared" si="229"/>
        <v>9</v>
      </c>
      <c r="R1058" s="48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8" t="s">
        <v>399</v>
      </c>
      <c r="Q1059" s="15">
        <f t="shared" si="229"/>
        <v>10</v>
      </c>
      <c r="R1059" s="48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8" t="s">
        <v>399</v>
      </c>
      <c r="Q1060" s="15">
        <f t="shared" si="229"/>
        <v>11</v>
      </c>
      <c r="R1060" s="48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8" t="s">
        <v>399</v>
      </c>
      <c r="Q1061" s="15">
        <f t="shared" si="229"/>
        <v>12</v>
      </c>
      <c r="R1061" s="48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8" t="s">
        <v>399</v>
      </c>
      <c r="Q1062" s="15">
        <f t="shared" si="229"/>
        <v>13</v>
      </c>
      <c r="R1062" s="48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8" t="s">
        <v>399</v>
      </c>
      <c r="Q1063" s="15">
        <f t="shared" si="229"/>
        <v>14</v>
      </c>
      <c r="R1063" s="48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8" t="s">
        <v>399</v>
      </c>
      <c r="Q1064" s="15">
        <f t="shared" si="229"/>
        <v>15</v>
      </c>
      <c r="R1064" s="48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8" t="s">
        <v>399</v>
      </c>
      <c r="Q1065" s="15">
        <f t="shared" si="229"/>
        <v>16</v>
      </c>
      <c r="R1065" s="48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8" t="s">
        <v>399</v>
      </c>
      <c r="Q1066" s="15">
        <f t="shared" si="229"/>
        <v>17</v>
      </c>
      <c r="R1066" s="48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8" t="s">
        <v>399</v>
      </c>
      <c r="Q1067" s="15">
        <f t="shared" si="229"/>
        <v>18</v>
      </c>
      <c r="R1067" s="48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8" t="s">
        <v>399</v>
      </c>
      <c r="Q1068" s="15">
        <f t="shared" si="229"/>
        <v>19</v>
      </c>
      <c r="R1068" s="48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8" t="s">
        <v>399</v>
      </c>
      <c r="Q1069" s="15">
        <f t="shared" si="229"/>
        <v>20</v>
      </c>
      <c r="R1069" s="48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8" t="s">
        <v>399</v>
      </c>
      <c r="Q1070" s="15">
        <f t="shared" si="229"/>
        <v>21</v>
      </c>
      <c r="R1070" s="48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8" t="s">
        <v>399</v>
      </c>
      <c r="Q1071" s="15">
        <f t="shared" si="229"/>
        <v>22</v>
      </c>
      <c r="R1071" s="48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8" t="s">
        <v>399</v>
      </c>
      <c r="Q1072" s="15">
        <f t="shared" si="229"/>
        <v>23</v>
      </c>
      <c r="R1072" s="48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8" t="s">
        <v>399</v>
      </c>
      <c r="Q1073" s="15">
        <f t="shared" si="229"/>
        <v>24</v>
      </c>
      <c r="R1073" s="48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8" t="s">
        <v>399</v>
      </c>
      <c r="Q1074" s="15">
        <f t="shared" si="229"/>
        <v>25</v>
      </c>
      <c r="R1074" s="48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8" t="s">
        <v>399</v>
      </c>
      <c r="Q1075" s="15">
        <f t="shared" si="229"/>
        <v>26</v>
      </c>
      <c r="R1075" s="48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8" t="s">
        <v>399</v>
      </c>
      <c r="Q1076" s="15">
        <f t="shared" si="229"/>
        <v>27</v>
      </c>
      <c r="R1076" s="48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8" t="s">
        <v>399</v>
      </c>
      <c r="Q1077" s="15">
        <f t="shared" si="229"/>
        <v>28</v>
      </c>
      <c r="R1077" s="48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8" t="s">
        <v>399</v>
      </c>
      <c r="Q1078" s="15">
        <f t="shared" si="229"/>
        <v>29</v>
      </c>
      <c r="R1078" s="48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8" t="s">
        <v>399</v>
      </c>
      <c r="Q1079" s="15">
        <f t="shared" si="229"/>
        <v>30</v>
      </c>
      <c r="R1079" s="48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1" t="s">
        <v>399</v>
      </c>
      <c r="Q1080" s="15">
        <f t="shared" ref="Q1080:Q1129" si="241">MOD(M1080-1,51)</f>
        <v>31</v>
      </c>
      <c r="R1080" s="51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1" t="s">
        <v>399</v>
      </c>
      <c r="Q1081" s="15">
        <f t="shared" si="241"/>
        <v>32</v>
      </c>
      <c r="R1081" s="51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1" t="s">
        <v>399</v>
      </c>
      <c r="Q1082" s="15">
        <f t="shared" si="241"/>
        <v>33</v>
      </c>
      <c r="R1082" s="51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1" t="s">
        <v>399</v>
      </c>
      <c r="Q1083" s="15">
        <f t="shared" si="241"/>
        <v>34</v>
      </c>
      <c r="R1083" s="51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1" t="s">
        <v>399</v>
      </c>
      <c r="Q1084" s="15">
        <f t="shared" si="241"/>
        <v>35</v>
      </c>
      <c r="R1084" s="51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1" t="s">
        <v>399</v>
      </c>
      <c r="Q1085" s="15">
        <f t="shared" si="241"/>
        <v>36</v>
      </c>
      <c r="R1085" s="51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1" t="s">
        <v>399</v>
      </c>
      <c r="Q1086" s="15">
        <f t="shared" si="241"/>
        <v>37</v>
      </c>
      <c r="R1086" s="51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1" t="s">
        <v>399</v>
      </c>
      <c r="Q1087" s="15">
        <f t="shared" si="241"/>
        <v>38</v>
      </c>
      <c r="R1087" s="51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1" t="s">
        <v>399</v>
      </c>
      <c r="Q1088" s="15">
        <f t="shared" si="241"/>
        <v>39</v>
      </c>
      <c r="R1088" s="51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1" t="s">
        <v>399</v>
      </c>
      <c r="Q1089" s="15">
        <f t="shared" si="241"/>
        <v>40</v>
      </c>
      <c r="R1089" s="51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1" t="s">
        <v>399</v>
      </c>
      <c r="Q1090" s="15">
        <f t="shared" si="241"/>
        <v>41</v>
      </c>
      <c r="R1090" s="51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1" t="s">
        <v>399</v>
      </c>
      <c r="Q1091" s="15">
        <f t="shared" si="241"/>
        <v>42</v>
      </c>
      <c r="R1091" s="51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1" t="s">
        <v>399</v>
      </c>
      <c r="Q1092" s="15">
        <f t="shared" si="241"/>
        <v>43</v>
      </c>
      <c r="R1092" s="51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1" t="s">
        <v>399</v>
      </c>
      <c r="Q1093" s="15">
        <f t="shared" si="241"/>
        <v>44</v>
      </c>
      <c r="R1093" s="51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1" t="s">
        <v>399</v>
      </c>
      <c r="Q1094" s="15">
        <f t="shared" si="241"/>
        <v>45</v>
      </c>
      <c r="R1094" s="51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1" t="s">
        <v>399</v>
      </c>
      <c r="Q1095" s="15">
        <f t="shared" si="241"/>
        <v>46</v>
      </c>
      <c r="R1095" s="51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1" t="s">
        <v>399</v>
      </c>
      <c r="Q1096" s="15">
        <f t="shared" si="241"/>
        <v>47</v>
      </c>
      <c r="R1096" s="51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1" t="s">
        <v>399</v>
      </c>
      <c r="Q1097" s="15">
        <f t="shared" si="241"/>
        <v>48</v>
      </c>
      <c r="R1097" s="51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1" t="s">
        <v>399</v>
      </c>
      <c r="Q1098" s="15">
        <f t="shared" si="241"/>
        <v>49</v>
      </c>
      <c r="R1098" s="51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1" t="s">
        <v>399</v>
      </c>
      <c r="Q1099" s="15">
        <f t="shared" si="241"/>
        <v>50</v>
      </c>
      <c r="R1099" s="51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1" t="s">
        <v>399</v>
      </c>
      <c r="Q1100" s="15">
        <f t="shared" si="241"/>
        <v>0</v>
      </c>
      <c r="R1100" s="51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1" t="s">
        <v>399</v>
      </c>
      <c r="Q1101" s="15">
        <f t="shared" si="241"/>
        <v>1</v>
      </c>
      <c r="R1101" s="51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1" t="s">
        <v>399</v>
      </c>
      <c r="Q1102" s="15">
        <f t="shared" si="241"/>
        <v>2</v>
      </c>
      <c r="R1102" s="51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1" t="s">
        <v>399</v>
      </c>
      <c r="Q1103" s="15">
        <f t="shared" si="241"/>
        <v>3</v>
      </c>
      <c r="R1103" s="51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1" t="s">
        <v>399</v>
      </c>
      <c r="Q1104" s="15">
        <f t="shared" si="241"/>
        <v>4</v>
      </c>
      <c r="R1104" s="51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1" t="s">
        <v>399</v>
      </c>
      <c r="Q1105" s="15">
        <f t="shared" si="241"/>
        <v>5</v>
      </c>
      <c r="R1105" s="51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1" t="s">
        <v>399</v>
      </c>
      <c r="Q1106" s="15">
        <f t="shared" si="241"/>
        <v>6</v>
      </c>
      <c r="R1106" s="51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1" t="s">
        <v>399</v>
      </c>
      <c r="Q1107" s="15">
        <f t="shared" si="241"/>
        <v>7</v>
      </c>
      <c r="R1107" s="51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1" t="s">
        <v>399</v>
      </c>
      <c r="Q1108" s="15">
        <f t="shared" si="241"/>
        <v>8</v>
      </c>
      <c r="R1108" s="51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1" t="s">
        <v>399</v>
      </c>
      <c r="Q1109" s="15">
        <f t="shared" si="241"/>
        <v>9</v>
      </c>
      <c r="R1109" s="51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1" t="s">
        <v>399</v>
      </c>
      <c r="Q1110" s="15">
        <f t="shared" si="241"/>
        <v>10</v>
      </c>
      <c r="R1110" s="51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1" t="s">
        <v>399</v>
      </c>
      <c r="Q1111" s="15">
        <f t="shared" si="241"/>
        <v>11</v>
      </c>
      <c r="R1111" s="51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1" t="s">
        <v>399</v>
      </c>
      <c r="Q1112" s="15">
        <f t="shared" si="241"/>
        <v>12</v>
      </c>
      <c r="R1112" s="51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1" t="s">
        <v>399</v>
      </c>
      <c r="Q1113" s="15">
        <f t="shared" si="241"/>
        <v>13</v>
      </c>
      <c r="R1113" s="51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1" t="s">
        <v>399</v>
      </c>
      <c r="Q1114" s="15">
        <f t="shared" si="241"/>
        <v>14</v>
      </c>
      <c r="R1114" s="51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1" t="s">
        <v>399</v>
      </c>
      <c r="Q1115" s="15">
        <f t="shared" si="241"/>
        <v>15</v>
      </c>
      <c r="R1115" s="51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1" t="s">
        <v>399</v>
      </c>
      <c r="Q1116" s="15">
        <f t="shared" si="241"/>
        <v>16</v>
      </c>
      <c r="R1116" s="51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1" t="s">
        <v>399</v>
      </c>
      <c r="Q1117" s="15">
        <f t="shared" si="241"/>
        <v>17</v>
      </c>
      <c r="R1117" s="51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1" t="s">
        <v>399</v>
      </c>
      <c r="Q1118" s="15">
        <f t="shared" si="241"/>
        <v>18</v>
      </c>
      <c r="R1118" s="51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1" t="s">
        <v>399</v>
      </c>
      <c r="Q1119" s="15">
        <f t="shared" si="241"/>
        <v>19</v>
      </c>
      <c r="R1119" s="51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1" t="s">
        <v>399</v>
      </c>
      <c r="Q1120" s="15">
        <f t="shared" si="241"/>
        <v>20</v>
      </c>
      <c r="R1120" s="51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1" t="s">
        <v>399</v>
      </c>
      <c r="Q1121" s="15">
        <f t="shared" si="241"/>
        <v>21</v>
      </c>
      <c r="R1121" s="51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1" t="s">
        <v>399</v>
      </c>
      <c r="Q1122" s="15">
        <f t="shared" si="241"/>
        <v>22</v>
      </c>
      <c r="R1122" s="51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1" t="s">
        <v>399</v>
      </c>
      <c r="Q1123" s="15">
        <f t="shared" si="241"/>
        <v>23</v>
      </c>
      <c r="R1123" s="51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1" t="s">
        <v>399</v>
      </c>
      <c r="Q1124" s="15">
        <f t="shared" si="241"/>
        <v>24</v>
      </c>
      <c r="R1124" s="51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1" t="s">
        <v>399</v>
      </c>
      <c r="Q1125" s="15">
        <f t="shared" si="241"/>
        <v>25</v>
      </c>
      <c r="R1125" s="51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1" t="s">
        <v>399</v>
      </c>
      <c r="Q1126" s="15">
        <f t="shared" si="241"/>
        <v>26</v>
      </c>
      <c r="R1126" s="51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1" t="s">
        <v>399</v>
      </c>
      <c r="Q1127" s="15">
        <f t="shared" si="241"/>
        <v>27</v>
      </c>
      <c r="R1127" s="51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1" t="s">
        <v>399</v>
      </c>
      <c r="Q1128" s="15">
        <f t="shared" si="241"/>
        <v>28</v>
      </c>
      <c r="R1128" s="51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1" t="s">
        <v>399</v>
      </c>
      <c r="Q1129" s="15">
        <f t="shared" si="241"/>
        <v>29</v>
      </c>
      <c r="R1129" s="51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1" t="s">
        <v>399</v>
      </c>
      <c r="Q1130" s="15">
        <f t="shared" ref="Q1130:Q1150" si="252">MOD(M1130-1,51)</f>
        <v>30</v>
      </c>
      <c r="R1130" s="51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1" t="s">
        <v>399</v>
      </c>
      <c r="Q1131" s="15">
        <f t="shared" si="252"/>
        <v>31</v>
      </c>
      <c r="R1131" s="51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1" t="s">
        <v>399</v>
      </c>
      <c r="Q1132" s="15">
        <f t="shared" si="252"/>
        <v>32</v>
      </c>
      <c r="R1132" s="51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1" t="s">
        <v>399</v>
      </c>
      <c r="Q1133" s="15">
        <f t="shared" si="252"/>
        <v>33</v>
      </c>
      <c r="R1133" s="51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1" t="s">
        <v>399</v>
      </c>
      <c r="Q1134" s="15">
        <f t="shared" si="252"/>
        <v>34</v>
      </c>
      <c r="R1134" s="51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1" t="s">
        <v>399</v>
      </c>
      <c r="Q1135" s="15">
        <f t="shared" si="252"/>
        <v>35</v>
      </c>
      <c r="R1135" s="51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1" t="s">
        <v>399</v>
      </c>
      <c r="Q1136" s="15">
        <f t="shared" si="252"/>
        <v>36</v>
      </c>
      <c r="R1136" s="51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1" t="s">
        <v>399</v>
      </c>
      <c r="Q1137" s="15">
        <f t="shared" si="252"/>
        <v>37</v>
      </c>
      <c r="R1137" s="51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1" t="s">
        <v>399</v>
      </c>
      <c r="Q1138" s="15">
        <f t="shared" si="252"/>
        <v>38</v>
      </c>
      <c r="R1138" s="51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1" t="s">
        <v>399</v>
      </c>
      <c r="Q1139" s="15">
        <f t="shared" si="252"/>
        <v>39</v>
      </c>
      <c r="R1139" s="51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1" t="s">
        <v>399</v>
      </c>
      <c r="Q1140" s="15">
        <f t="shared" si="252"/>
        <v>40</v>
      </c>
      <c r="R1140" s="51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1" t="s">
        <v>399</v>
      </c>
      <c r="Q1141" s="15">
        <f t="shared" si="252"/>
        <v>41</v>
      </c>
      <c r="R1141" s="51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1" t="s">
        <v>399</v>
      </c>
      <c r="Q1142" s="15">
        <f t="shared" si="252"/>
        <v>42</v>
      </c>
      <c r="R1142" s="51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1" t="s">
        <v>399</v>
      </c>
      <c r="Q1143" s="15">
        <f t="shared" si="252"/>
        <v>43</v>
      </c>
      <c r="R1143" s="51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1" t="s">
        <v>399</v>
      </c>
      <c r="Q1144" s="15">
        <f t="shared" si="252"/>
        <v>44</v>
      </c>
      <c r="R1144" s="51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1" t="s">
        <v>399</v>
      </c>
      <c r="Q1145" s="15">
        <f t="shared" si="252"/>
        <v>45</v>
      </c>
      <c r="R1145" s="51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1" t="s">
        <v>399</v>
      </c>
      <c r="Q1146" s="15">
        <f t="shared" si="252"/>
        <v>46</v>
      </c>
      <c r="R1146" s="51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1" t="s">
        <v>399</v>
      </c>
      <c r="Q1147" s="15">
        <f t="shared" si="252"/>
        <v>47</v>
      </c>
      <c r="R1147" s="51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1" t="s">
        <v>399</v>
      </c>
      <c r="Q1148" s="15">
        <f t="shared" si="252"/>
        <v>48</v>
      </c>
      <c r="R1148" s="51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1" t="s">
        <v>399</v>
      </c>
      <c r="Q1149" s="15">
        <f t="shared" si="252"/>
        <v>49</v>
      </c>
      <c r="R1149" s="51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1" t="s">
        <v>399</v>
      </c>
      <c r="Q1150" s="15">
        <f t="shared" si="252"/>
        <v>50</v>
      </c>
      <c r="R1150" s="51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topLeftCell="A10" workbookViewId="0">
      <selection activeCell="P33" sqref="P33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19" ht="20.25" x14ac:dyDescent="0.2">
      <c r="A2" s="115" t="s">
        <v>176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6"/>
      <c r="Q2" s="16"/>
    </row>
    <row r="3" spans="1:19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S3" s="12" t="s">
        <v>388</v>
      </c>
    </row>
    <row r="4" spans="1:19" ht="16.5" x14ac:dyDescent="0.2">
      <c r="A4" s="26">
        <v>1</v>
      </c>
      <c r="B4" s="15">
        <f>节奏总表!S4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8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S4" s="15">
        <f>ROUND(O4/B4/价值概述!$B$3,0)</f>
        <v>220</v>
      </c>
    </row>
    <row r="5" spans="1:19" ht="16.5" x14ac:dyDescent="0.2">
      <c r="A5" s="26">
        <v>2</v>
      </c>
      <c r="B5" s="15">
        <f>节奏总表!S5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S5" s="15">
        <f>ROUND(O5/B5/价值概述!$B$3,0)</f>
        <v>309</v>
      </c>
    </row>
    <row r="6" spans="1:19" ht="16.5" x14ac:dyDescent="0.2">
      <c r="A6" s="26">
        <v>3</v>
      </c>
      <c r="B6" s="15">
        <f>节奏总表!S6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S6" s="15">
        <f>ROUND(O6/B6/价值概述!$B$3,0)</f>
        <v>158</v>
      </c>
    </row>
    <row r="7" spans="1:19" ht="16.5" x14ac:dyDescent="0.2">
      <c r="A7" s="26">
        <v>4</v>
      </c>
      <c r="B7" s="15">
        <f>节奏总表!S7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S7" s="15">
        <f>ROUND(O7/B7/价值概述!$B$3,0)</f>
        <v>192</v>
      </c>
    </row>
    <row r="8" spans="1:19" ht="16.5" x14ac:dyDescent="0.2">
      <c r="A8" s="26">
        <v>5</v>
      </c>
      <c r="B8" s="15">
        <f>节奏总表!S8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S8" s="15">
        <f>ROUND(O8/B8/价值概述!$B$3,0)</f>
        <v>279</v>
      </c>
    </row>
    <row r="9" spans="1:19" ht="16.5" x14ac:dyDescent="0.2">
      <c r="A9" s="26">
        <v>6</v>
      </c>
      <c r="B9" s="15">
        <f>节奏总表!S9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S9" s="15">
        <f>ROUND(O9/B9/价值概述!$B$3,0)</f>
        <v>305</v>
      </c>
    </row>
    <row r="10" spans="1:19" ht="16.5" x14ac:dyDescent="0.2">
      <c r="A10" s="26">
        <v>7</v>
      </c>
      <c r="B10" s="15">
        <f>节奏总表!S10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S10" s="15">
        <f>ROUND(O10/B10/价值概述!$B$3,0)</f>
        <v>329</v>
      </c>
    </row>
    <row r="11" spans="1:19" ht="16.5" x14ac:dyDescent="0.2">
      <c r="A11" s="26">
        <v>8</v>
      </c>
      <c r="B11" s="15">
        <f>节奏总表!S11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S11" s="15">
        <f>ROUND(O11/B11/价值概述!$B$3,0)</f>
        <v>347</v>
      </c>
    </row>
    <row r="12" spans="1:19" ht="16.5" x14ac:dyDescent="0.2">
      <c r="A12" s="26">
        <v>9</v>
      </c>
      <c r="B12" s="15">
        <f>节奏总表!S12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S12" s="15">
        <f>ROUND(O12/B12/价值概述!$B$3,0)</f>
        <v>402</v>
      </c>
    </row>
    <row r="13" spans="1:19" ht="16.5" x14ac:dyDescent="0.2">
      <c r="A13" s="26">
        <v>10</v>
      </c>
      <c r="B13" s="15">
        <f>节奏总表!S13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S13" s="15">
        <f>ROUND(O13/B13/价值概述!$B$3,0)</f>
        <v>426</v>
      </c>
    </row>
    <row r="14" spans="1:19" ht="16.5" x14ac:dyDescent="0.2">
      <c r="A14" s="26">
        <v>11</v>
      </c>
      <c r="B14" s="15">
        <f>节奏总表!S14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S14" s="15">
        <f>ROUND(O14/B14/价值概述!$B$3,0)</f>
        <v>428</v>
      </c>
    </row>
    <row r="15" spans="1:19" ht="16.5" x14ac:dyDescent="0.2">
      <c r="A15" s="26">
        <v>12</v>
      </c>
      <c r="B15" s="15">
        <f>节奏总表!S15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S15" s="15">
        <f>ROUND(O15/B15/价值概述!$B$3,0)</f>
        <v>479</v>
      </c>
    </row>
    <row r="16" spans="1:19" ht="16.5" x14ac:dyDescent="0.2">
      <c r="A16" s="26">
        <v>13</v>
      </c>
      <c r="B16" s="15">
        <f>节奏总表!S16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S16" s="15">
        <f>ROUND(O16/B16/价值概述!$B$3,0)</f>
        <v>479</v>
      </c>
    </row>
    <row r="17" spans="1:22" ht="16.5" x14ac:dyDescent="0.2">
      <c r="A17" s="26">
        <v>14</v>
      </c>
      <c r="B17" s="15">
        <f>节奏总表!S17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S17" s="15">
        <f>ROUND(O17/B17/价值概述!$B$3,0)</f>
        <v>518</v>
      </c>
    </row>
    <row r="18" spans="1:22" ht="16.5" x14ac:dyDescent="0.2">
      <c r="A18" s="26">
        <v>15</v>
      </c>
      <c r="B18" s="15">
        <f>节奏总表!S18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S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15" t="s">
        <v>230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22" ht="20.25" x14ac:dyDescent="0.2">
      <c r="A22" s="115" t="s">
        <v>387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M22" s="115" t="s">
        <v>236</v>
      </c>
      <c r="N22" s="115"/>
      <c r="O22" s="115"/>
      <c r="P22" s="115"/>
      <c r="Q22" s="115"/>
      <c r="R22" s="115"/>
      <c r="S22" s="115"/>
    </row>
    <row r="23" spans="1:22" ht="17.25" x14ac:dyDescent="0.2">
      <c r="A23" s="12" t="s">
        <v>239</v>
      </c>
      <c r="B23" s="12" t="s">
        <v>245</v>
      </c>
      <c r="C23" s="12" t="s">
        <v>238</v>
      </c>
      <c r="D23" s="12" t="s">
        <v>386</v>
      </c>
      <c r="E23" s="12" t="s">
        <v>235</v>
      </c>
      <c r="F23" s="12" t="s">
        <v>232</v>
      </c>
      <c r="G23" s="35" t="s">
        <v>237</v>
      </c>
      <c r="H23" s="12" t="s">
        <v>234</v>
      </c>
      <c r="I23" s="12" t="s">
        <v>326</v>
      </c>
      <c r="J23" s="12" t="s">
        <v>327</v>
      </c>
      <c r="K23" s="12" t="s">
        <v>869</v>
      </c>
      <c r="M23" s="12" t="s">
        <v>231</v>
      </c>
      <c r="N23" s="12" t="s">
        <v>232</v>
      </c>
      <c r="O23" s="35" t="s">
        <v>237</v>
      </c>
      <c r="P23" s="12" t="s">
        <v>234</v>
      </c>
      <c r="Q23" s="12" t="s">
        <v>233</v>
      </c>
      <c r="R23" s="12" t="s">
        <v>327</v>
      </c>
      <c r="S23" s="12" t="s">
        <v>870</v>
      </c>
    </row>
    <row r="24" spans="1:22" ht="16.5" x14ac:dyDescent="0.2">
      <c r="A24" s="34" t="s">
        <v>240</v>
      </c>
      <c r="B24" s="34">
        <v>4</v>
      </c>
      <c r="C24" s="15">
        <f>SUMIFS($O$4:$O$18,$A$4:$A$18,"&lt;="&amp;B24)</f>
        <v>190620</v>
      </c>
      <c r="D24" s="44">
        <v>1</v>
      </c>
      <c r="E24" s="20">
        <v>0</v>
      </c>
      <c r="F24" s="20">
        <v>0.15</v>
      </c>
      <c r="G24" s="20">
        <v>0.1</v>
      </c>
      <c r="H24" s="20">
        <v>0.2</v>
      </c>
      <c r="I24" s="20">
        <v>0.5</v>
      </c>
      <c r="J24" s="20">
        <v>0.35</v>
      </c>
      <c r="K24" s="20">
        <v>0.5</v>
      </c>
      <c r="M24" s="15">
        <f>INT($O4*E24)</f>
        <v>0</v>
      </c>
      <c r="N24" s="15">
        <f t="shared" ref="N24:R28" si="2">INT($C24*F24*$D24)</f>
        <v>28593</v>
      </c>
      <c r="O24" s="15">
        <f t="shared" si="2"/>
        <v>19062</v>
      </c>
      <c r="P24" s="15">
        <f t="shared" si="2"/>
        <v>38124</v>
      </c>
      <c r="Q24" s="15">
        <f t="shared" si="2"/>
        <v>95310</v>
      </c>
      <c r="R24" s="15">
        <f t="shared" si="2"/>
        <v>66717</v>
      </c>
      <c r="S24" s="15">
        <f>C24*K24</f>
        <v>95310</v>
      </c>
      <c r="V24" s="39">
        <v>0.05</v>
      </c>
    </row>
    <row r="25" spans="1:22" ht="16.5" x14ac:dyDescent="0.2">
      <c r="A25" s="34" t="s">
        <v>241</v>
      </c>
      <c r="B25" s="34">
        <v>8</v>
      </c>
      <c r="C25" s="15">
        <f>SUMIFS($O$4:$O$18,$A$4:$A$18,"&lt;="&amp;B25,$A$4:$A$18,"&gt;"&amp;B24)</f>
        <v>2262950</v>
      </c>
      <c r="D25" s="44">
        <v>1</v>
      </c>
      <c r="E25" s="20">
        <v>0</v>
      </c>
      <c r="F25" s="20">
        <v>0.15</v>
      </c>
      <c r="G25" s="20">
        <v>0.1</v>
      </c>
      <c r="H25" s="20">
        <v>0.25</v>
      </c>
      <c r="I25" s="20">
        <v>0.5</v>
      </c>
      <c r="J25" s="20">
        <v>0.35</v>
      </c>
      <c r="K25" s="20">
        <v>0.5</v>
      </c>
      <c r="M25" s="15">
        <f>INT($O5*E25)</f>
        <v>0</v>
      </c>
      <c r="N25" s="15">
        <f t="shared" si="2"/>
        <v>339442</v>
      </c>
      <c r="O25" s="15">
        <f t="shared" si="2"/>
        <v>226295</v>
      </c>
      <c r="P25" s="15">
        <f t="shared" si="2"/>
        <v>565737</v>
      </c>
      <c r="Q25" s="15">
        <f t="shared" si="2"/>
        <v>1131475</v>
      </c>
      <c r="R25" s="15">
        <f t="shared" si="2"/>
        <v>792032</v>
      </c>
      <c r="S25" s="15">
        <f t="shared" ref="S25:S28" si="3">C25*K25</f>
        <v>1131475</v>
      </c>
      <c r="V25" s="39">
        <v>0.1</v>
      </c>
    </row>
    <row r="26" spans="1:22" ht="16.5" x14ac:dyDescent="0.2">
      <c r="A26" s="34" t="s">
        <v>242</v>
      </c>
      <c r="B26" s="34">
        <v>10</v>
      </c>
      <c r="C26" s="15">
        <f>SUMIFS($O$4:$O$18,$A$4:$A$18,"&lt;="&amp;B26,$A$4:$A$18,"&gt;"&amp;B25)</f>
        <v>4168700</v>
      </c>
      <c r="D26" s="44">
        <v>1</v>
      </c>
      <c r="E26" s="20">
        <v>0</v>
      </c>
      <c r="F26" s="20">
        <v>0.15</v>
      </c>
      <c r="G26" s="20">
        <v>0.1</v>
      </c>
      <c r="H26" s="20">
        <v>0.3</v>
      </c>
      <c r="I26" s="20">
        <v>0.5</v>
      </c>
      <c r="J26" s="20">
        <v>0.35</v>
      </c>
      <c r="K26" s="20">
        <v>0.5</v>
      </c>
      <c r="M26" s="15">
        <f>INT($O6*E26)</f>
        <v>0</v>
      </c>
      <c r="N26" s="15">
        <f t="shared" si="2"/>
        <v>625305</v>
      </c>
      <c r="O26" s="15">
        <f t="shared" si="2"/>
        <v>416870</v>
      </c>
      <c r="P26" s="15">
        <f t="shared" si="2"/>
        <v>1250610</v>
      </c>
      <c r="Q26" s="15">
        <f t="shared" si="2"/>
        <v>2084350</v>
      </c>
      <c r="R26" s="15">
        <f t="shared" si="2"/>
        <v>1459045</v>
      </c>
      <c r="S26" s="15">
        <f t="shared" si="3"/>
        <v>2084350</v>
      </c>
      <c r="V26" s="39">
        <v>0.15</v>
      </c>
    </row>
    <row r="27" spans="1:22" ht="16.5" x14ac:dyDescent="0.2">
      <c r="A27" s="34" t="s">
        <v>243</v>
      </c>
      <c r="B27" s="34">
        <v>12</v>
      </c>
      <c r="C27" s="15">
        <f>SUMIFS($O$4:$O$18,$A$4:$A$18,"&lt;="&amp;B27,$A$4:$A$18,"&gt;"&amp;B26)</f>
        <v>10863550</v>
      </c>
      <c r="D27" s="44">
        <v>1</v>
      </c>
      <c r="E27" s="20">
        <v>0</v>
      </c>
      <c r="F27" s="20">
        <v>0.15</v>
      </c>
      <c r="G27" s="20">
        <v>0.1</v>
      </c>
      <c r="H27" s="20">
        <v>0.35</v>
      </c>
      <c r="I27" s="20">
        <v>0.5</v>
      </c>
      <c r="J27" s="20">
        <v>0.35</v>
      </c>
      <c r="K27" s="20">
        <v>0.5</v>
      </c>
      <c r="M27" s="15">
        <f>INT($O7*E27)</f>
        <v>0</v>
      </c>
      <c r="N27" s="15">
        <f t="shared" si="2"/>
        <v>1629532</v>
      </c>
      <c r="O27" s="15">
        <f t="shared" si="2"/>
        <v>1086355</v>
      </c>
      <c r="P27" s="15">
        <f t="shared" si="2"/>
        <v>3802242</v>
      </c>
      <c r="Q27" s="15">
        <f t="shared" si="2"/>
        <v>5431775</v>
      </c>
      <c r="R27" s="15">
        <f t="shared" si="2"/>
        <v>3802242</v>
      </c>
      <c r="S27" s="15">
        <f t="shared" si="3"/>
        <v>5431775</v>
      </c>
      <c r="V27" s="39">
        <v>0.3</v>
      </c>
    </row>
    <row r="28" spans="1:22" ht="16.5" x14ac:dyDescent="0.2">
      <c r="A28" s="34" t="s">
        <v>244</v>
      </c>
      <c r="B28" s="34">
        <v>15</v>
      </c>
      <c r="C28" s="15">
        <f>SUMIFS($O$4:$O$18,$A$4:$A$18,"&lt;="&amp;B28,$A$4:$A$18,"&gt;"&amp;B27)</f>
        <v>42610750</v>
      </c>
      <c r="D28" s="44">
        <v>1</v>
      </c>
      <c r="E28" s="20">
        <v>0</v>
      </c>
      <c r="F28" s="20">
        <v>0.15</v>
      </c>
      <c r="G28" s="20">
        <v>0.1</v>
      </c>
      <c r="H28" s="20">
        <v>0.4</v>
      </c>
      <c r="I28" s="20">
        <v>0.5</v>
      </c>
      <c r="J28" s="20">
        <v>0.35</v>
      </c>
      <c r="K28" s="20">
        <v>0.5</v>
      </c>
      <c r="M28" s="15">
        <f>INT($O8*E28)</f>
        <v>0</v>
      </c>
      <c r="N28" s="15">
        <f t="shared" si="2"/>
        <v>6391612</v>
      </c>
      <c r="O28" s="15">
        <f t="shared" si="2"/>
        <v>4261075</v>
      </c>
      <c r="P28" s="15">
        <f t="shared" si="2"/>
        <v>17044300</v>
      </c>
      <c r="Q28" s="15">
        <f t="shared" si="2"/>
        <v>21305375</v>
      </c>
      <c r="R28" s="15">
        <f t="shared" si="2"/>
        <v>14913762</v>
      </c>
      <c r="S28" s="15">
        <f t="shared" si="3"/>
        <v>21305375</v>
      </c>
      <c r="V28" s="39">
        <v>0.4</v>
      </c>
    </row>
    <row r="29" spans="1:22" x14ac:dyDescent="0.2">
      <c r="M29" s="16"/>
      <c r="N29" s="16"/>
      <c r="O29" s="16"/>
      <c r="P29" s="16"/>
      <c r="Q29" s="16"/>
    </row>
    <row r="31" spans="1:22" ht="20.25" x14ac:dyDescent="0.2">
      <c r="A31" s="115" t="s">
        <v>871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</row>
    <row r="32" spans="1:22" ht="17.25" x14ac:dyDescent="0.2">
      <c r="A32" s="12" t="s">
        <v>101</v>
      </c>
      <c r="B32" s="12" t="s">
        <v>245</v>
      </c>
      <c r="C32" s="12" t="s">
        <v>238</v>
      </c>
      <c r="D32" s="12" t="s">
        <v>349</v>
      </c>
      <c r="E32" s="12" t="s">
        <v>231</v>
      </c>
      <c r="F32" s="12" t="s">
        <v>232</v>
      </c>
      <c r="G32" s="35" t="s">
        <v>237</v>
      </c>
      <c r="H32" s="12" t="s">
        <v>234</v>
      </c>
      <c r="I32" s="12" t="s">
        <v>326</v>
      </c>
      <c r="J32" s="12" t="s">
        <v>327</v>
      </c>
      <c r="K32" s="12" t="s">
        <v>869</v>
      </c>
    </row>
    <row r="33" spans="1:11" ht="16.5" x14ac:dyDescent="0.2">
      <c r="A33" s="93" t="s">
        <v>240</v>
      </c>
      <c r="B33" s="93"/>
      <c r="C33" s="93"/>
      <c r="D33" s="93"/>
      <c r="E33" s="20">
        <v>1</v>
      </c>
      <c r="F33" s="20">
        <v>1</v>
      </c>
      <c r="G33" s="20">
        <v>1</v>
      </c>
      <c r="H33" s="20">
        <v>1</v>
      </c>
      <c r="I33" s="93"/>
      <c r="J33" s="93"/>
      <c r="K33" s="93"/>
    </row>
    <row r="34" spans="1:11" ht="16.5" x14ac:dyDescent="0.2">
      <c r="A34" s="93" t="s">
        <v>241</v>
      </c>
      <c r="B34" s="93"/>
      <c r="C34" s="93"/>
      <c r="D34" s="93"/>
      <c r="E34" s="20">
        <v>1</v>
      </c>
      <c r="F34" s="20">
        <v>1</v>
      </c>
      <c r="G34" s="20">
        <v>1</v>
      </c>
      <c r="H34" s="20">
        <v>0.8</v>
      </c>
      <c r="I34" s="93"/>
      <c r="J34" s="93"/>
      <c r="K34" s="93"/>
    </row>
    <row r="35" spans="1:11" ht="16.5" x14ac:dyDescent="0.2">
      <c r="A35" s="93" t="s">
        <v>242</v>
      </c>
      <c r="B35" s="93"/>
      <c r="C35" s="93"/>
      <c r="D35" s="93"/>
      <c r="E35" s="20">
        <v>1</v>
      </c>
      <c r="F35" s="20">
        <v>1</v>
      </c>
      <c r="G35" s="20">
        <v>1</v>
      </c>
      <c r="H35" s="20">
        <v>0.6</v>
      </c>
      <c r="I35" s="93"/>
      <c r="J35" s="93"/>
      <c r="K35" s="93"/>
    </row>
    <row r="36" spans="1:11" ht="16.5" x14ac:dyDescent="0.2">
      <c r="A36" s="93" t="s">
        <v>243</v>
      </c>
      <c r="B36" s="93"/>
      <c r="C36" s="93"/>
      <c r="D36" s="93"/>
      <c r="E36" s="20">
        <v>1</v>
      </c>
      <c r="F36" s="20">
        <v>1</v>
      </c>
      <c r="G36" s="20">
        <v>1</v>
      </c>
      <c r="H36" s="20">
        <v>0.5</v>
      </c>
      <c r="I36" s="93"/>
      <c r="J36" s="93"/>
      <c r="K36" s="93"/>
    </row>
    <row r="37" spans="1:11" ht="16.5" x14ac:dyDescent="0.2">
      <c r="A37" s="93" t="s">
        <v>244</v>
      </c>
      <c r="B37" s="93"/>
      <c r="C37" s="93"/>
      <c r="D37" s="93"/>
      <c r="E37" s="20">
        <v>1</v>
      </c>
      <c r="F37" s="20">
        <v>1</v>
      </c>
      <c r="G37" s="20">
        <v>1</v>
      </c>
      <c r="H37" s="20">
        <v>0.4</v>
      </c>
      <c r="I37" s="93"/>
      <c r="J37" s="93"/>
      <c r="K37" s="93"/>
    </row>
  </sheetData>
  <mergeCells count="5">
    <mergeCell ref="A31:K31"/>
    <mergeCell ref="A2:O2"/>
    <mergeCell ref="M22:S22"/>
    <mergeCell ref="A22:K22"/>
    <mergeCell ref="A21:S2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505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506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507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卡牌投放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2019-07-25T13:07:52Z</dcterms:modified>
</cp:coreProperties>
</file>